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xl/drawings/drawing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ivotTables/pivotTable2.xml" ContentType="application/vnd.openxmlformats-officedocument.spreadsheetml.pivotTable+xml"/>
  <Override PartName="/xl/drawings/drawing6.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7.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8.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9.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10.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11.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drawings/drawing12.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drawings/drawing13.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drawings/drawing14.xml" ContentType="application/vnd.openxmlformats-officedocument.drawing+xml"/>
  <Override PartName="/xl/comments12.xml" ContentType="application/vnd.openxmlformats-officedocument.spreadsheetml.comments+xml"/>
  <Override PartName="/xl/threadedComments/threadedComment12.xml" ContentType="application/vnd.ms-excel.threadedcomments+xml"/>
  <Override PartName="/xl/drawings/drawing15.xml" ContentType="application/vnd.openxmlformats-officedocument.drawing+xml"/>
  <Override PartName="/xl/comments13.xml" ContentType="application/vnd.openxmlformats-officedocument.spreadsheetml.comments+xml"/>
  <Override PartName="/xl/threadedComments/threadedComment13.xml" ContentType="application/vnd.ms-excel.threadedcomments+xml"/>
  <Override PartName="/xl/drawings/drawing16.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7.xml" ContentType="application/vnd.openxmlformats-officedocument.drawing+xml"/>
  <Override PartName="/xl/comments14.xml" ContentType="application/vnd.openxmlformats-officedocument.spreadsheetml.comments+xml"/>
  <Override PartName="/xl/threadedComments/threadedComment14.xml" ContentType="application/vnd.ms-excel.threadedcomments+xml"/>
  <Override PartName="/xl/drawings/drawing18.xml" ContentType="application/vnd.openxmlformats-officedocument.drawing+xml"/>
  <Override PartName="/xl/comments15.xml" ContentType="application/vnd.openxmlformats-officedocument.spreadsheetml.comments+xml"/>
  <Override PartName="/xl/threadedComments/threadedComment15.xml" ContentType="application/vnd.ms-excel.threadedcomments+xml"/>
  <Override PartName="/xl/drawings/drawing19.xml" ContentType="application/vnd.openxmlformats-officedocument.drawing+xml"/>
  <Override PartName="/xl/comments16.xml" ContentType="application/vnd.openxmlformats-officedocument.spreadsheetml.comments+xml"/>
  <Override PartName="/xl/threadedComments/threadedComment16.xml" ContentType="application/vnd.ms-excel.threadedcomments+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0.xml" ContentType="application/vnd.openxmlformats-officedocument.drawing+xml"/>
  <Override PartName="/xl/drawings/drawing21.xml" ContentType="application/vnd.openxmlformats-officedocument.drawing+xml"/>
  <Override PartName="/xl/tables/table1.xml" ContentType="application/vnd.openxmlformats-officedocument.spreadsheetml.table+xml"/>
  <Override PartName="/xl/comments17.xml" ContentType="application/vnd.openxmlformats-officedocument.spreadsheetml.comments+xml"/>
  <Override PartName="/xl/threadedComments/threadedComment17.xml" ContentType="application/vnd.ms-excel.threadedcomments+xml"/>
  <Override PartName="/xl/drawings/drawing22.xml" ContentType="application/vnd.openxmlformats-officedocument.drawing+xml"/>
  <Override PartName="/xl/comments18.xml" ContentType="application/vnd.openxmlformats-officedocument.spreadsheetml.comments+xml"/>
  <Override PartName="/xl/threadedComments/threadedComment18.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C:\Users\sahmad\Downloads\FIM\data\"/>
    </mc:Choice>
  </mc:AlternateContent>
  <xr:revisionPtr revIDLastSave="0" documentId="13_ncr:1_{A86F554D-C5C4-4CBB-8564-CA819A0E2416}" xr6:coauthVersionLast="47" xr6:coauthVersionMax="47" xr10:uidLastSave="{00000000-0000-0000-0000-000000000000}"/>
  <bookViews>
    <workbookView xWindow="28680" yWindow="-120" windowWidth="29040" windowHeight="15720" firstSheet="4" activeTab="10" xr2:uid="{00000000-000D-0000-FFFF-FFFF00000000}"/>
  </bookViews>
  <sheets>
    <sheet name="Guide to the FIM Spreadsheet" sheetId="54" r:id="rId1"/>
    <sheet name="Checklist (New Quarter Release)" sheetId="53" r:id="rId2"/>
    <sheet name="Checklist (Monthly Revision)" sheetId="51" r:id="rId3"/>
    <sheet name="Revisions" sheetId="46" r:id="rId4"/>
    <sheet name="Checklist (CBO Budget Release)" sheetId="19" r:id="rId5"/>
    <sheet name="Haver Pivoted" sheetId="24" r:id="rId6"/>
    <sheet name="historical overrides" sheetId="50" r:id="rId7"/>
    <sheet name="deflators_override" sheetId="71" r:id="rId8"/>
    <sheet name="forecast comparison" sheetId="55" r:id="rId9"/>
    <sheet name="MPI" sheetId="80" r:id="rId10"/>
    <sheet name="forecast" sheetId="35" r:id="rId11"/>
    <sheet name="Sheet1" sheetId="89" r:id="rId12"/>
    <sheet name="mpc" sheetId="56" r:id="rId13"/>
    <sheet name="Unemployment Insurance" sheetId="25" r:id="rId14"/>
    <sheet name="Unemployment Insurance - lorae" sheetId="74" state="hidden" r:id="rId15"/>
    <sheet name="Grants" sheetId="26" r:id="rId16"/>
    <sheet name="Federal and State Purchases" sheetId="20" r:id="rId17"/>
    <sheet name="Subsidies" sheetId="30" r:id="rId18"/>
    <sheet name="Medicaid" sheetId="49" r:id="rId19"/>
    <sheet name="Medicare" sheetId="33" r:id="rId20"/>
    <sheet name="Student loans" sheetId="67" r:id="rId21"/>
    <sheet name="Social Benefits" sheetId="82" r:id="rId22"/>
    <sheet name="Social Benefits- June" sheetId="83" r:id="rId23"/>
    <sheet name="Social Benefits - old" sheetId="59" r:id="rId24"/>
    <sheet name="SB WORK" sheetId="84" r:id="rId25"/>
    <sheet name="Supply Side IRA" sheetId="78" r:id="rId26"/>
    <sheet name="Taxes" sheetId="88" r:id="rId27"/>
    <sheet name="Deflators" sheetId="70" r:id="rId28"/>
    <sheet name="Social Benefits (BETA VERSION)" sheetId="75" r:id="rId29"/>
    <sheet name="Social Benefits (EXPLANATION)" sheetId="77" r:id="rId30"/>
    <sheet name="PPP (expired)" sheetId="38" r:id="rId31"/>
    <sheet name="Provider Relief (expired)" sheetId="40" r:id="rId32"/>
    <sheet name="Rebate Checks (expired)" sheetId="29" r:id="rId33"/>
    <sheet name="Cares Act Scores" sheetId="36" r:id="rId34"/>
    <sheet name="IRA and CHIPS" sheetId="65" r:id="rId35"/>
    <sheet name="Response and Relief Act Score" sheetId="27" r:id="rId36"/>
    <sheet name="ARP Score" sheetId="5" r:id="rId37"/>
    <sheet name="ARP Timing" sheetId="6" r:id="rId38"/>
    <sheet name="ARP Quarterly" sheetId="21" r:id="rId39"/>
    <sheet name="Deflators_original" sheetId="63" state="hidden" r:id="rId40"/>
  </sheets>
  <externalReferences>
    <externalReference r:id="rId41"/>
  </externalReferences>
  <calcPr calcId="191029"/>
  <pivotCaches>
    <pivotCache cacheId="10" r:id="rId4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0" i="20" l="1"/>
  <c r="AJ10" i="20"/>
  <c r="AK10" i="20"/>
  <c r="AL10" i="20"/>
  <c r="AM10" i="20"/>
  <c r="AN10" i="20"/>
  <c r="AE10" i="88"/>
  <c r="AF10" i="88" s="1"/>
  <c r="AG10" i="88"/>
  <c r="AH10" i="88" s="1"/>
  <c r="AI10" i="88" s="1"/>
  <c r="AJ10" i="88" s="1"/>
  <c r="AK10" i="88" l="1"/>
  <c r="AL10" i="88" s="1"/>
  <c r="AM10" i="88" s="1"/>
  <c r="AN10" i="88" s="1"/>
  <c r="AF16" i="88" l="1"/>
  <c r="AG16" i="88" s="1"/>
  <c r="AH16" i="88" s="1"/>
  <c r="AI16" i="88" s="1"/>
  <c r="AJ16" i="88" s="1"/>
  <c r="AK16" i="88" s="1"/>
  <c r="AL16" i="88" s="1"/>
  <c r="AM16" i="88" s="1"/>
  <c r="AN16" i="88" s="1"/>
  <c r="F4" i="55"/>
  <c r="G4" i="55"/>
  <c r="H4" i="55"/>
  <c r="I4" i="55"/>
  <c r="J4" i="55"/>
  <c r="K4" i="55"/>
  <c r="F5" i="55"/>
  <c r="G5" i="55"/>
  <c r="H5" i="55"/>
  <c r="I5" i="55"/>
  <c r="J5" i="55"/>
  <c r="K5" i="55"/>
  <c r="F7" i="55"/>
  <c r="G7" i="55"/>
  <c r="H7" i="55"/>
  <c r="I7" i="55"/>
  <c r="J7" i="55"/>
  <c r="K7" i="55"/>
  <c r="F8" i="55"/>
  <c r="G8" i="55"/>
  <c r="H8" i="55"/>
  <c r="I8" i="55"/>
  <c r="J8" i="55"/>
  <c r="K8" i="55"/>
  <c r="F9" i="55"/>
  <c r="G9" i="55"/>
  <c r="H9" i="55"/>
  <c r="I9" i="55"/>
  <c r="J9" i="55"/>
  <c r="K9" i="55"/>
  <c r="F10" i="55"/>
  <c r="G10" i="55"/>
  <c r="H10" i="55"/>
  <c r="I10" i="55"/>
  <c r="J10" i="55"/>
  <c r="K10" i="55"/>
  <c r="F11" i="55"/>
  <c r="G11" i="55"/>
  <c r="H11" i="55"/>
  <c r="I11" i="55"/>
  <c r="J11" i="55"/>
  <c r="K11" i="55"/>
  <c r="F14" i="55"/>
  <c r="G14" i="55"/>
  <c r="H14" i="55"/>
  <c r="I14" i="55"/>
  <c r="J14" i="55"/>
  <c r="K14" i="55"/>
  <c r="F15" i="55"/>
  <c r="G15" i="55"/>
  <c r="H15" i="55"/>
  <c r="I15" i="55"/>
  <c r="J15" i="55"/>
  <c r="K15" i="55"/>
  <c r="F16" i="55"/>
  <c r="G16" i="55"/>
  <c r="H16" i="55"/>
  <c r="I16" i="55"/>
  <c r="J16" i="55"/>
  <c r="K16" i="55"/>
  <c r="F17" i="55"/>
  <c r="G17" i="55"/>
  <c r="H17" i="55"/>
  <c r="I17" i="55"/>
  <c r="J17" i="55"/>
  <c r="K17" i="55"/>
  <c r="F18" i="55"/>
  <c r="G18" i="55"/>
  <c r="H18" i="55"/>
  <c r="I18" i="55"/>
  <c r="J18" i="55"/>
  <c r="K18" i="55"/>
  <c r="F20" i="55"/>
  <c r="G20" i="55"/>
  <c r="H20" i="55"/>
  <c r="I20" i="55"/>
  <c r="J20" i="55"/>
  <c r="K20" i="55"/>
  <c r="E5" i="55"/>
  <c r="E7" i="55"/>
  <c r="E8" i="55"/>
  <c r="E9" i="55"/>
  <c r="E10" i="55"/>
  <c r="E11" i="55"/>
  <c r="E14" i="55"/>
  <c r="E15" i="55"/>
  <c r="E16" i="55"/>
  <c r="E17" i="55"/>
  <c r="E18" i="55"/>
  <c r="E19" i="55"/>
  <c r="E20" i="55"/>
  <c r="E4" i="55"/>
  <c r="L44" i="88"/>
  <c r="J71" i="88"/>
  <c r="K71" i="88"/>
  <c r="L71" i="88"/>
  <c r="M71" i="88"/>
  <c r="N71" i="88"/>
  <c r="C8" i="89" l="1"/>
  <c r="D8" i="89" s="1"/>
  <c r="E8" i="89" s="1"/>
  <c r="F8" i="89" s="1"/>
  <c r="G8" i="89" s="1"/>
  <c r="H8" i="89" s="1"/>
  <c r="I8" i="89" s="1"/>
  <c r="J8" i="89" s="1"/>
  <c r="K8" i="89" s="1"/>
  <c r="L8" i="89" s="1"/>
  <c r="J24" i="35"/>
  <c r="I24" i="35"/>
  <c r="H24" i="35"/>
  <c r="G24" i="35"/>
  <c r="F24" i="35"/>
  <c r="E24" i="35"/>
  <c r="D24" i="35"/>
  <c r="C24" i="35"/>
  <c r="J18" i="35"/>
  <c r="I18" i="35"/>
  <c r="H18" i="35"/>
  <c r="G18" i="35"/>
  <c r="F18" i="35"/>
  <c r="E18" i="35"/>
  <c r="D18" i="35"/>
  <c r="C18" i="35"/>
  <c r="C17" i="35"/>
  <c r="J16" i="35"/>
  <c r="I16" i="35"/>
  <c r="H16" i="35"/>
  <c r="G16" i="35"/>
  <c r="F16" i="35"/>
  <c r="E16" i="35"/>
  <c r="D16" i="35"/>
  <c r="C16" i="35"/>
  <c r="J15" i="35"/>
  <c r="I15" i="35"/>
  <c r="H15" i="35"/>
  <c r="G15" i="35"/>
  <c r="F15" i="35"/>
  <c r="E15" i="35"/>
  <c r="D15" i="35"/>
  <c r="C15" i="35"/>
  <c r="J14" i="35"/>
  <c r="I14" i="35"/>
  <c r="H14" i="35"/>
  <c r="G14" i="35"/>
  <c r="F14" i="35"/>
  <c r="E14" i="35"/>
  <c r="D14" i="35"/>
  <c r="C14" i="35"/>
  <c r="J13" i="35"/>
  <c r="I13" i="35"/>
  <c r="H13" i="35"/>
  <c r="G13" i="35"/>
  <c r="F13" i="35"/>
  <c r="E13" i="35"/>
  <c r="D13" i="35"/>
  <c r="C13" i="35"/>
  <c r="J12" i="35"/>
  <c r="I12" i="35"/>
  <c r="H12" i="35"/>
  <c r="G12" i="35"/>
  <c r="F12" i="35"/>
  <c r="E12" i="35"/>
  <c r="D12" i="35"/>
  <c r="C12" i="35"/>
  <c r="J9" i="35"/>
  <c r="I9" i="35"/>
  <c r="H9" i="35"/>
  <c r="G9" i="35"/>
  <c r="F9" i="35"/>
  <c r="E9" i="35"/>
  <c r="D9" i="35"/>
  <c r="C9" i="35"/>
  <c r="J8" i="35"/>
  <c r="I8" i="35"/>
  <c r="H8" i="35"/>
  <c r="G8" i="35"/>
  <c r="F8" i="35"/>
  <c r="E8" i="35"/>
  <c r="D8" i="35"/>
  <c r="C8" i="35"/>
  <c r="J7" i="35"/>
  <c r="I7" i="35"/>
  <c r="H7" i="35"/>
  <c r="G7" i="35"/>
  <c r="F7" i="35"/>
  <c r="E7" i="35"/>
  <c r="D7" i="35"/>
  <c r="C7" i="35"/>
  <c r="J6" i="35"/>
  <c r="I6" i="35"/>
  <c r="H6" i="35"/>
  <c r="G6" i="35"/>
  <c r="F6" i="35"/>
  <c r="E6" i="35"/>
  <c r="D6" i="35"/>
  <c r="C6" i="35"/>
  <c r="J5" i="35"/>
  <c r="I5" i="35"/>
  <c r="H5" i="35"/>
  <c r="G5" i="35"/>
  <c r="F5" i="35"/>
  <c r="E5" i="35"/>
  <c r="D5" i="35"/>
  <c r="C5" i="35"/>
  <c r="J3" i="35"/>
  <c r="I3" i="35"/>
  <c r="H3" i="35"/>
  <c r="G3" i="35"/>
  <c r="F3" i="35"/>
  <c r="E3" i="35"/>
  <c r="D3" i="35"/>
  <c r="C3" i="35"/>
  <c r="J2" i="35"/>
  <c r="I2" i="35"/>
  <c r="H2" i="35"/>
  <c r="G2" i="35"/>
  <c r="F2" i="35"/>
  <c r="E2" i="35"/>
  <c r="D2" i="35"/>
  <c r="C2" i="35"/>
  <c r="D4" i="55" l="1"/>
  <c r="D5" i="55"/>
  <c r="D6" i="55"/>
  <c r="D7" i="55"/>
  <c r="D8" i="55"/>
  <c r="D9" i="55"/>
  <c r="D10" i="55"/>
  <c r="D11" i="55"/>
  <c r="D12" i="55"/>
  <c r="D13" i="55"/>
  <c r="D14" i="55"/>
  <c r="D15" i="55"/>
  <c r="D16" i="55"/>
  <c r="D17" i="55"/>
  <c r="D18" i="55"/>
  <c r="D19" i="55"/>
  <c r="D20" i="55"/>
  <c r="D21" i="55"/>
  <c r="D22" i="55"/>
  <c r="D23" i="55"/>
  <c r="D24" i="55"/>
  <c r="D25" i="55"/>
  <c r="D28" i="55"/>
  <c r="D29" i="55"/>
  <c r="D30" i="55"/>
  <c r="D31" i="55"/>
  <c r="D32" i="55"/>
  <c r="D74" i="55" l="1"/>
  <c r="D78" i="55"/>
  <c r="D79" i="55"/>
  <c r="D80" i="55"/>
  <c r="D81" i="55"/>
  <c r="D82" i="55"/>
  <c r="D89" i="55"/>
  <c r="D93" i="55"/>
  <c r="D94" i="55"/>
  <c r="D95" i="55"/>
  <c r="D96" i="55"/>
  <c r="D97" i="55"/>
  <c r="D68" i="55"/>
  <c r="D69" i="55"/>
  <c r="D70" i="55"/>
  <c r="D71" i="55"/>
  <c r="D72" i="55"/>
  <c r="D73" i="55"/>
  <c r="D75" i="55"/>
  <c r="D76" i="55"/>
  <c r="D77" i="55"/>
  <c r="D83" i="55"/>
  <c r="D84" i="55"/>
  <c r="D85" i="55"/>
  <c r="D86" i="55"/>
  <c r="D87" i="55"/>
  <c r="D88" i="55"/>
  <c r="AK12" i="67" l="1"/>
  <c r="I23" i="35" s="1"/>
  <c r="K25" i="55" s="1"/>
  <c r="AL12" i="67"/>
  <c r="J23" i="35" s="1"/>
  <c r="AD136" i="88"/>
  <c r="AC136" i="88"/>
  <c r="AB136" i="88"/>
  <c r="AA136" i="88"/>
  <c r="Z136" i="88"/>
  <c r="Y136" i="88"/>
  <c r="X136" i="88"/>
  <c r="W136" i="88"/>
  <c r="V136" i="88"/>
  <c r="U136" i="88"/>
  <c r="T136" i="88"/>
  <c r="S136" i="88"/>
  <c r="R136" i="88"/>
  <c r="Q136" i="88"/>
  <c r="P136" i="88"/>
  <c r="O136" i="88"/>
  <c r="N136" i="88"/>
  <c r="M136" i="88"/>
  <c r="L136" i="88"/>
  <c r="K136" i="88"/>
  <c r="J136" i="88"/>
  <c r="I136" i="88"/>
  <c r="H136" i="88"/>
  <c r="G136" i="88"/>
  <c r="F136" i="88"/>
  <c r="AD135" i="88"/>
  <c r="AC135" i="88"/>
  <c r="AB135" i="88"/>
  <c r="AA135" i="88"/>
  <c r="Z135" i="88"/>
  <c r="Y135" i="88"/>
  <c r="X135" i="88"/>
  <c r="W135" i="88"/>
  <c r="V135" i="88"/>
  <c r="U135" i="88"/>
  <c r="T135" i="88"/>
  <c r="S135" i="88"/>
  <c r="R135" i="88"/>
  <c r="Q135" i="88"/>
  <c r="P135" i="88"/>
  <c r="O135" i="88"/>
  <c r="N135" i="88"/>
  <c r="M135" i="88"/>
  <c r="L135" i="88"/>
  <c r="K135" i="88"/>
  <c r="J135" i="88"/>
  <c r="I135" i="88"/>
  <c r="H135" i="88"/>
  <c r="G135" i="88"/>
  <c r="F135" i="88"/>
  <c r="AD133" i="88"/>
  <c r="AC133" i="88"/>
  <c r="AB133" i="88"/>
  <c r="AA133" i="88"/>
  <c r="Z133" i="88"/>
  <c r="Y133" i="88"/>
  <c r="X133" i="88"/>
  <c r="W133" i="88"/>
  <c r="V133" i="88"/>
  <c r="U133" i="88"/>
  <c r="T133" i="88"/>
  <c r="S133" i="88"/>
  <c r="R133" i="88"/>
  <c r="Q133" i="88"/>
  <c r="P133" i="88"/>
  <c r="O133" i="88"/>
  <c r="N133" i="88"/>
  <c r="M133" i="88"/>
  <c r="L133" i="88"/>
  <c r="K133" i="88"/>
  <c r="J133" i="88"/>
  <c r="I133" i="88"/>
  <c r="H133" i="88"/>
  <c r="G133" i="88"/>
  <c r="F133" i="88"/>
  <c r="AD132" i="88"/>
  <c r="AC132" i="88"/>
  <c r="AB132" i="88"/>
  <c r="AA132" i="88"/>
  <c r="Z132" i="88"/>
  <c r="Y132" i="88"/>
  <c r="X132" i="88"/>
  <c r="W132" i="88"/>
  <c r="V132" i="88"/>
  <c r="U132" i="88"/>
  <c r="T132" i="88"/>
  <c r="S132" i="88"/>
  <c r="R132" i="88"/>
  <c r="Q132" i="88"/>
  <c r="P132" i="88"/>
  <c r="O132" i="88"/>
  <c r="N132" i="88"/>
  <c r="M132" i="88"/>
  <c r="L132" i="88"/>
  <c r="K132" i="88"/>
  <c r="J132" i="88"/>
  <c r="I132" i="88"/>
  <c r="H132" i="88"/>
  <c r="G132" i="88"/>
  <c r="F132" i="88"/>
  <c r="AD131" i="88"/>
  <c r="AC131" i="88"/>
  <c r="AB131" i="88"/>
  <c r="AA131" i="88"/>
  <c r="Z131" i="88"/>
  <c r="Y131" i="88"/>
  <c r="X131" i="88"/>
  <c r="W131" i="88"/>
  <c r="V131" i="88"/>
  <c r="U131" i="88"/>
  <c r="T131" i="88"/>
  <c r="S131" i="88"/>
  <c r="R131" i="88"/>
  <c r="Q131" i="88"/>
  <c r="P131" i="88"/>
  <c r="O131" i="88"/>
  <c r="N131" i="88"/>
  <c r="M131" i="88"/>
  <c r="L131" i="88"/>
  <c r="K131" i="88"/>
  <c r="J131" i="88"/>
  <c r="I131" i="88"/>
  <c r="H131" i="88"/>
  <c r="G131" i="88"/>
  <c r="F131" i="88"/>
  <c r="AD130" i="88"/>
  <c r="AD134" i="88" s="1"/>
  <c r="AC130" i="88"/>
  <c r="AC134" i="88" s="1"/>
  <c r="AB130" i="88"/>
  <c r="AA130" i="88"/>
  <c r="AA134" i="88" s="1"/>
  <c r="Z130" i="88"/>
  <c r="Z134" i="88" s="1"/>
  <c r="Y130" i="88"/>
  <c r="Y134" i="88" s="1"/>
  <c r="X130" i="88"/>
  <c r="W130" i="88"/>
  <c r="W134" i="88" s="1"/>
  <c r="V130" i="88"/>
  <c r="U130" i="88"/>
  <c r="U134" i="88" s="1"/>
  <c r="T130" i="88"/>
  <c r="S130" i="88"/>
  <c r="S134" i="88" s="1"/>
  <c r="R130" i="88"/>
  <c r="Q130" i="88"/>
  <c r="Q134" i="88" s="1"/>
  <c r="P130" i="88"/>
  <c r="P134" i="88" s="1"/>
  <c r="O130" i="88"/>
  <c r="O134" i="88" s="1"/>
  <c r="N130" i="88"/>
  <c r="M130" i="88"/>
  <c r="L130" i="88"/>
  <c r="K130" i="88"/>
  <c r="J130" i="88"/>
  <c r="I130" i="88"/>
  <c r="I134" i="88" s="1"/>
  <c r="H130" i="88"/>
  <c r="G130" i="88"/>
  <c r="F130" i="88"/>
  <c r="AN111" i="88"/>
  <c r="AM111" i="88"/>
  <c r="AL111" i="88"/>
  <c r="AK111" i="88"/>
  <c r="AJ111" i="88"/>
  <c r="AI111" i="88"/>
  <c r="AH111" i="88"/>
  <c r="AG111" i="88"/>
  <c r="AF111" i="88"/>
  <c r="AE111" i="88"/>
  <c r="AD111" i="88"/>
  <c r="AC111" i="88"/>
  <c r="AB111" i="88"/>
  <c r="AA111" i="88"/>
  <c r="Z111" i="88"/>
  <c r="Y111" i="88"/>
  <c r="X111" i="88"/>
  <c r="W111" i="88"/>
  <c r="V111" i="88"/>
  <c r="U111" i="88"/>
  <c r="T111" i="88"/>
  <c r="S111" i="88"/>
  <c r="R111" i="88"/>
  <c r="Q111" i="88"/>
  <c r="P111" i="88"/>
  <c r="O111" i="88"/>
  <c r="N111" i="88"/>
  <c r="M111" i="88"/>
  <c r="L111" i="88"/>
  <c r="K111" i="88"/>
  <c r="J111" i="88"/>
  <c r="I111" i="88"/>
  <c r="H111" i="88"/>
  <c r="G111" i="88"/>
  <c r="F111" i="88"/>
  <c r="K98" i="88"/>
  <c r="J98" i="88"/>
  <c r="I98" i="88"/>
  <c r="H98" i="88"/>
  <c r="G98" i="88"/>
  <c r="F98" i="88"/>
  <c r="E98" i="88"/>
  <c r="M96" i="88"/>
  <c r="L96" i="88"/>
  <c r="K96" i="88"/>
  <c r="J96" i="88"/>
  <c r="I96" i="88"/>
  <c r="H96" i="88"/>
  <c r="G96" i="88"/>
  <c r="F96" i="88"/>
  <c r="E96" i="88"/>
  <c r="K95" i="88"/>
  <c r="J95" i="88"/>
  <c r="I95" i="88"/>
  <c r="H95" i="88"/>
  <c r="G95" i="88"/>
  <c r="F95" i="88"/>
  <c r="E95" i="88"/>
  <c r="F83" i="88"/>
  <c r="E83" i="88"/>
  <c r="F81" i="88"/>
  <c r="E81" i="88"/>
  <c r="F80" i="88"/>
  <c r="E80" i="88"/>
  <c r="Q68" i="88"/>
  <c r="P68" i="88"/>
  <c r="O68" i="88"/>
  <c r="N68" i="88"/>
  <c r="M68" i="88"/>
  <c r="M98" i="88" s="1"/>
  <c r="L68" i="88"/>
  <c r="L98" i="88" s="1"/>
  <c r="V65" i="88"/>
  <c r="U65" i="88"/>
  <c r="T65" i="88"/>
  <c r="S65" i="88"/>
  <c r="R65" i="88"/>
  <c r="Q65" i="88"/>
  <c r="P65" i="88"/>
  <c r="O65" i="88"/>
  <c r="N65" i="88"/>
  <c r="M65" i="88"/>
  <c r="M97" i="88" s="1"/>
  <c r="L65" i="88"/>
  <c r="L97" i="88" s="1"/>
  <c r="K65" i="88"/>
  <c r="K97" i="88" s="1"/>
  <c r="J65" i="88"/>
  <c r="J97" i="88" s="1"/>
  <c r="I65" i="88"/>
  <c r="I97" i="88" s="1"/>
  <c r="H65" i="88"/>
  <c r="H97" i="88" s="1"/>
  <c r="G65" i="88"/>
  <c r="G97" i="88" s="1"/>
  <c r="F65" i="88"/>
  <c r="F97" i="88" s="1"/>
  <c r="E65" i="88"/>
  <c r="E97" i="88" s="1"/>
  <c r="K63" i="88"/>
  <c r="J63" i="88"/>
  <c r="I63" i="88"/>
  <c r="H63" i="88"/>
  <c r="U60" i="88"/>
  <c r="T60" i="88"/>
  <c r="S60" i="88"/>
  <c r="R60" i="88"/>
  <c r="Q60" i="88"/>
  <c r="P60" i="88"/>
  <c r="O60" i="88"/>
  <c r="N60" i="88"/>
  <c r="M60" i="88"/>
  <c r="M95" i="88" s="1"/>
  <c r="L60" i="88"/>
  <c r="L63" i="88" s="1"/>
  <c r="AJ55" i="88"/>
  <c r="AI55" i="88"/>
  <c r="AH55" i="88"/>
  <c r="AJ52" i="88"/>
  <c r="AI52" i="88"/>
  <c r="AH52" i="88"/>
  <c r="AG52" i="88"/>
  <c r="AF52" i="88"/>
  <c r="AE52" i="88"/>
  <c r="AD52" i="88"/>
  <c r="AC52" i="88"/>
  <c r="AB52" i="88"/>
  <c r="AA52" i="88"/>
  <c r="Z52" i="88"/>
  <c r="Y52" i="88"/>
  <c r="AC29" i="88"/>
  <c r="AC141" i="88" s="1"/>
  <c r="AD141" i="88" s="1"/>
  <c r="AE141" i="88" s="1"/>
  <c r="AB29" i="88"/>
  <c r="AB141" i="88" s="1"/>
  <c r="AA29" i="88"/>
  <c r="Z29" i="88"/>
  <c r="Y29" i="88"/>
  <c r="X29" i="88"/>
  <c r="W29" i="88"/>
  <c r="V29" i="88"/>
  <c r="V141" i="88" s="1"/>
  <c r="U29" i="88"/>
  <c r="T29" i="88"/>
  <c r="T141" i="88" s="1"/>
  <c r="S29" i="88"/>
  <c r="R29" i="88"/>
  <c r="Q29" i="88"/>
  <c r="P29" i="88"/>
  <c r="P141" i="88" s="1"/>
  <c r="O29" i="88"/>
  <c r="O141" i="88" s="1"/>
  <c r="N29" i="88"/>
  <c r="N141" i="88" s="1"/>
  <c r="M29" i="88"/>
  <c r="L29" i="88"/>
  <c r="K29" i="88"/>
  <c r="J29" i="88"/>
  <c r="I29" i="88"/>
  <c r="I141" i="88" s="1"/>
  <c r="H29" i="88"/>
  <c r="H141" i="88" s="1"/>
  <c r="G29" i="88"/>
  <c r="F29" i="88"/>
  <c r="AD28" i="88"/>
  <c r="AC28" i="88"/>
  <c r="AB28" i="88"/>
  <c r="AA28" i="88"/>
  <c r="Z28" i="88"/>
  <c r="Z140" i="88" s="1"/>
  <c r="Y28" i="88"/>
  <c r="X28" i="88"/>
  <c r="W28" i="88"/>
  <c r="V28" i="88"/>
  <c r="U28" i="88"/>
  <c r="T28" i="88"/>
  <c r="T140" i="88" s="1"/>
  <c r="S28" i="88"/>
  <c r="S140" i="88" s="1"/>
  <c r="R28" i="88"/>
  <c r="Q28" i="88"/>
  <c r="Q140" i="88" s="1"/>
  <c r="P28" i="88"/>
  <c r="O28" i="88"/>
  <c r="N28" i="88"/>
  <c r="M28" i="88"/>
  <c r="L28" i="88"/>
  <c r="L140" i="88" s="1"/>
  <c r="K28" i="88"/>
  <c r="J28" i="88"/>
  <c r="I28" i="88"/>
  <c r="H28" i="88"/>
  <c r="G28" i="88"/>
  <c r="F28" i="88"/>
  <c r="F140" i="88" s="1"/>
  <c r="AD27" i="88"/>
  <c r="AC27" i="88"/>
  <c r="AC139" i="88" s="1"/>
  <c r="AB27" i="88"/>
  <c r="AA27" i="88"/>
  <c r="Z27" i="88"/>
  <c r="Y27" i="88"/>
  <c r="X27" i="88"/>
  <c r="W27" i="88"/>
  <c r="V27" i="88"/>
  <c r="U27" i="88"/>
  <c r="T27" i="88"/>
  <c r="S27" i="88"/>
  <c r="R27" i="88"/>
  <c r="Q27" i="88"/>
  <c r="P27" i="88"/>
  <c r="O27" i="88"/>
  <c r="O139" i="88" s="1"/>
  <c r="N27" i="88"/>
  <c r="M27" i="88"/>
  <c r="L27" i="88"/>
  <c r="K27" i="88"/>
  <c r="J27" i="88"/>
  <c r="I27" i="88"/>
  <c r="H27" i="88"/>
  <c r="G27" i="88"/>
  <c r="F27" i="88"/>
  <c r="AN26" i="88"/>
  <c r="AM26" i="88"/>
  <c r="AL26" i="88"/>
  <c r="AK26" i="88"/>
  <c r="AJ26" i="88"/>
  <c r="AI26" i="88"/>
  <c r="AH26" i="88"/>
  <c r="AG26" i="88"/>
  <c r="AF26" i="88"/>
  <c r="AE26" i="88"/>
  <c r="AD26" i="88"/>
  <c r="AC26" i="88"/>
  <c r="AB26" i="88"/>
  <c r="AA26" i="88"/>
  <c r="Z26" i="88"/>
  <c r="AD25" i="88"/>
  <c r="AC25" i="88"/>
  <c r="AB25" i="88"/>
  <c r="AA25" i="88"/>
  <c r="Z25" i="88"/>
  <c r="Y25" i="88"/>
  <c r="X25" i="88"/>
  <c r="W25" i="88"/>
  <c r="V25" i="88"/>
  <c r="U25" i="88"/>
  <c r="T25" i="88"/>
  <c r="S25" i="88"/>
  <c r="R25" i="88"/>
  <c r="Q25" i="88"/>
  <c r="P25" i="88"/>
  <c r="O25" i="88"/>
  <c r="N25" i="88"/>
  <c r="M25" i="88"/>
  <c r="L25" i="88"/>
  <c r="K25" i="88"/>
  <c r="J25" i="88"/>
  <c r="I25" i="88"/>
  <c r="H25" i="88"/>
  <c r="G25" i="88"/>
  <c r="F25" i="88"/>
  <c r="AC19" i="88"/>
  <c r="AB19" i="88"/>
  <c r="AA19" i="88"/>
  <c r="AA126" i="88" s="1"/>
  <c r="Z19" i="88"/>
  <c r="Y19" i="88"/>
  <c r="X19" i="88"/>
  <c r="W19" i="88"/>
  <c r="V19" i="88"/>
  <c r="U19" i="88"/>
  <c r="T19" i="88"/>
  <c r="S19" i="88"/>
  <c r="R19" i="88"/>
  <c r="Q19" i="88"/>
  <c r="P19" i="88"/>
  <c r="O19" i="88"/>
  <c r="N19" i="88"/>
  <c r="M19" i="88"/>
  <c r="M126" i="88" s="1"/>
  <c r="H106" i="88" s="1"/>
  <c r="L19" i="88"/>
  <c r="K19" i="88"/>
  <c r="J19" i="88"/>
  <c r="I19" i="88"/>
  <c r="H19" i="88"/>
  <c r="G19" i="88"/>
  <c r="F19" i="88"/>
  <c r="AD15" i="88"/>
  <c r="AC15" i="88"/>
  <c r="AB15" i="88"/>
  <c r="AA15" i="88"/>
  <c r="Z15" i="88"/>
  <c r="Y15" i="88"/>
  <c r="X15" i="88"/>
  <c r="W15" i="88"/>
  <c r="V15" i="88"/>
  <c r="U15" i="88"/>
  <c r="T15" i="88"/>
  <c r="S15" i="88"/>
  <c r="R15" i="88"/>
  <c r="Q15" i="88"/>
  <c r="P15" i="88"/>
  <c r="O15" i="88"/>
  <c r="N15" i="88"/>
  <c r="M15" i="88"/>
  <c r="L15" i="88"/>
  <c r="K15" i="88"/>
  <c r="J15" i="88"/>
  <c r="I15" i="88"/>
  <c r="H15" i="88"/>
  <c r="G15" i="88"/>
  <c r="F15" i="88"/>
  <c r="AD13" i="88"/>
  <c r="AC13" i="88"/>
  <c r="AC32" i="88" s="1"/>
  <c r="AB13" i="88"/>
  <c r="AA13" i="88"/>
  <c r="Z13" i="88"/>
  <c r="Y13" i="88"/>
  <c r="X13" i="88"/>
  <c r="W13" i="88"/>
  <c r="V13" i="88"/>
  <c r="U13" i="88"/>
  <c r="T13" i="88"/>
  <c r="S13" i="88"/>
  <c r="R13" i="88"/>
  <c r="Q13" i="88"/>
  <c r="P13" i="88"/>
  <c r="O13" i="88"/>
  <c r="O32" i="88" s="1"/>
  <c r="N13" i="88"/>
  <c r="M13" i="88"/>
  <c r="L13" i="88"/>
  <c r="K13" i="88"/>
  <c r="J13" i="88"/>
  <c r="I13" i="88"/>
  <c r="H13" i="88"/>
  <c r="G13" i="88"/>
  <c r="F13" i="88"/>
  <c r="AD10" i="88"/>
  <c r="AC10" i="88"/>
  <c r="AB10" i="88"/>
  <c r="AA10" i="88"/>
  <c r="Z10" i="88"/>
  <c r="Y10" i="88"/>
  <c r="X10" i="88"/>
  <c r="W10" i="88"/>
  <c r="V10" i="88"/>
  <c r="U10" i="88"/>
  <c r="T10" i="88"/>
  <c r="S10" i="88"/>
  <c r="S31" i="88" s="1"/>
  <c r="R10" i="88"/>
  <c r="Q10" i="88"/>
  <c r="P10" i="88"/>
  <c r="O10" i="88"/>
  <c r="N10" i="88"/>
  <c r="M10" i="88"/>
  <c r="L10" i="88"/>
  <c r="K10" i="88"/>
  <c r="J10" i="88"/>
  <c r="I10" i="88"/>
  <c r="H10" i="88"/>
  <c r="G10" i="88"/>
  <c r="F10" i="88"/>
  <c r="AE45" i="70"/>
  <c r="Z125" i="88" l="1"/>
  <c r="O126" i="88"/>
  <c r="R149" i="88"/>
  <c r="M153" i="88"/>
  <c r="P154" i="88"/>
  <c r="N126" i="88"/>
  <c r="I106" i="88" s="1"/>
  <c r="J106" i="88" s="1"/>
  <c r="K106" i="88" s="1"/>
  <c r="L106" i="88" s="1"/>
  <c r="M125" i="88"/>
  <c r="AA125" i="88"/>
  <c r="P126" i="88"/>
  <c r="O31" i="88"/>
  <c r="N153" i="88"/>
  <c r="Q154" i="88"/>
  <c r="AC31" i="88"/>
  <c r="Y9" i="88"/>
  <c r="Q9" i="88"/>
  <c r="E104" i="88"/>
  <c r="E103" i="88"/>
  <c r="K150" i="88"/>
  <c r="M22" i="88"/>
  <c r="AA22" i="88"/>
  <c r="K31" i="88"/>
  <c r="Y31" i="88"/>
  <c r="Q125" i="88"/>
  <c r="L148" i="88"/>
  <c r="O149" i="88"/>
  <c r="R150" i="88"/>
  <c r="G151" i="88"/>
  <c r="U139" i="88"/>
  <c r="V9" i="88"/>
  <c r="K9" i="88"/>
  <c r="Y124" i="88"/>
  <c r="I139" i="88"/>
  <c r="W139" i="88"/>
  <c r="H151" i="88"/>
  <c r="W141" i="88"/>
  <c r="N150" i="88"/>
  <c r="U124" i="88"/>
  <c r="I124" i="88"/>
  <c r="G150" i="88"/>
  <c r="S22" i="88"/>
  <c r="W124" i="88"/>
  <c r="W9" i="88"/>
  <c r="Y139" i="88"/>
  <c r="S63" i="88"/>
  <c r="U126" i="88"/>
  <c r="L151" i="88"/>
  <c r="R126" i="88"/>
  <c r="Q22" i="88"/>
  <c r="F103" i="88"/>
  <c r="T125" i="88"/>
  <c r="I126" i="88"/>
  <c r="W126" i="88"/>
  <c r="R140" i="88"/>
  <c r="G141" i="88"/>
  <c r="U141" i="88"/>
  <c r="G149" i="88"/>
  <c r="O125" i="88"/>
  <c r="AC125" i="88"/>
  <c r="R153" i="88"/>
  <c r="G154" i="88"/>
  <c r="R148" i="88"/>
  <c r="H9" i="88"/>
  <c r="Q126" i="88"/>
  <c r="S126" i="88"/>
  <c r="R134" i="88"/>
  <c r="R124" i="88" s="1"/>
  <c r="T126" i="88"/>
  <c r="N140" i="88"/>
  <c r="AB140" i="88"/>
  <c r="Q141" i="88"/>
  <c r="I154" i="88"/>
  <c r="AA9" i="88"/>
  <c r="J126" i="88"/>
  <c r="X141" i="88"/>
  <c r="N151" i="88"/>
  <c r="AD125" i="88"/>
  <c r="AE125" i="88" s="1"/>
  <c r="AF125" i="88" s="1"/>
  <c r="AG125" i="88" s="1"/>
  <c r="AH125" i="88" s="1"/>
  <c r="AI125" i="88" s="1"/>
  <c r="AJ125" i="88" s="1"/>
  <c r="AK125" i="88" s="1"/>
  <c r="AL125" i="88" s="1"/>
  <c r="AM125" i="88" s="1"/>
  <c r="AN125" i="88" s="1"/>
  <c r="V31" i="88"/>
  <c r="AC140" i="88"/>
  <c r="S125" i="88"/>
  <c r="H126" i="88"/>
  <c r="V126" i="88"/>
  <c r="P140" i="88"/>
  <c r="AD140" i="88"/>
  <c r="AE140" i="88" s="1"/>
  <c r="AF140" i="88" s="1"/>
  <c r="AG140" i="88" s="1"/>
  <c r="AH140" i="88" s="1"/>
  <c r="AI140" i="88" s="1"/>
  <c r="AJ140" i="88" s="1"/>
  <c r="AK140" i="88" s="1"/>
  <c r="AL140" i="88" s="1"/>
  <c r="AM140" i="88" s="1"/>
  <c r="AN140" i="88" s="1"/>
  <c r="AN28" i="88" s="1"/>
  <c r="S141" i="88"/>
  <c r="M9" i="88"/>
  <c r="H31" i="88"/>
  <c r="U32" i="88"/>
  <c r="R141" i="88"/>
  <c r="N31" i="88"/>
  <c r="AB31" i="88"/>
  <c r="F141" i="88"/>
  <c r="W125" i="88"/>
  <c r="Z126" i="88"/>
  <c r="M151" i="88"/>
  <c r="H149" i="88"/>
  <c r="S148" i="88"/>
  <c r="Q153" i="88"/>
  <c r="P149" i="88"/>
  <c r="S150" i="88"/>
  <c r="J150" i="88"/>
  <c r="F32" i="88"/>
  <c r="T32" i="88"/>
  <c r="R129" i="88"/>
  <c r="R122" i="88" s="1"/>
  <c r="U129" i="88"/>
  <c r="U138" i="88" s="1"/>
  <c r="R63" i="88"/>
  <c r="M148" i="88"/>
  <c r="Q149" i="88"/>
  <c r="I151" i="88"/>
  <c r="G129" i="88"/>
  <c r="G138" i="88" s="1"/>
  <c r="I36" i="88"/>
  <c r="J36" i="88" s="1"/>
  <c r="Z139" i="88"/>
  <c r="P63" i="88"/>
  <c r="P152" i="88"/>
  <c r="S149" i="88"/>
  <c r="K151" i="88"/>
  <c r="K153" i="88"/>
  <c r="AC9" i="88"/>
  <c r="G9" i="88"/>
  <c r="J125" i="88"/>
  <c r="X125" i="88"/>
  <c r="K126" i="88"/>
  <c r="Y126" i="88"/>
  <c r="AA139" i="88"/>
  <c r="I32" i="88"/>
  <c r="Q63" i="88"/>
  <c r="I150" i="88"/>
  <c r="L154" i="88"/>
  <c r="H125" i="88"/>
  <c r="J151" i="88"/>
  <c r="O22" i="88"/>
  <c r="Q129" i="88"/>
  <c r="Q122" i="88" s="1"/>
  <c r="H150" i="88"/>
  <c r="AB126" i="88"/>
  <c r="F31" i="88"/>
  <c r="K125" i="88"/>
  <c r="Y125" i="88"/>
  <c r="H39" i="88"/>
  <c r="H76" i="88" s="1"/>
  <c r="H83" i="88" s="1"/>
  <c r="S129" i="88"/>
  <c r="S122" i="88" s="1"/>
  <c r="I37" i="88"/>
  <c r="J37" i="88" s="1"/>
  <c r="M140" i="88"/>
  <c r="X32" i="88"/>
  <c r="T63" i="88"/>
  <c r="E106" i="88"/>
  <c r="T129" i="88"/>
  <c r="T122" i="88" s="1"/>
  <c r="W129" i="88"/>
  <c r="W122" i="88" s="1"/>
  <c r="Z129" i="88"/>
  <c r="Z138" i="88" s="1"/>
  <c r="O153" i="88"/>
  <c r="R154" i="88"/>
  <c r="N125" i="88"/>
  <c r="H105" i="88" s="1"/>
  <c r="AB125" i="88"/>
  <c r="Y32" i="88"/>
  <c r="F106" i="88"/>
  <c r="P153" i="88"/>
  <c r="S154" i="88"/>
  <c r="AA140" i="88"/>
  <c r="J32" i="88"/>
  <c r="W32" i="88"/>
  <c r="F129" i="88"/>
  <c r="F138" i="88" s="1"/>
  <c r="AC129" i="88"/>
  <c r="AC122" i="88" s="1"/>
  <c r="I9" i="88"/>
  <c r="Z124" i="88"/>
  <c r="P31" i="88"/>
  <c r="AD31" i="88"/>
  <c r="V129" i="88"/>
  <c r="V122" i="88" s="1"/>
  <c r="Y129" i="88"/>
  <c r="Y122" i="88" s="1"/>
  <c r="L134" i="88"/>
  <c r="L139" i="88" s="1"/>
  <c r="N63" i="88"/>
  <c r="M63" i="88"/>
  <c r="S9" i="88"/>
  <c r="AA124" i="88"/>
  <c r="K141" i="88"/>
  <c r="G37" i="88"/>
  <c r="G74" i="88" s="1"/>
  <c r="G81" i="88" s="1"/>
  <c r="G104" i="88" s="1"/>
  <c r="F22" i="88"/>
  <c r="T22" i="88"/>
  <c r="I22" i="88"/>
  <c r="I39" i="88"/>
  <c r="AA129" i="88"/>
  <c r="AA122" i="88" s="1"/>
  <c r="AD129" i="88"/>
  <c r="AD122" i="88" s="1"/>
  <c r="AE122" i="88" s="1"/>
  <c r="AF122" i="88" s="1"/>
  <c r="AG122" i="88" s="1"/>
  <c r="AH122" i="88" s="1"/>
  <c r="AI122" i="88" s="1"/>
  <c r="AJ122" i="88" s="1"/>
  <c r="AK122" i="88" s="1"/>
  <c r="AL122" i="88" s="1"/>
  <c r="AM122" i="88" s="1"/>
  <c r="AN122" i="88" s="1"/>
  <c r="S151" i="88"/>
  <c r="S153" i="88"/>
  <c r="H154" i="88"/>
  <c r="O148" i="88"/>
  <c r="V125" i="88"/>
  <c r="G31" i="88"/>
  <c r="H140" i="88"/>
  <c r="V140" i="88"/>
  <c r="Y141" i="88"/>
  <c r="O9" i="88"/>
  <c r="M31" i="88"/>
  <c r="AA31" i="88"/>
  <c r="O124" i="88"/>
  <c r="AC124" i="88"/>
  <c r="R125" i="88"/>
  <c r="W22" i="88"/>
  <c r="J140" i="88"/>
  <c r="X140" i="88"/>
  <c r="M141" i="88"/>
  <c r="AA141" i="88"/>
  <c r="Q148" i="88"/>
  <c r="J153" i="88"/>
  <c r="I153" i="88"/>
  <c r="I125" i="88"/>
  <c r="H32" i="88"/>
  <c r="V32" i="88"/>
  <c r="U125" i="88"/>
  <c r="R31" i="88"/>
  <c r="I149" i="88"/>
  <c r="I129" i="88"/>
  <c r="I122" i="88" s="1"/>
  <c r="J149" i="88"/>
  <c r="L150" i="88"/>
  <c r="L129" i="88"/>
  <c r="L122" i="88" s="1"/>
  <c r="O129" i="88"/>
  <c r="O151" i="88"/>
  <c r="O154" i="88"/>
  <c r="N154" i="88"/>
  <c r="O140" i="88"/>
  <c r="AC22" i="88"/>
  <c r="AD139" i="88"/>
  <c r="AE139" i="88" s="1"/>
  <c r="Q139" i="88"/>
  <c r="M154" i="88"/>
  <c r="AC126" i="88"/>
  <c r="S139" i="88"/>
  <c r="U63" i="88"/>
  <c r="L126" i="88"/>
  <c r="G148" i="88"/>
  <c r="M150" i="88"/>
  <c r="P151" i="88"/>
  <c r="L153" i="88"/>
  <c r="AD29" i="88"/>
  <c r="R151" i="88"/>
  <c r="Q151" i="88"/>
  <c r="F134" i="88"/>
  <c r="F139" i="88" s="1"/>
  <c r="Q152" i="88"/>
  <c r="P139" i="88"/>
  <c r="G22" i="88"/>
  <c r="G140" i="88"/>
  <c r="U22" i="88"/>
  <c r="U140" i="88"/>
  <c r="H148" i="88"/>
  <c r="H129" i="88"/>
  <c r="I148" i="88"/>
  <c r="K129" i="88"/>
  <c r="K138" i="88" s="1"/>
  <c r="K149" i="88"/>
  <c r="H22" i="88"/>
  <c r="V22" i="88"/>
  <c r="L149" i="88"/>
  <c r="O150" i="88"/>
  <c r="H134" i="88"/>
  <c r="I152" i="88" s="1"/>
  <c r="X126" i="88"/>
  <c r="J148" i="88"/>
  <c r="J129" i="88"/>
  <c r="J134" i="88"/>
  <c r="X129" i="88"/>
  <c r="X138" i="88" s="1"/>
  <c r="X134" i="88"/>
  <c r="M149" i="88"/>
  <c r="M129" i="88"/>
  <c r="Q150" i="88"/>
  <c r="P150" i="88"/>
  <c r="P129" i="88"/>
  <c r="R9" i="88"/>
  <c r="AF141" i="88"/>
  <c r="AE29" i="88"/>
  <c r="C22" i="35" s="1"/>
  <c r="E24" i="55" s="1"/>
  <c r="P22" i="88"/>
  <c r="I138" i="88"/>
  <c r="L125" i="88"/>
  <c r="H38" i="88"/>
  <c r="J22" i="88"/>
  <c r="X22" i="88"/>
  <c r="K148" i="88"/>
  <c r="N149" i="88"/>
  <c r="X31" i="88"/>
  <c r="X9" i="88"/>
  <c r="W140" i="88"/>
  <c r="N9" i="88"/>
  <c r="AB9" i="88"/>
  <c r="N32" i="88"/>
  <c r="AB32" i="88"/>
  <c r="K140" i="88"/>
  <c r="K22" i="88"/>
  <c r="Y140" i="88"/>
  <c r="Y22" i="88"/>
  <c r="G32" i="88"/>
  <c r="E82" i="88"/>
  <c r="E105" i="88" s="1"/>
  <c r="T134" i="88"/>
  <c r="J141" i="88"/>
  <c r="K154" i="88"/>
  <c r="J154" i="88"/>
  <c r="J31" i="88"/>
  <c r="J9" i="88"/>
  <c r="L31" i="88"/>
  <c r="L9" i="88"/>
  <c r="H36" i="88"/>
  <c r="I140" i="88"/>
  <c r="L22" i="88"/>
  <c r="Z22" i="88"/>
  <c r="L141" i="88"/>
  <c r="Z141" i="88"/>
  <c r="G38" i="88"/>
  <c r="G75" i="88" s="1"/>
  <c r="G82" i="88" s="1"/>
  <c r="G105" i="88" s="1"/>
  <c r="V134" i="88"/>
  <c r="S32" i="88"/>
  <c r="S124" i="88"/>
  <c r="P124" i="88"/>
  <c r="AD124" i="88"/>
  <c r="AE124" i="88" s="1"/>
  <c r="AF124" i="88" s="1"/>
  <c r="AG124" i="88" s="1"/>
  <c r="AH124" i="88" s="1"/>
  <c r="AI124" i="88" s="1"/>
  <c r="AJ124" i="88" s="1"/>
  <c r="AK124" i="88" s="1"/>
  <c r="AL124" i="88" s="1"/>
  <c r="AM124" i="88" s="1"/>
  <c r="AN124" i="88" s="1"/>
  <c r="K32" i="88"/>
  <c r="N129" i="88"/>
  <c r="AB129" i="88"/>
  <c r="AB138" i="88" s="1"/>
  <c r="H153" i="88"/>
  <c r="G153" i="88"/>
  <c r="AD22" i="88"/>
  <c r="U9" i="88"/>
  <c r="Z31" i="88"/>
  <c r="Z9" i="88"/>
  <c r="Q124" i="88"/>
  <c r="Q32" i="88"/>
  <c r="I38" i="88"/>
  <c r="G39" i="88"/>
  <c r="G76" i="88" s="1"/>
  <c r="G83" i="88" s="1"/>
  <c r="G106" i="88" s="1"/>
  <c r="O63" i="88"/>
  <c r="F104" i="88"/>
  <c r="P9" i="88"/>
  <c r="AD9" i="88"/>
  <c r="N22" i="88"/>
  <c r="AB22" i="88"/>
  <c r="L95" i="88"/>
  <c r="N148" i="88"/>
  <c r="H37" i="88"/>
  <c r="P125" i="88"/>
  <c r="P148" i="88"/>
  <c r="F9" i="88"/>
  <c r="T9" i="88"/>
  <c r="R22" i="88"/>
  <c r="Q31" i="88"/>
  <c r="F82" i="88"/>
  <c r="G134" i="88"/>
  <c r="G139" i="88" s="1"/>
  <c r="L32" i="88"/>
  <c r="Z32" i="88"/>
  <c r="T31" i="88"/>
  <c r="M32" i="88"/>
  <c r="AA32" i="88"/>
  <c r="G36" i="88"/>
  <c r="G73" i="88" s="1"/>
  <c r="G80" i="88" s="1"/>
  <c r="G103" i="88" s="1"/>
  <c r="U31" i="88"/>
  <c r="K134" i="88"/>
  <c r="I31" i="88"/>
  <c r="W31" i="88"/>
  <c r="P32" i="88"/>
  <c r="AD32" i="88"/>
  <c r="M134" i="88"/>
  <c r="M139" i="88" s="1"/>
  <c r="N134" i="88"/>
  <c r="O152" i="88" s="1"/>
  <c r="AB134" i="88"/>
  <c r="AB124" i="88" s="1"/>
  <c r="R32" i="88"/>
  <c r="AA138" i="88" l="1"/>
  <c r="S138" i="88"/>
  <c r="R138" i="88"/>
  <c r="AB23" i="88"/>
  <c r="AA30" i="88"/>
  <c r="T30" i="88"/>
  <c r="K30" i="88"/>
  <c r="K152" i="88"/>
  <c r="M30" i="88"/>
  <c r="Z30" i="88"/>
  <c r="Q30" i="88"/>
  <c r="X23" i="88"/>
  <c r="H147" i="88"/>
  <c r="I73" i="88"/>
  <c r="I80" i="88" s="1"/>
  <c r="T23" i="88"/>
  <c r="I44" i="88"/>
  <c r="Q55" i="88" s="1"/>
  <c r="I40" i="88"/>
  <c r="T51" i="88" s="1"/>
  <c r="I74" i="88"/>
  <c r="I81" i="88" s="1"/>
  <c r="U23" i="88"/>
  <c r="S30" i="88"/>
  <c r="J30" i="88"/>
  <c r="X122" i="88"/>
  <c r="L138" i="88"/>
  <c r="R152" i="88"/>
  <c r="P147" i="88"/>
  <c r="P30" i="88"/>
  <c r="H30" i="88"/>
  <c r="S147" i="88"/>
  <c r="O30" i="88"/>
  <c r="Y30" i="88"/>
  <c r="Y23" i="88"/>
  <c r="AM28" i="88"/>
  <c r="AE28" i="88"/>
  <c r="AC30" i="88"/>
  <c r="AC23" i="88"/>
  <c r="W30" i="88"/>
  <c r="W23" i="88"/>
  <c r="AF28" i="88"/>
  <c r="AD30" i="88"/>
  <c r="U122" i="88"/>
  <c r="W138" i="88"/>
  <c r="V30" i="88"/>
  <c r="V23" i="88"/>
  <c r="Z122" i="88"/>
  <c r="AJ28" i="88"/>
  <c r="L30" i="88"/>
  <c r="P122" i="88"/>
  <c r="S152" i="88"/>
  <c r="AD23" i="88"/>
  <c r="AI28" i="88"/>
  <c r="T138" i="88"/>
  <c r="AK28" i="88"/>
  <c r="AL28" i="88"/>
  <c r="F30" i="88"/>
  <c r="G147" i="88"/>
  <c r="AC138" i="88"/>
  <c r="R139" i="88"/>
  <c r="AG28" i="88"/>
  <c r="AH28" i="88"/>
  <c r="Z23" i="88"/>
  <c r="I30" i="88"/>
  <c r="AA23" i="88"/>
  <c r="R30" i="88"/>
  <c r="V138" i="88"/>
  <c r="I76" i="88"/>
  <c r="I83" i="88" s="1"/>
  <c r="I42" i="88"/>
  <c r="S53" i="88" s="1"/>
  <c r="Q147" i="88"/>
  <c r="L124" i="88"/>
  <c r="AB30" i="88"/>
  <c r="Y138" i="88"/>
  <c r="Q138" i="88"/>
  <c r="N147" i="88"/>
  <c r="R147" i="88"/>
  <c r="U30" i="88"/>
  <c r="G30" i="88"/>
  <c r="AD138" i="88"/>
  <c r="AE138" i="88" s="1"/>
  <c r="AB139" i="88"/>
  <c r="J39" i="88"/>
  <c r="J76" i="88" s="1"/>
  <c r="J83" i="88" s="1"/>
  <c r="M152" i="88"/>
  <c r="J105" i="88"/>
  <c r="K105" i="88" s="1"/>
  <c r="L105" i="88" s="1"/>
  <c r="J147" i="88"/>
  <c r="T53" i="88"/>
  <c r="N122" i="88"/>
  <c r="H103" i="88" s="1"/>
  <c r="I103" i="88" s="1"/>
  <c r="J103" i="88" s="1"/>
  <c r="K103" i="88" s="1"/>
  <c r="L103" i="88" s="1"/>
  <c r="L152" i="88"/>
  <c r="AG141" i="88"/>
  <c r="AF29" i="88"/>
  <c r="D22" i="35" s="1"/>
  <c r="F24" i="55" s="1"/>
  <c r="K139" i="88"/>
  <c r="T139" i="88"/>
  <c r="T124" i="88"/>
  <c r="N30" i="88"/>
  <c r="J138" i="88"/>
  <c r="F105" i="88"/>
  <c r="I105" i="88"/>
  <c r="H122" i="88"/>
  <c r="J40" i="88"/>
  <c r="K36" i="88"/>
  <c r="J73" i="88"/>
  <c r="J80" i="88" s="1"/>
  <c r="H74" i="88"/>
  <c r="H81" i="88" s="1"/>
  <c r="H42" i="88"/>
  <c r="H43" i="88"/>
  <c r="H75" i="88"/>
  <c r="H82" i="88" s="1"/>
  <c r="J42" i="88"/>
  <c r="J74" i="88"/>
  <c r="J81" i="88" s="1"/>
  <c r="K37" i="88"/>
  <c r="H152" i="88"/>
  <c r="H124" i="88"/>
  <c r="X30" i="88"/>
  <c r="M147" i="88"/>
  <c r="M138" i="88"/>
  <c r="M122" i="88"/>
  <c r="O147" i="88"/>
  <c r="O138" i="88"/>
  <c r="O122" i="88"/>
  <c r="K147" i="88"/>
  <c r="K122" i="88"/>
  <c r="N152" i="88"/>
  <c r="N124" i="88"/>
  <c r="H104" i="88" s="1"/>
  <c r="I104" i="88" s="1"/>
  <c r="J104" i="88" s="1"/>
  <c r="K104" i="88" s="1"/>
  <c r="L104" i="88" s="1"/>
  <c r="H40" i="88"/>
  <c r="H73" i="88"/>
  <c r="H80" i="88" s="1"/>
  <c r="M124" i="88"/>
  <c r="AF139" i="88"/>
  <c r="AE27" i="88"/>
  <c r="L147" i="88"/>
  <c r="AB122" i="88"/>
  <c r="X139" i="88"/>
  <c r="X124" i="88"/>
  <c r="H44" i="88"/>
  <c r="N138" i="88"/>
  <c r="H138" i="88"/>
  <c r="H139" i="88"/>
  <c r="G152" i="88"/>
  <c r="I43" i="88"/>
  <c r="J38" i="88"/>
  <c r="I75" i="88"/>
  <c r="I82" i="88" s="1"/>
  <c r="N139" i="88"/>
  <c r="V139" i="88"/>
  <c r="V124" i="88"/>
  <c r="J122" i="88"/>
  <c r="P138" i="88"/>
  <c r="J139" i="88"/>
  <c r="J152" i="88"/>
  <c r="J124" i="88"/>
  <c r="K124" i="88"/>
  <c r="I147" i="88"/>
  <c r="Q51" i="88" l="1"/>
  <c r="S51" i="88"/>
  <c r="R55" i="88"/>
  <c r="T55" i="88"/>
  <c r="S55" i="88"/>
  <c r="R51" i="88"/>
  <c r="J44" i="88"/>
  <c r="W55" i="88" s="1"/>
  <c r="K39" i="88"/>
  <c r="K76" i="88" s="1"/>
  <c r="K83" i="88" s="1"/>
  <c r="Q53" i="88"/>
  <c r="R53" i="88"/>
  <c r="AF138" i="88"/>
  <c r="AE25" i="88"/>
  <c r="AE31" i="88" s="1"/>
  <c r="T54" i="88"/>
  <c r="S54" i="88"/>
  <c r="R54" i="88"/>
  <c r="Q54" i="88"/>
  <c r="L36" i="88"/>
  <c r="K40" i="88"/>
  <c r="K73" i="88"/>
  <c r="K80" i="88" s="1"/>
  <c r="O55" i="88"/>
  <c r="N55" i="88"/>
  <c r="M55" i="88"/>
  <c r="P55" i="88"/>
  <c r="P53" i="88"/>
  <c r="O53" i="88"/>
  <c r="N53" i="88"/>
  <c r="M53" i="88"/>
  <c r="AG139" i="88"/>
  <c r="AF27" i="88"/>
  <c r="K74" i="88"/>
  <c r="K81" i="88" s="1"/>
  <c r="K42" i="88"/>
  <c r="L37" i="88"/>
  <c r="AG29" i="88"/>
  <c r="E22" i="35" s="1"/>
  <c r="G24" i="55" s="1"/>
  <c r="AH141" i="88"/>
  <c r="X51" i="88"/>
  <c r="W51" i="88"/>
  <c r="V51" i="88"/>
  <c r="U51" i="88"/>
  <c r="O51" i="88"/>
  <c r="N51" i="88"/>
  <c r="M51" i="88"/>
  <c r="P51" i="88"/>
  <c r="U53" i="88"/>
  <c r="X53" i="88"/>
  <c r="V53" i="88"/>
  <c r="W53" i="88"/>
  <c r="J43" i="88"/>
  <c r="K38" i="88"/>
  <c r="J75" i="88"/>
  <c r="J82" i="88" s="1"/>
  <c r="P54" i="88"/>
  <c r="N54" i="88"/>
  <c r="O54" i="88"/>
  <c r="M54" i="88"/>
  <c r="K44" i="88" l="1"/>
  <c r="U55" i="88"/>
  <c r="V55" i="88"/>
  <c r="X55" i="88"/>
  <c r="L39" i="88"/>
  <c r="L76" i="88" s="1"/>
  <c r="L83" i="88" s="1"/>
  <c r="AE22" i="88"/>
  <c r="AG138" i="88"/>
  <c r="AF25" i="88"/>
  <c r="AF31" i="88" s="1"/>
  <c r="M36" i="88"/>
  <c r="L73" i="88"/>
  <c r="L80" i="88" s="1"/>
  <c r="L40" i="88"/>
  <c r="AB55" i="88"/>
  <c r="AA55" i="88"/>
  <c r="Z55" i="88"/>
  <c r="Y55" i="88"/>
  <c r="AB51" i="88"/>
  <c r="AA51" i="88"/>
  <c r="Z51" i="88"/>
  <c r="Y51" i="88"/>
  <c r="AG27" i="88"/>
  <c r="AH139" i="88"/>
  <c r="AB53" i="88"/>
  <c r="Z53" i="88"/>
  <c r="AA53" i="88"/>
  <c r="Y53" i="88"/>
  <c r="L74" i="88"/>
  <c r="L81" i="88" s="1"/>
  <c r="L42" i="88"/>
  <c r="M37" i="88"/>
  <c r="X54" i="88"/>
  <c r="W54" i="88"/>
  <c r="V54" i="88"/>
  <c r="U54" i="88"/>
  <c r="AH29" i="88"/>
  <c r="F22" i="35" s="1"/>
  <c r="H24" i="55" s="1"/>
  <c r="AI141" i="88"/>
  <c r="K43" i="88"/>
  <c r="L38" i="88"/>
  <c r="K75" i="88"/>
  <c r="K82" i="88" s="1"/>
  <c r="M39" i="88" l="1"/>
  <c r="N39" i="88" s="1"/>
  <c r="N44" i="88" s="1"/>
  <c r="C20" i="35"/>
  <c r="E22" i="55" s="1"/>
  <c r="AE23" i="88"/>
  <c r="AH138" i="88"/>
  <c r="AG25" i="88"/>
  <c r="AG22" i="88" s="1"/>
  <c r="AF22" i="88"/>
  <c r="M76" i="88"/>
  <c r="M83" i="88" s="1"/>
  <c r="M44" i="88"/>
  <c r="M74" i="88"/>
  <c r="M81" i="88" s="1"/>
  <c r="N37" i="88"/>
  <c r="N42" i="88" s="1"/>
  <c r="M42" i="88"/>
  <c r="AF53" i="88"/>
  <c r="AD53" i="88"/>
  <c r="AC53" i="88"/>
  <c r="AE13" i="88"/>
  <c r="AE53" i="88"/>
  <c r="AI29" i="88"/>
  <c r="G22" i="35" s="1"/>
  <c r="I24" i="55" s="1"/>
  <c r="AJ141" i="88"/>
  <c r="AC55" i="88"/>
  <c r="AF55" i="88"/>
  <c r="AD55" i="88"/>
  <c r="AE55" i="88"/>
  <c r="AD19" i="88"/>
  <c r="Y54" i="88"/>
  <c r="AB54" i="88"/>
  <c r="Z54" i="88"/>
  <c r="AA54" i="88"/>
  <c r="AC51" i="88"/>
  <c r="AF51" i="88"/>
  <c r="AD51" i="88"/>
  <c r="AE51" i="88"/>
  <c r="AH27" i="88"/>
  <c r="AI139" i="88"/>
  <c r="L75" i="88"/>
  <c r="L82" i="88" s="1"/>
  <c r="M38" i="88"/>
  <c r="L43" i="88"/>
  <c r="AE17" i="88" s="1"/>
  <c r="AF17" i="88" s="1"/>
  <c r="M40" i="88"/>
  <c r="N36" i="88"/>
  <c r="N40" i="88" s="1"/>
  <c r="M73" i="88"/>
  <c r="M80" i="88" s="1"/>
  <c r="AG55" i="88" l="1"/>
  <c r="D20" i="35"/>
  <c r="F22" i="55" s="1"/>
  <c r="AF23" i="88"/>
  <c r="E20" i="35"/>
  <c r="G22" i="55" s="1"/>
  <c r="AG23" i="88"/>
  <c r="AE19" i="88"/>
  <c r="AI138" i="88"/>
  <c r="AH25" i="88"/>
  <c r="AH22" i="88" s="1"/>
  <c r="AF54" i="88"/>
  <c r="AD54" i="88"/>
  <c r="AE15" i="88"/>
  <c r="AE54" i="88"/>
  <c r="AC54" i="88"/>
  <c r="AE32" i="88"/>
  <c r="AF13" i="88"/>
  <c r="M43" i="88"/>
  <c r="AG17" i="88" s="1"/>
  <c r="AH17" i="88" s="1"/>
  <c r="AI17" i="88" s="1"/>
  <c r="AJ17" i="88" s="1"/>
  <c r="AK17" i="88" s="1"/>
  <c r="AL17" i="88" s="1"/>
  <c r="AM17" i="88" s="1"/>
  <c r="AN17" i="88" s="1"/>
  <c r="N38" i="88"/>
  <c r="N43" i="88" s="1"/>
  <c r="M75" i="88"/>
  <c r="M82" i="88" s="1"/>
  <c r="AD126" i="88"/>
  <c r="AE126" i="88" s="1"/>
  <c r="AF126" i="88" s="1"/>
  <c r="AG126" i="88" s="1"/>
  <c r="AH126" i="88" s="1"/>
  <c r="AI126" i="88" s="1"/>
  <c r="AJ126" i="88" s="1"/>
  <c r="AK126" i="88" s="1"/>
  <c r="AL126" i="88" s="1"/>
  <c r="AM126" i="88" s="1"/>
  <c r="AN126" i="88" s="1"/>
  <c r="AI53" i="88"/>
  <c r="AH53" i="88"/>
  <c r="AG53" i="88"/>
  <c r="AJ53" i="88"/>
  <c r="AJ51" i="88"/>
  <c r="AH51" i="88"/>
  <c r="AI51" i="88"/>
  <c r="AG51" i="88"/>
  <c r="AI27" i="88"/>
  <c r="AJ139" i="88"/>
  <c r="AK141" i="88"/>
  <c r="AJ29" i="88"/>
  <c r="H22" i="35" s="1"/>
  <c r="J24" i="55" s="1"/>
  <c r="F20" i="35" l="1"/>
  <c r="H22" i="55" s="1"/>
  <c r="AH23" i="88"/>
  <c r="C21" i="35"/>
  <c r="E23" i="55" s="1"/>
  <c r="AJ138" i="88"/>
  <c r="AI25" i="88"/>
  <c r="AI22" i="88" s="1"/>
  <c r="AF19" i="88"/>
  <c r="AF32" i="88"/>
  <c r="AG13" i="88"/>
  <c r="AK139" i="88"/>
  <c r="AJ27" i="88"/>
  <c r="AJ54" i="88"/>
  <c r="AH54" i="88"/>
  <c r="AG54" i="88"/>
  <c r="AI54" i="88"/>
  <c r="AE9" i="88"/>
  <c r="C19" i="35" s="1"/>
  <c r="E21" i="55" s="1"/>
  <c r="AG31" i="88"/>
  <c r="AK29" i="88"/>
  <c r="I22" i="35" s="1"/>
  <c r="K24" i="55" s="1"/>
  <c r="AL141" i="88"/>
  <c r="AH31" i="88" l="1"/>
  <c r="G20" i="35"/>
  <c r="I22" i="55" s="1"/>
  <c r="AI23" i="88"/>
  <c r="D21" i="35"/>
  <c r="F23" i="55" s="1"/>
  <c r="AE30" i="88"/>
  <c r="AG19" i="88"/>
  <c r="AJ25" i="88"/>
  <c r="AJ22" i="88" s="1"/>
  <c r="AK138" i="88"/>
  <c r="AK27" i="88"/>
  <c r="AL139" i="88"/>
  <c r="AL29" i="88"/>
  <c r="J22" i="35" s="1"/>
  <c r="AM141" i="88"/>
  <c r="AF15" i="88"/>
  <c r="AF9" i="88" s="1"/>
  <c r="D19" i="35" s="1"/>
  <c r="F21" i="55" s="1"/>
  <c r="AG32" i="88"/>
  <c r="AH13" i="88"/>
  <c r="H20" i="35" l="1"/>
  <c r="J22" i="55" s="1"/>
  <c r="AJ23" i="88"/>
  <c r="E21" i="35"/>
  <c r="G23" i="55" s="1"/>
  <c r="AL138" i="88"/>
  <c r="AK25" i="88"/>
  <c r="AK31" i="88" s="1"/>
  <c r="AF30" i="88"/>
  <c r="AH19" i="88"/>
  <c r="AH32" i="88"/>
  <c r="AI13" i="88"/>
  <c r="AM29" i="88"/>
  <c r="AN141" i="88"/>
  <c r="AN29" i="88" s="1"/>
  <c r="AI31" i="88"/>
  <c r="AG15" i="88"/>
  <c r="AG9" i="88" s="1"/>
  <c r="E19" i="35" s="1"/>
  <c r="G21" i="55" s="1"/>
  <c r="AL27" i="88"/>
  <c r="AM139" i="88"/>
  <c r="AF12" i="67"/>
  <c r="D23" i="35" s="1"/>
  <c r="F25" i="55" s="1"/>
  <c r="AG12" i="67"/>
  <c r="E23" i="35" s="1"/>
  <c r="G25" i="55" s="1"/>
  <c r="AH12" i="67"/>
  <c r="F23" i="35" s="1"/>
  <c r="H25" i="55" s="1"/>
  <c r="AI12" i="67"/>
  <c r="G23" i="35" s="1"/>
  <c r="I25" i="55" s="1"/>
  <c r="AJ12" i="67"/>
  <c r="H23" i="35" s="1"/>
  <c r="J25" i="55" s="1"/>
  <c r="AE12" i="67"/>
  <c r="C23" i="35" s="1"/>
  <c r="E25" i="55" s="1"/>
  <c r="AE48" i="70"/>
  <c r="T65" i="59"/>
  <c r="H9" i="84"/>
  <c r="H8" i="84"/>
  <c r="D7" i="84"/>
  <c r="C7" i="84"/>
  <c r="B7" i="84"/>
  <c r="N97" i="83"/>
  <c r="M97" i="83"/>
  <c r="L97" i="83"/>
  <c r="K97" i="83"/>
  <c r="J97" i="83"/>
  <c r="I97" i="83"/>
  <c r="H97" i="83"/>
  <c r="G97" i="83"/>
  <c r="F97" i="83"/>
  <c r="E97" i="83"/>
  <c r="D97" i="83"/>
  <c r="C97" i="83"/>
  <c r="K93" i="83"/>
  <c r="N94" i="83" s="1"/>
  <c r="J93" i="83"/>
  <c r="I93" i="83"/>
  <c r="H93" i="83"/>
  <c r="G93" i="83"/>
  <c r="F93" i="83"/>
  <c r="E93" i="83"/>
  <c r="D93" i="83"/>
  <c r="C93" i="83"/>
  <c r="E90" i="83"/>
  <c r="F90" i="83" s="1"/>
  <c r="G90" i="83" s="1"/>
  <c r="H90" i="83" s="1"/>
  <c r="I90" i="83" s="1"/>
  <c r="J90" i="83" s="1"/>
  <c r="K90" i="83" s="1"/>
  <c r="L90" i="83" s="1"/>
  <c r="M90" i="83" s="1"/>
  <c r="N90" i="83" s="1"/>
  <c r="O90" i="83" s="1"/>
  <c r="P90" i="83" s="1"/>
  <c r="Q90" i="83" s="1"/>
  <c r="R90" i="83" s="1"/>
  <c r="D90" i="83"/>
  <c r="AD72" i="83"/>
  <c r="AC70" i="83"/>
  <c r="AB70" i="83"/>
  <c r="AC69" i="83" s="1"/>
  <c r="AC71" i="83" s="1"/>
  <c r="AA70" i="83"/>
  <c r="AB69" i="83" s="1"/>
  <c r="AB71" i="83" s="1"/>
  <c r="Z70" i="83"/>
  <c r="AA69" i="83" s="1"/>
  <c r="AA71" i="83" s="1"/>
  <c r="Y70" i="83"/>
  <c r="Z69" i="83" s="1"/>
  <c r="Z71" i="83" s="1"/>
  <c r="X70" i="83"/>
  <c r="Y69" i="83" s="1"/>
  <c r="Y71" i="83" s="1"/>
  <c r="W70" i="83"/>
  <c r="X69" i="83" s="1"/>
  <c r="X71" i="83" s="1"/>
  <c r="V70" i="83"/>
  <c r="W69" i="83" s="1"/>
  <c r="W71" i="83" s="1"/>
  <c r="U70" i="83"/>
  <c r="V69" i="83" s="1"/>
  <c r="V71" i="83" s="1"/>
  <c r="T70" i="83"/>
  <c r="U69" i="83" s="1"/>
  <c r="U71" i="83" s="1"/>
  <c r="S70" i="83"/>
  <c r="R70" i="83"/>
  <c r="Q70" i="83"/>
  <c r="P70" i="83"/>
  <c r="O70" i="83"/>
  <c r="N70" i="83"/>
  <c r="M70" i="83"/>
  <c r="L70" i="83"/>
  <c r="K70" i="83"/>
  <c r="J70" i="83"/>
  <c r="I70" i="83"/>
  <c r="H70" i="83"/>
  <c r="G70" i="83"/>
  <c r="F70" i="83"/>
  <c r="E70" i="83"/>
  <c r="D70" i="83"/>
  <c r="D72" i="83" s="1"/>
  <c r="AC61" i="83"/>
  <c r="AB61" i="83"/>
  <c r="AA61" i="83"/>
  <c r="Z61" i="83"/>
  <c r="Y61" i="83"/>
  <c r="X61" i="83"/>
  <c r="W61" i="83"/>
  <c r="V61" i="83"/>
  <c r="U61" i="83"/>
  <c r="T61" i="83"/>
  <c r="S61" i="83"/>
  <c r="R61" i="83"/>
  <c r="Q61" i="83"/>
  <c r="P61" i="83"/>
  <c r="O61" i="83"/>
  <c r="N61" i="83"/>
  <c r="M61" i="83"/>
  <c r="L61" i="83"/>
  <c r="K61" i="83"/>
  <c r="J61" i="83"/>
  <c r="I61" i="83"/>
  <c r="H61" i="83"/>
  <c r="G61" i="83"/>
  <c r="F61" i="83"/>
  <c r="E61" i="83"/>
  <c r="D61" i="83"/>
  <c r="AC51" i="83"/>
  <c r="AB51" i="83"/>
  <c r="AA51" i="83"/>
  <c r="Z51" i="83"/>
  <c r="Y51" i="83"/>
  <c r="X51" i="83"/>
  <c r="W51" i="83"/>
  <c r="V51" i="83"/>
  <c r="U51" i="83"/>
  <c r="T51" i="83"/>
  <c r="S51" i="83"/>
  <c r="R51" i="83"/>
  <c r="Q51" i="83"/>
  <c r="P51" i="83"/>
  <c r="O51" i="83"/>
  <c r="N51" i="83"/>
  <c r="M51" i="83"/>
  <c r="L51" i="83"/>
  <c r="K51" i="83"/>
  <c r="J51" i="83"/>
  <c r="I51" i="83"/>
  <c r="H51" i="83"/>
  <c r="G51" i="83"/>
  <c r="F51" i="83"/>
  <c r="E51" i="83"/>
  <c r="D51" i="83"/>
  <c r="AN37" i="83"/>
  <c r="AM37" i="83"/>
  <c r="AL37" i="83"/>
  <c r="AK37" i="83"/>
  <c r="AJ37" i="83"/>
  <c r="AI37" i="83"/>
  <c r="AH37" i="83"/>
  <c r="AG37" i="83"/>
  <c r="AF37" i="83"/>
  <c r="AE37" i="83"/>
  <c r="AD37" i="83"/>
  <c r="AC37" i="83"/>
  <c r="AB37" i="83"/>
  <c r="AA37" i="83"/>
  <c r="Z37" i="83"/>
  <c r="Y37" i="83"/>
  <c r="X37" i="83"/>
  <c r="W37" i="83"/>
  <c r="V37" i="83"/>
  <c r="U37" i="83"/>
  <c r="T37" i="83"/>
  <c r="S37" i="83"/>
  <c r="R37" i="83"/>
  <c r="Q37" i="83"/>
  <c r="P37" i="83"/>
  <c r="O37" i="83"/>
  <c r="N37" i="83"/>
  <c r="M37" i="83"/>
  <c r="L37" i="83"/>
  <c r="K37" i="83"/>
  <c r="J37" i="83"/>
  <c r="I37" i="83"/>
  <c r="H37" i="83"/>
  <c r="G37" i="83"/>
  <c r="F37" i="83"/>
  <c r="E37" i="83"/>
  <c r="D37" i="83"/>
  <c r="AC36" i="83"/>
  <c r="AB36" i="83"/>
  <c r="AA36" i="83"/>
  <c r="Z36" i="83"/>
  <c r="Y36" i="83"/>
  <c r="X36" i="83"/>
  <c r="W36" i="83"/>
  <c r="V36" i="83"/>
  <c r="U36" i="83"/>
  <c r="T36" i="83"/>
  <c r="S36" i="83"/>
  <c r="R36" i="83"/>
  <c r="Q36" i="83"/>
  <c r="P36" i="83"/>
  <c r="O36" i="83"/>
  <c r="N36" i="83"/>
  <c r="M36" i="83"/>
  <c r="L36" i="83"/>
  <c r="K36" i="83"/>
  <c r="J36" i="83"/>
  <c r="I36" i="83"/>
  <c r="H36" i="83"/>
  <c r="G36" i="83"/>
  <c r="F36" i="83"/>
  <c r="E36" i="83"/>
  <c r="D36" i="83"/>
  <c r="AN32" i="83"/>
  <c r="AM32" i="83"/>
  <c r="AL32" i="83"/>
  <c r="AK32" i="83"/>
  <c r="AJ32" i="83"/>
  <c r="AI32" i="83"/>
  <c r="AH32" i="83"/>
  <c r="AG32" i="83"/>
  <c r="AF32" i="83"/>
  <c r="AE32" i="83"/>
  <c r="AD32" i="83"/>
  <c r="AC32" i="83"/>
  <c r="AB32" i="83"/>
  <c r="AA32" i="83"/>
  <c r="Z32" i="83"/>
  <c r="Y32" i="83"/>
  <c r="X32" i="83"/>
  <c r="W32" i="83"/>
  <c r="V32" i="83"/>
  <c r="U32" i="83"/>
  <c r="T32" i="83"/>
  <c r="S32" i="83"/>
  <c r="AN30" i="83"/>
  <c r="AM30" i="83"/>
  <c r="AL30" i="83"/>
  <c r="AK30" i="83"/>
  <c r="AJ30" i="83"/>
  <c r="AI30" i="83"/>
  <c r="AH30" i="83"/>
  <c r="AG30" i="83"/>
  <c r="AN28" i="83"/>
  <c r="AM28" i="83"/>
  <c r="AL28" i="83"/>
  <c r="AK28" i="83"/>
  <c r="AJ28" i="83"/>
  <c r="AI28" i="83"/>
  <c r="AH28" i="83"/>
  <c r="AG28" i="83"/>
  <c r="AF28" i="83"/>
  <c r="AE28" i="83"/>
  <c r="AD28" i="83"/>
  <c r="AC28" i="83"/>
  <c r="AB28" i="83"/>
  <c r="AA28" i="83"/>
  <c r="Z28" i="83"/>
  <c r="Y28" i="83"/>
  <c r="X28" i="83"/>
  <c r="W28" i="83"/>
  <c r="V28" i="83"/>
  <c r="U28" i="83"/>
  <c r="T28" i="83"/>
  <c r="S28" i="83"/>
  <c r="R28" i="83"/>
  <c r="Q28" i="83"/>
  <c r="P28" i="83"/>
  <c r="O28" i="83"/>
  <c r="N28" i="83"/>
  <c r="M28" i="83"/>
  <c r="L28" i="83"/>
  <c r="K28" i="83"/>
  <c r="J28" i="83"/>
  <c r="T27" i="83"/>
  <c r="S27" i="83"/>
  <c r="R27" i="83"/>
  <c r="Q27" i="83"/>
  <c r="P27" i="83"/>
  <c r="O27" i="83"/>
  <c r="N27" i="83"/>
  <c r="M27" i="83"/>
  <c r="H26" i="83"/>
  <c r="G26" i="83"/>
  <c r="F26" i="83"/>
  <c r="E26" i="83"/>
  <c r="D26" i="83"/>
  <c r="AF25" i="83"/>
  <c r="AF30" i="83" s="1"/>
  <c r="AE25" i="83"/>
  <c r="AE30" i="83" s="1"/>
  <c r="AD25" i="83"/>
  <c r="AD30" i="83" s="1"/>
  <c r="AC25" i="83"/>
  <c r="AC30" i="83" s="1"/>
  <c r="AB25" i="83"/>
  <c r="AB30" i="83" s="1"/>
  <c r="AA25" i="83"/>
  <c r="AA30" i="83" s="1"/>
  <c r="Z25" i="83"/>
  <c r="Z30" i="83" s="1"/>
  <c r="Y25" i="83"/>
  <c r="Y30" i="83" s="1"/>
  <c r="X25" i="83"/>
  <c r="X30" i="83" s="1"/>
  <c r="W25" i="83"/>
  <c r="W30" i="83" s="1"/>
  <c r="V25" i="83"/>
  <c r="V30" i="83" s="1"/>
  <c r="U25" i="83"/>
  <c r="U30" i="83" s="1"/>
  <c r="T25" i="83"/>
  <c r="S25" i="83"/>
  <c r="R25" i="83"/>
  <c r="Q25" i="83"/>
  <c r="P25" i="83"/>
  <c r="O25" i="83"/>
  <c r="N25" i="83"/>
  <c r="M25" i="83"/>
  <c r="AF24" i="83"/>
  <c r="AE24" i="83"/>
  <c r="AD24" i="83"/>
  <c r="AC24" i="83"/>
  <c r="AB24" i="83"/>
  <c r="AA24" i="83"/>
  <c r="Z24" i="83"/>
  <c r="Y24" i="83"/>
  <c r="X24" i="83"/>
  <c r="W24" i="83"/>
  <c r="V24" i="83"/>
  <c r="U24" i="83"/>
  <c r="S24" i="83"/>
  <c r="R24" i="83"/>
  <c r="Q24" i="83"/>
  <c r="P24" i="83"/>
  <c r="O24" i="83"/>
  <c r="N24" i="83"/>
  <c r="M24" i="83"/>
  <c r="T21" i="83"/>
  <c r="S21" i="83"/>
  <c r="R21" i="83"/>
  <c r="Q21" i="83"/>
  <c r="P21" i="83"/>
  <c r="O21" i="83"/>
  <c r="N21" i="83"/>
  <c r="M21" i="83"/>
  <c r="L21" i="83"/>
  <c r="L30" i="83" s="1"/>
  <c r="K21" i="83"/>
  <c r="K30" i="83" s="1"/>
  <c r="J21" i="83"/>
  <c r="J30" i="83" s="1"/>
  <c r="I21" i="83"/>
  <c r="I30" i="83" s="1"/>
  <c r="H21" i="83"/>
  <c r="H30" i="83" s="1"/>
  <c r="G21" i="83"/>
  <c r="G30" i="83" s="1"/>
  <c r="F21" i="83"/>
  <c r="F30" i="83" s="1"/>
  <c r="E21" i="83"/>
  <c r="E64" i="83" s="1"/>
  <c r="D21" i="83"/>
  <c r="D30" i="83" s="1"/>
  <c r="AN18" i="83"/>
  <c r="AM18" i="83"/>
  <c r="AL18" i="83"/>
  <c r="AK18" i="83"/>
  <c r="AJ18" i="83"/>
  <c r="AI18" i="83"/>
  <c r="AH18" i="83"/>
  <c r="AG18" i="83"/>
  <c r="AF18" i="83"/>
  <c r="AE18" i="83"/>
  <c r="AD18" i="83"/>
  <c r="AC18" i="83"/>
  <c r="AB18" i="83"/>
  <c r="AA18" i="83"/>
  <c r="Z18" i="83"/>
  <c r="Y18" i="83"/>
  <c r="X18" i="83"/>
  <c r="W18" i="83"/>
  <c r="V18" i="83"/>
  <c r="U18" i="83"/>
  <c r="T18" i="83"/>
  <c r="S18" i="83"/>
  <c r="R18" i="83"/>
  <c r="Q18" i="83"/>
  <c r="P18" i="83"/>
  <c r="O18" i="83"/>
  <c r="N18" i="83"/>
  <c r="M18" i="83"/>
  <c r="L18" i="83"/>
  <c r="K18" i="83"/>
  <c r="J18" i="83"/>
  <c r="I18" i="83"/>
  <c r="H18" i="83"/>
  <c r="AN17" i="83"/>
  <c r="AM17" i="83"/>
  <c r="AL17" i="83"/>
  <c r="AK17" i="83"/>
  <c r="AJ17" i="83"/>
  <c r="AI17" i="83"/>
  <c r="AH17" i="83"/>
  <c r="AG17" i="83"/>
  <c r="AF17" i="83"/>
  <c r="AE17" i="83"/>
  <c r="C5" i="84" s="1"/>
  <c r="AD17" i="83"/>
  <c r="B5" i="84" s="1"/>
  <c r="AC17" i="83"/>
  <c r="AB17" i="83"/>
  <c r="AA17" i="83"/>
  <c r="Z17" i="83"/>
  <c r="Y17" i="83"/>
  <c r="X17" i="83"/>
  <c r="W17" i="83"/>
  <c r="V17" i="83"/>
  <c r="U17" i="83"/>
  <c r="T17" i="83"/>
  <c r="S17" i="83"/>
  <c r="R17" i="83"/>
  <c r="Q17" i="83"/>
  <c r="P17" i="83"/>
  <c r="O17" i="83"/>
  <c r="N17" i="83"/>
  <c r="M17" i="83"/>
  <c r="L17" i="83"/>
  <c r="K17" i="83"/>
  <c r="J17" i="83"/>
  <c r="I17" i="83"/>
  <c r="H17" i="83"/>
  <c r="G17" i="83"/>
  <c r="F17" i="83"/>
  <c r="E17" i="83"/>
  <c r="D17" i="83"/>
  <c r="AC16" i="83"/>
  <c r="AB16" i="83"/>
  <c r="AA16" i="83"/>
  <c r="Z16" i="83"/>
  <c r="Y16" i="83"/>
  <c r="X16" i="83"/>
  <c r="W16" i="83"/>
  <c r="V16" i="83"/>
  <c r="AC15" i="83"/>
  <c r="AB15" i="83"/>
  <c r="AA15" i="83"/>
  <c r="Z15" i="83"/>
  <c r="Y15" i="83"/>
  <c r="X15" i="83"/>
  <c r="W15" i="83"/>
  <c r="V15" i="83"/>
  <c r="AN14" i="83"/>
  <c r="AM14" i="83"/>
  <c r="AL14" i="83"/>
  <c r="AK14" i="83"/>
  <c r="AJ14" i="83"/>
  <c r="AI14" i="83"/>
  <c r="AH14" i="83"/>
  <c r="AG14" i="83"/>
  <c r="AF14" i="83"/>
  <c r="AE14" i="83"/>
  <c r="AD14" i="83"/>
  <c r="U14" i="83"/>
  <c r="T14" i="83"/>
  <c r="S14" i="83"/>
  <c r="R14" i="83"/>
  <c r="Q14" i="83"/>
  <c r="P14" i="83"/>
  <c r="O14" i="83"/>
  <c r="N14" i="83"/>
  <c r="M14" i="83"/>
  <c r="L14" i="83"/>
  <c r="K14" i="83"/>
  <c r="J14" i="83"/>
  <c r="I14" i="83"/>
  <c r="H14" i="83"/>
  <c r="G14" i="83"/>
  <c r="F14" i="83"/>
  <c r="E14" i="83"/>
  <c r="D14" i="83"/>
  <c r="AC12" i="83"/>
  <c r="AB12" i="83"/>
  <c r="AA12" i="83"/>
  <c r="Z12" i="83"/>
  <c r="Y12" i="83"/>
  <c r="X12" i="83"/>
  <c r="W12" i="83"/>
  <c r="V12" i="83"/>
  <c r="U12" i="83"/>
  <c r="T12" i="83"/>
  <c r="S12" i="83"/>
  <c r="R12" i="83"/>
  <c r="Q12" i="83"/>
  <c r="P12" i="83"/>
  <c r="O12" i="83"/>
  <c r="N12" i="83"/>
  <c r="M12" i="83"/>
  <c r="L12" i="83"/>
  <c r="K12" i="83"/>
  <c r="J12" i="83"/>
  <c r="I12" i="83"/>
  <c r="H12" i="83"/>
  <c r="G12" i="83"/>
  <c r="F12" i="83"/>
  <c r="E12" i="83"/>
  <c r="D12" i="83"/>
  <c r="D34" i="59"/>
  <c r="E34" i="59"/>
  <c r="F34" i="59"/>
  <c r="G34" i="59"/>
  <c r="H34" i="59"/>
  <c r="I34" i="59"/>
  <c r="J34" i="59"/>
  <c r="K34" i="59"/>
  <c r="L34" i="59"/>
  <c r="M34" i="59"/>
  <c r="N34" i="59"/>
  <c r="O34" i="59"/>
  <c r="P34" i="59"/>
  <c r="R34" i="59"/>
  <c r="S34" i="59"/>
  <c r="T34" i="59"/>
  <c r="U34" i="59"/>
  <c r="V34" i="59"/>
  <c r="W34" i="59"/>
  <c r="X34" i="59"/>
  <c r="Y34" i="59"/>
  <c r="Z34" i="59"/>
  <c r="AA34" i="59"/>
  <c r="AB34" i="59"/>
  <c r="AC34" i="59"/>
  <c r="AD34" i="59"/>
  <c r="AE34" i="59"/>
  <c r="AF34" i="59"/>
  <c r="AG34" i="59"/>
  <c r="AH34" i="59"/>
  <c r="AI34" i="59"/>
  <c r="AJ34" i="59"/>
  <c r="AK34" i="59"/>
  <c r="AL34" i="59"/>
  <c r="AM34" i="59"/>
  <c r="AN34" i="59"/>
  <c r="Q34" i="59"/>
  <c r="J19" i="82"/>
  <c r="X14" i="83" l="1"/>
  <c r="O63" i="83"/>
  <c r="AK22" i="88"/>
  <c r="I20" i="35" s="1"/>
  <c r="K22" i="55" s="1"/>
  <c r="F21" i="35"/>
  <c r="H23" i="55" s="1"/>
  <c r="P72" i="83"/>
  <c r="H63" i="83"/>
  <c r="L72" i="83"/>
  <c r="M72" i="83"/>
  <c r="AA14" i="83"/>
  <c r="AA63" i="83" s="1"/>
  <c r="O72" i="83"/>
  <c r="M30" i="83"/>
  <c r="G72" i="83"/>
  <c r="K38" i="83"/>
  <c r="I72" i="83"/>
  <c r="G63" i="83"/>
  <c r="U63" i="83"/>
  <c r="Z14" i="83"/>
  <c r="Z63" i="83" s="1"/>
  <c r="N72" i="83"/>
  <c r="N63" i="83"/>
  <c r="Q72" i="83"/>
  <c r="J72" i="83"/>
  <c r="K72" i="83"/>
  <c r="T72" i="83"/>
  <c r="AC14" i="83"/>
  <c r="AC63" i="83" s="1"/>
  <c r="W14" i="83"/>
  <c r="R72" i="83"/>
  <c r="F72" i="83"/>
  <c r="P63" i="83"/>
  <c r="J38" i="83"/>
  <c r="H72" i="83"/>
  <c r="AI19" i="88"/>
  <c r="AG30" i="88"/>
  <c r="AM138" i="88"/>
  <c r="AL25" i="88"/>
  <c r="AL31" i="88" s="1"/>
  <c r="AH15" i="88"/>
  <c r="AH9" i="88" s="1"/>
  <c r="F19" i="35" s="1"/>
  <c r="H21" i="55" s="1"/>
  <c r="AM27" i="88"/>
  <c r="AN139" i="88"/>
  <c r="AN27" i="88" s="1"/>
  <c r="AJ31" i="88"/>
  <c r="AJ13" i="88"/>
  <c r="AI32" i="88"/>
  <c r="D5" i="84"/>
  <c r="E63" i="83"/>
  <c r="E62" i="83" s="1"/>
  <c r="E65" i="83" s="1"/>
  <c r="S63" i="83"/>
  <c r="F63" i="83"/>
  <c r="T63" i="83"/>
  <c r="E66" i="83"/>
  <c r="E31" i="83" s="1"/>
  <c r="F66" i="83"/>
  <c r="F31" i="83" s="1"/>
  <c r="S30" i="83"/>
  <c r="T30" i="83"/>
  <c r="S72" i="83"/>
  <c r="E72" i="83"/>
  <c r="S38" i="83"/>
  <c r="N30" i="83"/>
  <c r="I38" i="83"/>
  <c r="Q63" i="83"/>
  <c r="H64" i="83"/>
  <c r="H62" i="83" s="1"/>
  <c r="H65" i="83" s="1"/>
  <c r="F38" i="83"/>
  <c r="T38" i="83"/>
  <c r="D63" i="83"/>
  <c r="R63" i="83"/>
  <c r="E38" i="83"/>
  <c r="V14" i="83"/>
  <c r="V63" i="83" s="1"/>
  <c r="AB14" i="83"/>
  <c r="AB63" i="83" s="1"/>
  <c r="Q30" i="83"/>
  <c r="O50" i="83"/>
  <c r="O26" i="83" s="1"/>
  <c r="O64" i="83" s="1"/>
  <c r="O62" i="83" s="1"/>
  <c r="O65" i="83" s="1"/>
  <c r="G66" i="83"/>
  <c r="G31" i="83" s="1"/>
  <c r="L38" i="83"/>
  <c r="N50" i="83"/>
  <c r="N26" i="83" s="1"/>
  <c r="N64" i="83" s="1"/>
  <c r="H66" i="83"/>
  <c r="E30" i="83"/>
  <c r="M38" i="83"/>
  <c r="AB50" i="83"/>
  <c r="AB26" i="83" s="1"/>
  <c r="AB64" i="83" s="1"/>
  <c r="P38" i="83"/>
  <c r="L52" i="83"/>
  <c r="Z52" i="83"/>
  <c r="I50" i="83"/>
  <c r="I26" i="83" s="1"/>
  <c r="I64" i="83" s="1"/>
  <c r="J52" i="83"/>
  <c r="O30" i="83"/>
  <c r="Q38" i="83"/>
  <c r="Q40" i="83" s="1"/>
  <c r="M52" i="83"/>
  <c r="AA52" i="83"/>
  <c r="V52" i="83"/>
  <c r="W63" i="83"/>
  <c r="N38" i="83"/>
  <c r="D66" i="83"/>
  <c r="D31" i="83" s="1"/>
  <c r="P30" i="83"/>
  <c r="D38" i="83"/>
  <c r="R38" i="83"/>
  <c r="T50" i="83"/>
  <c r="T26" i="83" s="1"/>
  <c r="T64" i="83" s="1"/>
  <c r="T62" i="83" s="1"/>
  <c r="T65" i="83" s="1"/>
  <c r="N52" i="83"/>
  <c r="AB52" i="83"/>
  <c r="X63" i="83"/>
  <c r="O38" i="83"/>
  <c r="V50" i="83"/>
  <c r="V26" i="83" s="1"/>
  <c r="V64" i="83" s="1"/>
  <c r="O52" i="83"/>
  <c r="AC52" i="83"/>
  <c r="R30" i="83"/>
  <c r="H38" i="83"/>
  <c r="P52" i="83"/>
  <c r="X52" i="83"/>
  <c r="I63" i="83"/>
  <c r="G38" i="83"/>
  <c r="AC50" i="83"/>
  <c r="AD50" i="83" s="1"/>
  <c r="AE50" i="83" s="1"/>
  <c r="Q52" i="83"/>
  <c r="J63" i="83"/>
  <c r="Y14" i="83"/>
  <c r="Y63" i="83" s="1"/>
  <c r="R52" i="83"/>
  <c r="Y52" i="83"/>
  <c r="I66" i="83"/>
  <c r="I31" i="83" s="1"/>
  <c r="K63" i="83"/>
  <c r="R50" i="83"/>
  <c r="R26" i="83" s="1"/>
  <c r="R64" i="83" s="1"/>
  <c r="S50" i="83"/>
  <c r="S26" i="83" s="1"/>
  <c r="S64" i="83" s="1"/>
  <c r="W52" i="83"/>
  <c r="K52" i="83"/>
  <c r="L63" i="83"/>
  <c r="T52" i="83"/>
  <c r="M63" i="83"/>
  <c r="U52" i="83"/>
  <c r="S52" i="83"/>
  <c r="AD69" i="83"/>
  <c r="AD71" i="83" s="1"/>
  <c r="AD70" i="83" s="1"/>
  <c r="U50" i="83"/>
  <c r="U26" i="83" s="1"/>
  <c r="U64" i="83" s="1"/>
  <c r="W50" i="83"/>
  <c r="W26" i="83" s="1"/>
  <c r="W64" i="83" s="1"/>
  <c r="J50" i="83"/>
  <c r="J26" i="83" s="1"/>
  <c r="J64" i="83" s="1"/>
  <c r="X50" i="83"/>
  <c r="X26" i="83" s="1"/>
  <c r="X64" i="83" s="1"/>
  <c r="K50" i="83"/>
  <c r="K26" i="83" s="1"/>
  <c r="K64" i="83" s="1"/>
  <c r="Y50" i="83"/>
  <c r="Y26" i="83" s="1"/>
  <c r="Y64" i="83" s="1"/>
  <c r="D64" i="83"/>
  <c r="D62" i="83" s="1"/>
  <c r="D65" i="83" s="1"/>
  <c r="L50" i="83"/>
  <c r="L26" i="83" s="1"/>
  <c r="L64" i="83" s="1"/>
  <c r="Z50" i="83"/>
  <c r="Z26" i="83" s="1"/>
  <c r="Z64" i="83" s="1"/>
  <c r="M50" i="83"/>
  <c r="M26" i="83" s="1"/>
  <c r="M64" i="83" s="1"/>
  <c r="AA50" i="83"/>
  <c r="AA26" i="83" s="1"/>
  <c r="AA64" i="83" s="1"/>
  <c r="F64" i="83"/>
  <c r="G64" i="83"/>
  <c r="P50" i="83"/>
  <c r="P26" i="83" s="1"/>
  <c r="P64" i="83" s="1"/>
  <c r="L94" i="83"/>
  <c r="Q50" i="83"/>
  <c r="Q26" i="83" s="1"/>
  <c r="Q64" i="83" s="1"/>
  <c r="M94" i="83"/>
  <c r="M62" i="83" l="1"/>
  <c r="M65" i="83" s="1"/>
  <c r="K40" i="83"/>
  <c r="P62" i="83"/>
  <c r="P65" i="83" s="1"/>
  <c r="L40" i="83"/>
  <c r="AB62" i="83"/>
  <c r="AB65" i="83" s="1"/>
  <c r="AK23" i="88"/>
  <c r="G21" i="35"/>
  <c r="I23" i="55" s="1"/>
  <c r="U62" i="83"/>
  <c r="U65" i="83" s="1"/>
  <c r="G62" i="83"/>
  <c r="G65" i="83" s="1"/>
  <c r="G74" i="83" s="1"/>
  <c r="G29" i="83" s="1"/>
  <c r="G33" i="83" s="1"/>
  <c r="I40" i="83"/>
  <c r="J40" i="83"/>
  <c r="N62" i="83"/>
  <c r="N65" i="83" s="1"/>
  <c r="F62" i="83"/>
  <c r="F65" i="83" s="1"/>
  <c r="F74" i="83" s="1"/>
  <c r="F29" i="83" s="1"/>
  <c r="F33" i="83" s="1"/>
  <c r="E74" i="83"/>
  <c r="E29" i="83" s="1"/>
  <c r="E33" i="83" s="1"/>
  <c r="O40" i="83"/>
  <c r="G40" i="83"/>
  <c r="F40" i="83"/>
  <c r="S62" i="83"/>
  <c r="S65" i="83" s="1"/>
  <c r="AM25" i="88"/>
  <c r="AM31" i="88" s="1"/>
  <c r="AN138" i="88"/>
  <c r="AN25" i="88" s="1"/>
  <c r="AN22" i="88" s="1"/>
  <c r="AH30" i="88"/>
  <c r="AL22" i="88"/>
  <c r="AJ19" i="88"/>
  <c r="AK13" i="88"/>
  <c r="AJ32" i="88"/>
  <c r="AI15" i="88"/>
  <c r="AI9" i="88" s="1"/>
  <c r="G19" i="35" s="1"/>
  <c r="I21" i="55" s="1"/>
  <c r="Z62" i="83"/>
  <c r="Z65" i="83" s="1"/>
  <c r="S40" i="83"/>
  <c r="N40" i="83"/>
  <c r="K62" i="83"/>
  <c r="K65" i="83" s="1"/>
  <c r="J66" i="83"/>
  <c r="J31" i="83" s="1"/>
  <c r="V62" i="83"/>
  <c r="V65" i="83" s="1"/>
  <c r="I62" i="83"/>
  <c r="I65" i="83" s="1"/>
  <c r="I74" i="83" s="1"/>
  <c r="I29" i="83" s="1"/>
  <c r="I33" i="83" s="1"/>
  <c r="W68" i="83"/>
  <c r="W67" i="83" s="1"/>
  <c r="R62" i="83"/>
  <c r="R65" i="83" s="1"/>
  <c r="V68" i="83"/>
  <c r="V67" i="83" s="1"/>
  <c r="Q62" i="83"/>
  <c r="Q65" i="83" s="1"/>
  <c r="H31" i="83"/>
  <c r="AC26" i="83"/>
  <c r="AC64" i="83" s="1"/>
  <c r="AC62" i="83" s="1"/>
  <c r="AC65" i="83" s="1"/>
  <c r="U68" i="83"/>
  <c r="U67" i="83" s="1"/>
  <c r="R40" i="83"/>
  <c r="H74" i="83"/>
  <c r="H29" i="83" s="1"/>
  <c r="E40" i="83"/>
  <c r="AA62" i="83"/>
  <c r="AA65" i="83" s="1"/>
  <c r="M40" i="83"/>
  <c r="W62" i="83"/>
  <c r="W65" i="83" s="1"/>
  <c r="AD26" i="83"/>
  <c r="AD64" i="83" s="1"/>
  <c r="L62" i="83"/>
  <c r="L65" i="83" s="1"/>
  <c r="D74" i="83"/>
  <c r="D29" i="83" s="1"/>
  <c r="D33" i="83" s="1"/>
  <c r="Y62" i="83"/>
  <c r="Y65" i="83" s="1"/>
  <c r="H40" i="83"/>
  <c r="X62" i="83"/>
  <c r="X65" i="83" s="1"/>
  <c r="J62" i="83"/>
  <c r="J65" i="83" s="1"/>
  <c r="P40" i="83"/>
  <c r="AE69" i="83"/>
  <c r="AE71" i="83" s="1"/>
  <c r="AE70" i="83" s="1"/>
  <c r="AF50" i="83"/>
  <c r="AE26" i="83"/>
  <c r="AN31" i="88" l="1"/>
  <c r="AM22" i="88"/>
  <c r="AM23" i="88" s="1"/>
  <c r="J20" i="35"/>
  <c r="AL23" i="88"/>
  <c r="H21" i="35"/>
  <c r="J23" i="55" s="1"/>
  <c r="U38" i="83"/>
  <c r="V38" i="83" s="1"/>
  <c r="W38" i="83" s="1"/>
  <c r="X38" i="83" s="1"/>
  <c r="Y38" i="83" s="1"/>
  <c r="Z38" i="83" s="1"/>
  <c r="AA38" i="83" s="1"/>
  <c r="AB38" i="83" s="1"/>
  <c r="AC38" i="83" s="1"/>
  <c r="AD38" i="83" s="1"/>
  <c r="AE38" i="83" s="1"/>
  <c r="AF38" i="83" s="1"/>
  <c r="AG38" i="83" s="1"/>
  <c r="AH38" i="83" s="1"/>
  <c r="AI38" i="83" s="1"/>
  <c r="AJ38" i="83" s="1"/>
  <c r="AK38" i="83" s="1"/>
  <c r="AL38" i="83" s="1"/>
  <c r="AM38" i="83" s="1"/>
  <c r="AN38" i="83" s="1"/>
  <c r="K66" i="83"/>
  <c r="L66" i="83" s="1"/>
  <c r="J74" i="83"/>
  <c r="J29" i="83" s="1"/>
  <c r="J33" i="83" s="1"/>
  <c r="H33" i="83"/>
  <c r="AI30" i="88"/>
  <c r="AK19" i="88"/>
  <c r="AJ15" i="88"/>
  <c r="AJ9" i="88" s="1"/>
  <c r="H19" i="35" s="1"/>
  <c r="J21" i="55" s="1"/>
  <c r="AL13" i="88"/>
  <c r="AK32" i="88"/>
  <c r="X68" i="83"/>
  <c r="X67" i="83" s="1"/>
  <c r="AF69" i="83"/>
  <c r="AF71" i="83" s="1"/>
  <c r="AF70" i="83" s="1"/>
  <c r="L92" i="83"/>
  <c r="AE64" i="83"/>
  <c r="AG50" i="83"/>
  <c r="AF26" i="83"/>
  <c r="K74" i="83" l="1"/>
  <c r="K29" i="83" s="1"/>
  <c r="K31" i="83"/>
  <c r="K33" i="83" s="1"/>
  <c r="AN23" i="88"/>
  <c r="I21" i="35"/>
  <c r="K23" i="55" s="1"/>
  <c r="Y68" i="83"/>
  <c r="Y67" i="83" s="1"/>
  <c r="AJ30" i="88"/>
  <c r="AL19" i="88"/>
  <c r="AL32" i="88"/>
  <c r="AM13" i="88"/>
  <c r="AK15" i="88"/>
  <c r="AK9" i="88" s="1"/>
  <c r="I19" i="35" s="1"/>
  <c r="K21" i="55" s="1"/>
  <c r="AG69" i="83"/>
  <c r="AG71" i="83" s="1"/>
  <c r="AG70" i="83" s="1"/>
  <c r="AG26" i="83"/>
  <c r="AH50" i="83"/>
  <c r="L31" i="83"/>
  <c r="M66" i="83"/>
  <c r="L74" i="83"/>
  <c r="L29" i="83" s="1"/>
  <c r="AF64" i="83"/>
  <c r="L93" i="83"/>
  <c r="L95" i="83"/>
  <c r="J21" i="35" l="1"/>
  <c r="Z68" i="83"/>
  <c r="Z67" i="83" s="1"/>
  <c r="AK30" i="88"/>
  <c r="AM19" i="88"/>
  <c r="AN13" i="88"/>
  <c r="AM32" i="88"/>
  <c r="AL15" i="88"/>
  <c r="AL9" i="88" s="1"/>
  <c r="J19" i="35" s="1"/>
  <c r="AH69" i="83"/>
  <c r="AH71" i="83" s="1"/>
  <c r="AH70" i="83" s="1"/>
  <c r="L33" i="83"/>
  <c r="M31" i="83"/>
  <c r="N66" i="83"/>
  <c r="M74" i="83"/>
  <c r="M29" i="83" s="1"/>
  <c r="AH26" i="83"/>
  <c r="AI50" i="83"/>
  <c r="AG64" i="83"/>
  <c r="AN19" i="88" l="1"/>
  <c r="AA68" i="83"/>
  <c r="AA67" i="83" s="1"/>
  <c r="AL30" i="88"/>
  <c r="AM15" i="88"/>
  <c r="AM9" i="88" s="1"/>
  <c r="AM30" i="88" s="1"/>
  <c r="AN32" i="88"/>
  <c r="AI69" i="83"/>
  <c r="AI71" i="83" s="1"/>
  <c r="AI70" i="83" s="1"/>
  <c r="M92" i="83" s="1"/>
  <c r="AH64" i="83"/>
  <c r="M33" i="83"/>
  <c r="AI26" i="83"/>
  <c r="AJ50" i="83"/>
  <c r="N31" i="83"/>
  <c r="O66" i="83"/>
  <c r="N74" i="83"/>
  <c r="N29" i="83" s="1"/>
  <c r="AN15" i="88" l="1"/>
  <c r="AN9" i="88" s="1"/>
  <c r="AN30" i="88" s="1"/>
  <c r="AB68" i="83"/>
  <c r="AC68" i="83" s="1"/>
  <c r="AI64" i="83"/>
  <c r="N33" i="83"/>
  <c r="O31" i="83"/>
  <c r="P66" i="83"/>
  <c r="O74" i="83"/>
  <c r="O29" i="83" s="1"/>
  <c r="AJ26" i="83"/>
  <c r="AK50" i="83"/>
  <c r="M93" i="83"/>
  <c r="M95" i="83"/>
  <c r="AJ69" i="83"/>
  <c r="AJ71" i="83" s="1"/>
  <c r="AJ70" i="83" s="1"/>
  <c r="AB67" i="83" l="1"/>
  <c r="AK69" i="83"/>
  <c r="AK71" i="83" s="1"/>
  <c r="AK70" i="83" s="1"/>
  <c r="AJ64" i="83"/>
  <c r="O33" i="83"/>
  <c r="AK26" i="83"/>
  <c r="AL50" i="83"/>
  <c r="Q66" i="83"/>
  <c r="P31" i="83"/>
  <c r="P74" i="83"/>
  <c r="P29" i="83" s="1"/>
  <c r="AD68" i="83"/>
  <c r="AC67" i="83"/>
  <c r="AL26" i="83" l="1"/>
  <c r="AM50" i="83"/>
  <c r="AE68" i="83"/>
  <c r="AD67" i="83"/>
  <c r="R66" i="83"/>
  <c r="Q31" i="83"/>
  <c r="Q74" i="83"/>
  <c r="Q29" i="83" s="1"/>
  <c r="AK64" i="83"/>
  <c r="P33" i="83"/>
  <c r="AL69" i="83"/>
  <c r="AL71" i="83" s="1"/>
  <c r="AL70" i="83" s="1"/>
  <c r="Q33" i="83" l="1"/>
  <c r="AM69" i="83"/>
  <c r="AM71" i="83" s="1"/>
  <c r="AM70" i="83" s="1"/>
  <c r="N92" i="83" s="1"/>
  <c r="S66" i="83"/>
  <c r="R31" i="83"/>
  <c r="R74" i="83"/>
  <c r="R29" i="83" s="1"/>
  <c r="AF68" i="83"/>
  <c r="AE67" i="83"/>
  <c r="AM26" i="83"/>
  <c r="AN50" i="83"/>
  <c r="AN26" i="83" s="1"/>
  <c r="AL64" i="83"/>
  <c r="AG68" i="83" l="1"/>
  <c r="AF67" i="83"/>
  <c r="AN64" i="83"/>
  <c r="R33" i="83"/>
  <c r="S31" i="83"/>
  <c r="T66" i="83"/>
  <c r="S74" i="83"/>
  <c r="S29" i="83" s="1"/>
  <c r="N93" i="83"/>
  <c r="N95" i="83"/>
  <c r="AN69" i="83"/>
  <c r="AN71" i="83" s="1"/>
  <c r="AN70" i="83" s="1"/>
  <c r="AM64" i="83"/>
  <c r="T31" i="83" l="1"/>
  <c r="U66" i="83"/>
  <c r="T74" i="83"/>
  <c r="T29" i="83" s="1"/>
  <c r="S33" i="83"/>
  <c r="AH68" i="83"/>
  <c r="AG67" i="83"/>
  <c r="AI68" i="83" l="1"/>
  <c r="AH67" i="83"/>
  <c r="U31" i="83"/>
  <c r="V66" i="83"/>
  <c r="U74" i="83"/>
  <c r="U29" i="83" s="1"/>
  <c r="T33" i="83"/>
  <c r="V31" i="83" l="1"/>
  <c r="W66" i="83"/>
  <c r="V74" i="83"/>
  <c r="V29" i="83" s="1"/>
  <c r="U33" i="83"/>
  <c r="AI67" i="83"/>
  <c r="AJ68" i="83"/>
  <c r="AJ67" i="83" l="1"/>
  <c r="AK68" i="83"/>
  <c r="W31" i="83"/>
  <c r="X66" i="83"/>
  <c r="W74" i="83"/>
  <c r="W29" i="83" s="1"/>
  <c r="V33" i="83"/>
  <c r="X31" i="83" l="1"/>
  <c r="Y66" i="83"/>
  <c r="X74" i="83"/>
  <c r="X29" i="83" s="1"/>
  <c r="W33" i="83"/>
  <c r="AK67" i="83"/>
  <c r="AL68" i="83"/>
  <c r="AL67" i="83" l="1"/>
  <c r="AM68" i="83"/>
  <c r="Y31" i="83"/>
  <c r="Z66" i="83"/>
  <c r="Y74" i="83"/>
  <c r="Y29" i="83" s="1"/>
  <c r="X33" i="83"/>
  <c r="Y33" i="83" l="1"/>
  <c r="AM67" i="83"/>
  <c r="AN68" i="83"/>
  <c r="AN67" i="83" s="1"/>
  <c r="Z31" i="83"/>
  <c r="AA66" i="83"/>
  <c r="Z74" i="83"/>
  <c r="Z29" i="83" s="1"/>
  <c r="Z33" i="83" l="1"/>
  <c r="AA31" i="83"/>
  <c r="AB66" i="83"/>
  <c r="AA74" i="83"/>
  <c r="AA29" i="83" s="1"/>
  <c r="AA33" i="83" l="1"/>
  <c r="AB31" i="83"/>
  <c r="AC66" i="83"/>
  <c r="AB74" i="83"/>
  <c r="AB29" i="83" s="1"/>
  <c r="AC31" i="83" l="1"/>
  <c r="AD66" i="83"/>
  <c r="AC74" i="83"/>
  <c r="AB33" i="83"/>
  <c r="AD74" i="83" l="1"/>
  <c r="AC29" i="83"/>
  <c r="AE66" i="83"/>
  <c r="AD31" i="83"/>
  <c r="AC33" i="83"/>
  <c r="AF66" i="83" l="1"/>
  <c r="AE31" i="83"/>
  <c r="AE74" i="83"/>
  <c r="AD29" i="83"/>
  <c r="AD12" i="83" s="1"/>
  <c r="B3" i="84" s="1"/>
  <c r="AD33" i="83" l="1"/>
  <c r="B4" i="84" s="1"/>
  <c r="AD34" i="83"/>
  <c r="B6" i="84" s="1"/>
  <c r="AF74" i="83"/>
  <c r="AE29" i="83"/>
  <c r="AE12" i="83" s="1"/>
  <c r="C3" i="84" s="1"/>
  <c r="AE33" i="83"/>
  <c r="C4" i="84" s="1"/>
  <c r="AG66" i="83"/>
  <c r="AF31" i="83"/>
  <c r="D4" i="84" l="1"/>
  <c r="D3" i="84"/>
  <c r="B10" i="84"/>
  <c r="B11" i="84" s="1"/>
  <c r="B8" i="84"/>
  <c r="B9" i="84" s="1"/>
  <c r="AE34" i="83"/>
  <c r="C6" i="84" s="1"/>
  <c r="AG31" i="83"/>
  <c r="AH66" i="83"/>
  <c r="AF29" i="83"/>
  <c r="AF12" i="83" s="1"/>
  <c r="AG74" i="83"/>
  <c r="C10" i="84" l="1"/>
  <c r="C11" i="84" s="1"/>
  <c r="D6" i="84"/>
  <c r="C8" i="84"/>
  <c r="C9" i="84" s="1"/>
  <c r="AF34" i="83"/>
  <c r="AG29" i="83"/>
  <c r="AG12" i="83" s="1"/>
  <c r="AH74" i="83"/>
  <c r="AH31" i="83"/>
  <c r="AI66" i="83"/>
  <c r="AF33" i="83"/>
  <c r="AG33" i="83" l="1"/>
  <c r="D10" i="84"/>
  <c r="D11" i="84" s="1"/>
  <c r="D8" i="84"/>
  <c r="D9" i="84" s="1"/>
  <c r="AG34" i="83"/>
  <c r="AI74" i="83"/>
  <c r="AH29" i="83"/>
  <c r="AH12" i="83" s="1"/>
  <c r="AI31" i="83"/>
  <c r="AJ66" i="83"/>
  <c r="AH34" i="83" l="1"/>
  <c r="AJ31" i="83"/>
  <c r="AK66" i="83"/>
  <c r="AJ74" i="83"/>
  <c r="AI29" i="83"/>
  <c r="AI12" i="83" s="1"/>
  <c r="AH33" i="83"/>
  <c r="AI33" i="83" l="1"/>
  <c r="AI34" i="83"/>
  <c r="AK74" i="83"/>
  <c r="AJ29" i="83"/>
  <c r="AJ12" i="83" s="1"/>
  <c r="AK31" i="83"/>
  <c r="AL66" i="83"/>
  <c r="AJ33" i="83" l="1"/>
  <c r="AJ34" i="83"/>
  <c r="AL31" i="83"/>
  <c r="AM66" i="83"/>
  <c r="AL74" i="83"/>
  <c r="AK29" i="83"/>
  <c r="AK12" i="83" s="1"/>
  <c r="AK34" i="83" l="1"/>
  <c r="AK33" i="83"/>
  <c r="AM31" i="83"/>
  <c r="AN66" i="83"/>
  <c r="AN31" i="83" s="1"/>
  <c r="AM74" i="83"/>
  <c r="AL29" i="83"/>
  <c r="AL12" i="83" s="1"/>
  <c r="AL33" i="83" l="1"/>
  <c r="AL34" i="83"/>
  <c r="AN74" i="83"/>
  <c r="AN29" i="83" s="1"/>
  <c r="AN12" i="83" s="1"/>
  <c r="AM29" i="83"/>
  <c r="AM12" i="83" s="1"/>
  <c r="AN33" i="83" l="1"/>
  <c r="AM33" i="83"/>
  <c r="AM34" i="83"/>
  <c r="AN34" i="83"/>
  <c r="V19" i="82"/>
  <c r="AD24" i="82"/>
  <c r="AD28" i="82" s="1"/>
  <c r="N90" i="82"/>
  <c r="M90" i="82"/>
  <c r="L90" i="82"/>
  <c r="K90" i="82"/>
  <c r="J90" i="82"/>
  <c r="I90" i="82"/>
  <c r="H90" i="82"/>
  <c r="G90" i="82"/>
  <c r="F90" i="82"/>
  <c r="E90" i="82"/>
  <c r="D90" i="82"/>
  <c r="C90" i="82"/>
  <c r="K86" i="82"/>
  <c r="N87" i="82" s="1"/>
  <c r="J86" i="82"/>
  <c r="I86" i="82"/>
  <c r="H86" i="82"/>
  <c r="G86" i="82"/>
  <c r="F86" i="82"/>
  <c r="E86" i="82"/>
  <c r="D86" i="82"/>
  <c r="C86" i="82"/>
  <c r="D83" i="82"/>
  <c r="E83" i="82" s="1"/>
  <c r="F83" i="82" s="1"/>
  <c r="G83" i="82" s="1"/>
  <c r="H83" i="82" s="1"/>
  <c r="I83" i="82" s="1"/>
  <c r="J83" i="82" s="1"/>
  <c r="K83" i="82" s="1"/>
  <c r="L83" i="82" s="1"/>
  <c r="M83" i="82" s="1"/>
  <c r="N83" i="82" s="1"/>
  <c r="O83" i="82" s="1"/>
  <c r="P83" i="82" s="1"/>
  <c r="Q83" i="82" s="1"/>
  <c r="R83" i="82" s="1"/>
  <c r="AD70" i="82"/>
  <c r="AD68" i="82"/>
  <c r="AD18" i="82" s="1"/>
  <c r="E7" i="84" s="1"/>
  <c r="AC68" i="82"/>
  <c r="AB68" i="82"/>
  <c r="AB18" i="82" s="1"/>
  <c r="AA68" i="82"/>
  <c r="AA18" i="82" s="1"/>
  <c r="Z68" i="82"/>
  <c r="Z18" i="82" s="1"/>
  <c r="Y68" i="82"/>
  <c r="X68" i="82"/>
  <c r="W68" i="82"/>
  <c r="W18" i="82" s="1"/>
  <c r="V68" i="82"/>
  <c r="V18" i="82" s="1"/>
  <c r="U68" i="82"/>
  <c r="U18" i="82" s="1"/>
  <c r="T68" i="82"/>
  <c r="S68" i="82"/>
  <c r="S18" i="82" s="1"/>
  <c r="R68" i="82"/>
  <c r="R18" i="82" s="1"/>
  <c r="Q68" i="82"/>
  <c r="Q18" i="82" s="1"/>
  <c r="P68" i="82"/>
  <c r="P18" i="82" s="1"/>
  <c r="O68" i="82"/>
  <c r="O18" i="82" s="1"/>
  <c r="N68" i="82"/>
  <c r="N18" i="82" s="1"/>
  <c r="M68" i="82"/>
  <c r="M18" i="82" s="1"/>
  <c r="L68" i="82"/>
  <c r="L18" i="82" s="1"/>
  <c r="K68" i="82"/>
  <c r="K18" i="82" s="1"/>
  <c r="J68" i="82"/>
  <c r="J18" i="82" s="1"/>
  <c r="I68" i="82"/>
  <c r="I18" i="82" s="1"/>
  <c r="H68" i="82"/>
  <c r="H18" i="82" s="1"/>
  <c r="G68" i="82"/>
  <c r="G18" i="82" s="1"/>
  <c r="F68" i="82"/>
  <c r="F18" i="82" s="1"/>
  <c r="E68" i="82"/>
  <c r="E18" i="82" s="1"/>
  <c r="D68" i="82"/>
  <c r="D18" i="82" s="1"/>
  <c r="AD63" i="82"/>
  <c r="AC63" i="82"/>
  <c r="AB63" i="82"/>
  <c r="AA63" i="82"/>
  <c r="Z63" i="82"/>
  <c r="Y63" i="82"/>
  <c r="X63" i="82"/>
  <c r="W63" i="82"/>
  <c r="V63" i="82"/>
  <c r="U63" i="82"/>
  <c r="T63" i="82"/>
  <c r="S63" i="82"/>
  <c r="R63" i="82"/>
  <c r="Q63" i="82"/>
  <c r="P63" i="82"/>
  <c r="O63" i="82"/>
  <c r="N63" i="82"/>
  <c r="M63" i="82"/>
  <c r="L63" i="82"/>
  <c r="K63" i="82"/>
  <c r="J63" i="82"/>
  <c r="I63" i="82"/>
  <c r="H63" i="82"/>
  <c r="G63" i="82"/>
  <c r="F63" i="82"/>
  <c r="E63" i="82"/>
  <c r="D63" i="82"/>
  <c r="AD52" i="82"/>
  <c r="AC52" i="82"/>
  <c r="AB52" i="82"/>
  <c r="AA52" i="82"/>
  <c r="Z52" i="82"/>
  <c r="Y52" i="82"/>
  <c r="X52" i="82"/>
  <c r="W52" i="82"/>
  <c r="V52" i="82"/>
  <c r="U52" i="82"/>
  <c r="T52" i="82"/>
  <c r="S52" i="82"/>
  <c r="R52" i="82"/>
  <c r="Q52" i="82"/>
  <c r="P52" i="82"/>
  <c r="O52" i="82"/>
  <c r="N52" i="82"/>
  <c r="M52" i="82"/>
  <c r="L52" i="82"/>
  <c r="K52" i="82"/>
  <c r="J52" i="82"/>
  <c r="I52" i="82"/>
  <c r="H52" i="82"/>
  <c r="G52" i="82"/>
  <c r="F52" i="82"/>
  <c r="E52" i="82"/>
  <c r="D52" i="82"/>
  <c r="AD38" i="82"/>
  <c r="AC38" i="82"/>
  <c r="AB38" i="82"/>
  <c r="AA38" i="82"/>
  <c r="Z38" i="82"/>
  <c r="Y38" i="82"/>
  <c r="X38" i="82"/>
  <c r="W38" i="82"/>
  <c r="V38" i="82"/>
  <c r="U38" i="82"/>
  <c r="T38" i="82"/>
  <c r="S38" i="82"/>
  <c r="R38" i="82"/>
  <c r="Q38" i="82"/>
  <c r="P38" i="82"/>
  <c r="O38" i="82"/>
  <c r="N38" i="82"/>
  <c r="M38" i="82"/>
  <c r="L38" i="82"/>
  <c r="K38" i="82"/>
  <c r="J38" i="82"/>
  <c r="I38" i="82"/>
  <c r="H38" i="82"/>
  <c r="G38" i="82"/>
  <c r="F38" i="82"/>
  <c r="E38" i="82"/>
  <c r="D38" i="82"/>
  <c r="AD37" i="82"/>
  <c r="AC37" i="82"/>
  <c r="AB37" i="82"/>
  <c r="AA37" i="82"/>
  <c r="Z37" i="82"/>
  <c r="Y37" i="82"/>
  <c r="X37" i="82"/>
  <c r="W37" i="82"/>
  <c r="V37" i="82"/>
  <c r="U37" i="82"/>
  <c r="T37" i="82"/>
  <c r="S37" i="82"/>
  <c r="R37" i="82"/>
  <c r="Q37" i="82"/>
  <c r="P37" i="82"/>
  <c r="O37" i="82"/>
  <c r="N37" i="82"/>
  <c r="M37" i="82"/>
  <c r="L37" i="82"/>
  <c r="K37" i="82"/>
  <c r="J37" i="82"/>
  <c r="I37" i="82"/>
  <c r="H37" i="82"/>
  <c r="G37" i="82"/>
  <c r="F37" i="82"/>
  <c r="E37" i="82"/>
  <c r="D37" i="82"/>
  <c r="AN29" i="82"/>
  <c r="AM29" i="82"/>
  <c r="AL29" i="82"/>
  <c r="AK29" i="82"/>
  <c r="AJ29" i="82"/>
  <c r="AI29" i="82"/>
  <c r="AH29" i="82"/>
  <c r="AG29" i="82"/>
  <c r="AF29" i="82"/>
  <c r="AE29" i="82"/>
  <c r="AD29" i="82"/>
  <c r="AC29" i="82"/>
  <c r="AB29" i="82"/>
  <c r="AA29" i="82"/>
  <c r="Z29" i="82"/>
  <c r="Y29" i="82"/>
  <c r="X29" i="82"/>
  <c r="W29" i="82"/>
  <c r="V29" i="82"/>
  <c r="U29" i="82"/>
  <c r="T29" i="82"/>
  <c r="S29" i="82"/>
  <c r="AN28" i="82"/>
  <c r="AM28" i="82"/>
  <c r="AL28" i="82"/>
  <c r="AK28" i="82"/>
  <c r="AJ28" i="82"/>
  <c r="AI28" i="82"/>
  <c r="AH28" i="82"/>
  <c r="AG28" i="82"/>
  <c r="AN27" i="82"/>
  <c r="AM27" i="82"/>
  <c r="AL27" i="82"/>
  <c r="AK27" i="82"/>
  <c r="AJ27" i="82"/>
  <c r="AI27" i="82"/>
  <c r="AH27" i="82"/>
  <c r="AG27" i="82"/>
  <c r="AF27" i="82"/>
  <c r="AE27" i="82"/>
  <c r="AD27" i="82"/>
  <c r="AC27" i="82"/>
  <c r="AB27" i="82"/>
  <c r="AA27" i="82"/>
  <c r="Z27" i="82"/>
  <c r="Y27" i="82"/>
  <c r="X27" i="82"/>
  <c r="W27" i="82"/>
  <c r="V27" i="82"/>
  <c r="U27" i="82"/>
  <c r="T27" i="82"/>
  <c r="S27" i="82"/>
  <c r="R27" i="82"/>
  <c r="Q27" i="82"/>
  <c r="P27" i="82"/>
  <c r="O27" i="82"/>
  <c r="N27" i="82"/>
  <c r="M27" i="82"/>
  <c r="L27" i="82"/>
  <c r="K27" i="82"/>
  <c r="J27" i="82"/>
  <c r="T26" i="82"/>
  <c r="S26" i="82"/>
  <c r="R26" i="82"/>
  <c r="Q26" i="82"/>
  <c r="P26" i="82"/>
  <c r="O26" i="82"/>
  <c r="N26" i="82"/>
  <c r="M26" i="82"/>
  <c r="H25" i="82"/>
  <c r="G25" i="82"/>
  <c r="F25" i="82"/>
  <c r="E25" i="82"/>
  <c r="D25" i="82"/>
  <c r="AF24" i="82"/>
  <c r="AF28" i="82" s="1"/>
  <c r="AE24" i="82"/>
  <c r="AE28" i="82" s="1"/>
  <c r="AC24" i="82"/>
  <c r="AC28" i="82" s="1"/>
  <c r="AB24" i="82"/>
  <c r="AB28" i="82" s="1"/>
  <c r="AA24" i="82"/>
  <c r="AA28" i="82" s="1"/>
  <c r="Z24" i="82"/>
  <c r="Z28" i="82" s="1"/>
  <c r="Y24" i="82"/>
  <c r="Y28" i="82" s="1"/>
  <c r="X24" i="82"/>
  <c r="X28" i="82" s="1"/>
  <c r="W24" i="82"/>
  <c r="W28" i="82" s="1"/>
  <c r="V24" i="82"/>
  <c r="V28" i="82" s="1"/>
  <c r="U24" i="82"/>
  <c r="U28" i="82" s="1"/>
  <c r="T24" i="82"/>
  <c r="S24" i="82"/>
  <c r="R24" i="82"/>
  <c r="Q24" i="82"/>
  <c r="P24" i="82"/>
  <c r="O24" i="82"/>
  <c r="N24" i="82"/>
  <c r="M24" i="82"/>
  <c r="AF23" i="82"/>
  <c r="AE23" i="82"/>
  <c r="AD23" i="82"/>
  <c r="AC23" i="82"/>
  <c r="AB23" i="82"/>
  <c r="AA23" i="82"/>
  <c r="Z23" i="82"/>
  <c r="Y23" i="82"/>
  <c r="X23" i="82"/>
  <c r="W23" i="82"/>
  <c r="V23" i="82"/>
  <c r="U23" i="82"/>
  <c r="S23" i="82"/>
  <c r="R23" i="82"/>
  <c r="Q23" i="82"/>
  <c r="P23" i="82"/>
  <c r="O23" i="82"/>
  <c r="N23" i="82"/>
  <c r="M23" i="82"/>
  <c r="T22" i="82"/>
  <c r="S22" i="82"/>
  <c r="R22" i="82"/>
  <c r="Q22" i="82"/>
  <c r="P22" i="82"/>
  <c r="O22" i="82"/>
  <c r="N22" i="82"/>
  <c r="M22" i="82"/>
  <c r="L22" i="82"/>
  <c r="L28" i="82" s="1"/>
  <c r="K22" i="82"/>
  <c r="K28" i="82" s="1"/>
  <c r="J22" i="82"/>
  <c r="J28" i="82" s="1"/>
  <c r="I22" i="82"/>
  <c r="I28" i="82" s="1"/>
  <c r="H22" i="82"/>
  <c r="H28" i="82" s="1"/>
  <c r="G22" i="82"/>
  <c r="F22" i="82"/>
  <c r="E22" i="82"/>
  <c r="D22" i="82"/>
  <c r="AN19" i="82"/>
  <c r="AM19" i="82"/>
  <c r="AL19" i="82"/>
  <c r="AK19" i="82"/>
  <c r="AJ19" i="82"/>
  <c r="AI19" i="82"/>
  <c r="AH19" i="82"/>
  <c r="AG19" i="82"/>
  <c r="AF19" i="82"/>
  <c r="AE19" i="82"/>
  <c r="AD19" i="82"/>
  <c r="AC19" i="82"/>
  <c r="AB19" i="82"/>
  <c r="AA19" i="82"/>
  <c r="Z19" i="82"/>
  <c r="Y19" i="82"/>
  <c r="X19" i="82"/>
  <c r="W19" i="82"/>
  <c r="U19" i="82"/>
  <c r="T19" i="82"/>
  <c r="S19" i="82"/>
  <c r="R19" i="82"/>
  <c r="Q19" i="82"/>
  <c r="P19" i="82"/>
  <c r="O19" i="82"/>
  <c r="N19" i="82"/>
  <c r="M19" i="82"/>
  <c r="L19" i="82"/>
  <c r="K19" i="82"/>
  <c r="I19" i="82"/>
  <c r="H19" i="82"/>
  <c r="AN17" i="82"/>
  <c r="AM17" i="82"/>
  <c r="AL17" i="82"/>
  <c r="AK17" i="82"/>
  <c r="AJ17" i="82"/>
  <c r="AI17" i="82"/>
  <c r="AH17" i="82"/>
  <c r="AG17" i="82"/>
  <c r="AF17" i="82"/>
  <c r="AE17" i="82"/>
  <c r="F5" i="84" s="1"/>
  <c r="AD17" i="82"/>
  <c r="E5" i="84" s="1"/>
  <c r="AC17" i="82"/>
  <c r="AB17" i="82"/>
  <c r="AA17" i="82"/>
  <c r="Z17" i="82"/>
  <c r="Y17" i="82"/>
  <c r="X17" i="82"/>
  <c r="W17" i="82"/>
  <c r="V17" i="82"/>
  <c r="U17" i="82"/>
  <c r="T17" i="82"/>
  <c r="S17" i="82"/>
  <c r="R17" i="82"/>
  <c r="Q17" i="82"/>
  <c r="P17" i="82"/>
  <c r="O17" i="82"/>
  <c r="N17" i="82"/>
  <c r="M17" i="82"/>
  <c r="L17" i="82"/>
  <c r="K17" i="82"/>
  <c r="J17" i="82"/>
  <c r="I17" i="82"/>
  <c r="H17" i="82"/>
  <c r="G17" i="82"/>
  <c r="F17" i="82"/>
  <c r="E17" i="82"/>
  <c r="D17" i="82"/>
  <c r="AD16" i="82"/>
  <c r="AC16" i="82"/>
  <c r="AB16" i="82"/>
  <c r="AA16" i="82"/>
  <c r="Z16" i="82"/>
  <c r="Y16" i="82"/>
  <c r="X16" i="82"/>
  <c r="W16" i="82"/>
  <c r="V16" i="82"/>
  <c r="AD15" i="82"/>
  <c r="AC15" i="82"/>
  <c r="AB15" i="82"/>
  <c r="AA15" i="82"/>
  <c r="Z15" i="82"/>
  <c r="Y15" i="82"/>
  <c r="X15" i="82"/>
  <c r="W15" i="82"/>
  <c r="V15" i="82"/>
  <c r="AN14" i="82"/>
  <c r="AM14" i="82"/>
  <c r="AL14" i="82"/>
  <c r="AK14" i="82"/>
  <c r="AJ14" i="82"/>
  <c r="AI14" i="82"/>
  <c r="AH14" i="82"/>
  <c r="AG14" i="82"/>
  <c r="AF14" i="82"/>
  <c r="AE14" i="82"/>
  <c r="U14" i="82"/>
  <c r="T14" i="82"/>
  <c r="S14" i="82"/>
  <c r="R14" i="82"/>
  <c r="Q14" i="82"/>
  <c r="P14" i="82"/>
  <c r="O14" i="82"/>
  <c r="N14" i="82"/>
  <c r="M14" i="82"/>
  <c r="L14" i="82"/>
  <c r="K14" i="82"/>
  <c r="J14" i="82"/>
  <c r="I14" i="82"/>
  <c r="H14" i="82"/>
  <c r="G14" i="82"/>
  <c r="F14" i="82"/>
  <c r="E14" i="82"/>
  <c r="D14" i="82"/>
  <c r="AD12" i="82"/>
  <c r="AC12" i="82"/>
  <c r="AB12" i="82"/>
  <c r="AA12" i="82"/>
  <c r="Z12" i="82"/>
  <c r="Y12" i="82"/>
  <c r="X12" i="82"/>
  <c r="W12" i="82"/>
  <c r="V12" i="82"/>
  <c r="U12" i="82"/>
  <c r="T12" i="82"/>
  <c r="S12" i="82"/>
  <c r="R12" i="82"/>
  <c r="Q12" i="82"/>
  <c r="P12" i="82"/>
  <c r="O12" i="82"/>
  <c r="N12" i="82"/>
  <c r="M12" i="82"/>
  <c r="L12" i="82"/>
  <c r="K12" i="82"/>
  <c r="J12" i="82"/>
  <c r="I12" i="82"/>
  <c r="H12" i="82"/>
  <c r="G12" i="82"/>
  <c r="F12" i="82"/>
  <c r="E12" i="82"/>
  <c r="E33" i="82" s="1"/>
  <c r="D12" i="82"/>
  <c r="D33" i="82" s="1"/>
  <c r="W21" i="67"/>
  <c r="Y21" i="67"/>
  <c r="Z21" i="67"/>
  <c r="AA21" i="67"/>
  <c r="AH21" i="67"/>
  <c r="W12" i="67"/>
  <c r="Z12" i="67"/>
  <c r="U21" i="67"/>
  <c r="AD72" i="59"/>
  <c r="AD12" i="59"/>
  <c r="AL32" i="80"/>
  <c r="AL33" i="80"/>
  <c r="AD13" i="30"/>
  <c r="AD12" i="30" s="1"/>
  <c r="AD46" i="30"/>
  <c r="AD12" i="70"/>
  <c r="AE12" i="70"/>
  <c r="AM93" i="80" s="1"/>
  <c r="AL93" i="80"/>
  <c r="AI93" i="80"/>
  <c r="AJ93" i="80"/>
  <c r="AK93" i="80"/>
  <c r="AL88" i="80"/>
  <c r="AI88" i="80"/>
  <c r="AM34" i="80"/>
  <c r="AD63" i="59"/>
  <c r="AE14" i="59"/>
  <c r="AD16" i="59"/>
  <c r="AD37" i="59"/>
  <c r="S33" i="82" l="1"/>
  <c r="J33" i="82"/>
  <c r="K33" i="82"/>
  <c r="L33" i="82"/>
  <c r="N33" i="82"/>
  <c r="O33" i="82"/>
  <c r="P33" i="82"/>
  <c r="M33" i="82"/>
  <c r="Q33" i="82"/>
  <c r="R33" i="82"/>
  <c r="G33" i="82"/>
  <c r="U33" i="82"/>
  <c r="F33" i="82"/>
  <c r="T33" i="82"/>
  <c r="H33" i="82"/>
  <c r="I33" i="82"/>
  <c r="J65" i="82"/>
  <c r="K5" i="84"/>
  <c r="E3" i="84"/>
  <c r="G5" i="84"/>
  <c r="L5" i="84"/>
  <c r="V54" i="82"/>
  <c r="S39" i="82"/>
  <c r="Z71" i="82"/>
  <c r="Z69" i="82" s="1"/>
  <c r="Y18" i="82"/>
  <c r="E66" i="82"/>
  <c r="AD71" i="82"/>
  <c r="AD69" i="82" s="1"/>
  <c r="AC18" i="82"/>
  <c r="Y71" i="82"/>
  <c r="Y69" i="82" s="1"/>
  <c r="X18" i="82"/>
  <c r="O39" i="82"/>
  <c r="D66" i="82"/>
  <c r="U71" i="82"/>
  <c r="U69" i="82" s="1"/>
  <c r="T18" i="82"/>
  <c r="X71" i="82"/>
  <c r="X69" i="82" s="1"/>
  <c r="AB71" i="82"/>
  <c r="AB69" i="82" s="1"/>
  <c r="AC71" i="82"/>
  <c r="AC69" i="82" s="1"/>
  <c r="AA71" i="82"/>
  <c r="AA69" i="82" s="1"/>
  <c r="W71" i="82"/>
  <c r="W69" i="82" s="1"/>
  <c r="AE71" i="82"/>
  <c r="AE69" i="82" s="1"/>
  <c r="AD36" i="82"/>
  <c r="V71" i="82"/>
  <c r="V69" i="82" s="1"/>
  <c r="F39" i="82"/>
  <c r="T39" i="82"/>
  <c r="L54" i="82"/>
  <c r="M54" i="82"/>
  <c r="F66" i="82"/>
  <c r="Q39" i="82"/>
  <c r="U13" i="82"/>
  <c r="I51" i="82"/>
  <c r="I25" i="82" s="1"/>
  <c r="I66" i="82" s="1"/>
  <c r="N39" i="82"/>
  <c r="AA54" i="82"/>
  <c r="K65" i="82"/>
  <c r="M28" i="82"/>
  <c r="H39" i="82"/>
  <c r="I39" i="82"/>
  <c r="T13" i="82"/>
  <c r="G39" i="82"/>
  <c r="X14" i="82"/>
  <c r="X65" i="82" s="1"/>
  <c r="M51" i="82"/>
  <c r="M25" i="82" s="1"/>
  <c r="M66" i="82" s="1"/>
  <c r="U54" i="82"/>
  <c r="H66" i="82"/>
  <c r="V13" i="82"/>
  <c r="G66" i="82"/>
  <c r="O28" i="82"/>
  <c r="Q28" i="82"/>
  <c r="J54" i="82"/>
  <c r="X54" i="82"/>
  <c r="K54" i="82"/>
  <c r="Z14" i="82"/>
  <c r="Z65" i="82" s="1"/>
  <c r="Z54" i="82"/>
  <c r="AA14" i="82"/>
  <c r="AA65" i="82" s="1"/>
  <c r="AB14" i="82"/>
  <c r="AB65" i="82" s="1"/>
  <c r="N51" i="82"/>
  <c r="N25" i="82" s="1"/>
  <c r="N66" i="82" s="1"/>
  <c r="AB51" i="82"/>
  <c r="AB25" i="82" s="1"/>
  <c r="AB66" i="82" s="1"/>
  <c r="E39" i="82"/>
  <c r="O54" i="82"/>
  <c r="AC54" i="82"/>
  <c r="W54" i="82"/>
  <c r="L65" i="82"/>
  <c r="AD14" i="82"/>
  <c r="AD33" i="82" s="1"/>
  <c r="AD54" i="82"/>
  <c r="M65" i="82"/>
  <c r="V14" i="82"/>
  <c r="V65" i="82" s="1"/>
  <c r="J51" i="82"/>
  <c r="J25" i="82" s="1"/>
  <c r="J66" i="82" s="1"/>
  <c r="J64" i="82" s="1"/>
  <c r="J67" i="82" s="1"/>
  <c r="J30" i="82" s="1"/>
  <c r="N65" i="82"/>
  <c r="K51" i="82"/>
  <c r="K25" i="82" s="1"/>
  <c r="K66" i="82" s="1"/>
  <c r="O65" i="82"/>
  <c r="W14" i="82"/>
  <c r="W65" i="82" s="1"/>
  <c r="M39" i="82"/>
  <c r="AD13" i="82"/>
  <c r="AC13" i="82"/>
  <c r="AC51" i="82"/>
  <c r="AC25" i="82" s="1"/>
  <c r="AC66" i="82" s="1"/>
  <c r="N28" i="82"/>
  <c r="P39" i="82"/>
  <c r="AB13" i="82"/>
  <c r="L39" i="82"/>
  <c r="AD51" i="82"/>
  <c r="AE51" i="82" s="1"/>
  <c r="AF51" i="82" s="1"/>
  <c r="AG51" i="82" s="1"/>
  <c r="AH51" i="82" s="1"/>
  <c r="AI51" i="82" s="1"/>
  <c r="AJ51" i="82" s="1"/>
  <c r="AJ25" i="82" s="1"/>
  <c r="D39" i="82"/>
  <c r="R39" i="82"/>
  <c r="R54" i="82"/>
  <c r="T65" i="82"/>
  <c r="W13" i="82"/>
  <c r="AC14" i="82"/>
  <c r="AC65" i="82" s="1"/>
  <c r="H65" i="82"/>
  <c r="Y14" i="82"/>
  <c r="Y65" i="82" s="1"/>
  <c r="R28" i="82"/>
  <c r="Y54" i="82"/>
  <c r="I65" i="82"/>
  <c r="S28" i="82"/>
  <c r="P28" i="82"/>
  <c r="T28" i="82"/>
  <c r="Q56" i="82"/>
  <c r="P54" i="82"/>
  <c r="X13" i="82"/>
  <c r="AA13" i="82"/>
  <c r="P65" i="82"/>
  <c r="L51" i="82"/>
  <c r="L25" i="82" s="1"/>
  <c r="Q65" i="82"/>
  <c r="AA51" i="82"/>
  <c r="AA25" i="82" s="1"/>
  <c r="Z51" i="82"/>
  <c r="Z25" i="82" s="1"/>
  <c r="Z66" i="82" s="1"/>
  <c r="R51" i="82"/>
  <c r="R25" i="82" s="1"/>
  <c r="R66" i="82" s="1"/>
  <c r="Q51" i="82"/>
  <c r="Q25" i="82" s="1"/>
  <c r="Q66" i="82" s="1"/>
  <c r="S54" i="82"/>
  <c r="S51" i="82"/>
  <c r="S25" i="82" s="1"/>
  <c r="S66" i="82" s="1"/>
  <c r="N54" i="82"/>
  <c r="D65" i="82"/>
  <c r="T54" i="82"/>
  <c r="T51" i="82"/>
  <c r="T25" i="82" s="1"/>
  <c r="T66" i="82" s="1"/>
  <c r="U56" i="82"/>
  <c r="Y13" i="82"/>
  <c r="O51" i="82"/>
  <c r="O25" i="82" s="1"/>
  <c r="U51" i="82"/>
  <c r="U25" i="82" s="1"/>
  <c r="U66" i="82" s="1"/>
  <c r="R65" i="82"/>
  <c r="J39" i="82"/>
  <c r="P51" i="82"/>
  <c r="P25" i="82" s="1"/>
  <c r="P66" i="82" s="1"/>
  <c r="V51" i="82"/>
  <c r="V25" i="82" s="1"/>
  <c r="V66" i="82" s="1"/>
  <c r="Z13" i="82"/>
  <c r="G65" i="82"/>
  <c r="U65" i="82"/>
  <c r="D28" i="82"/>
  <c r="K39" i="82"/>
  <c r="W51" i="82"/>
  <c r="W25" i="82" s="1"/>
  <c r="W66" i="82" s="1"/>
  <c r="S65" i="82"/>
  <c r="F65" i="82"/>
  <c r="F64" i="82" s="1"/>
  <c r="F67" i="82" s="1"/>
  <c r="F30" i="82" s="1"/>
  <c r="E28" i="82"/>
  <c r="X51" i="82"/>
  <c r="X25" i="82" s="1"/>
  <c r="F28" i="82"/>
  <c r="Y51" i="82"/>
  <c r="Y25" i="82" s="1"/>
  <c r="AB54" i="82"/>
  <c r="E65" i="82"/>
  <c r="G28" i="82"/>
  <c r="Q54" i="82"/>
  <c r="L87" i="82"/>
  <c r="M87" i="82"/>
  <c r="AE20" i="26"/>
  <c r="AD78" i="26"/>
  <c r="AD73" i="26"/>
  <c r="AD11" i="30"/>
  <c r="S11" i="49"/>
  <c r="T11" i="49"/>
  <c r="U11" i="49"/>
  <c r="V11" i="49"/>
  <c r="W11" i="49"/>
  <c r="W12" i="49" s="1"/>
  <c r="X11" i="49"/>
  <c r="Y11" i="49"/>
  <c r="Z11" i="49"/>
  <c r="AA11" i="49"/>
  <c r="AB11" i="49"/>
  <c r="AC11" i="49"/>
  <c r="AD11" i="49"/>
  <c r="E11" i="49"/>
  <c r="F11" i="49"/>
  <c r="G11" i="49"/>
  <c r="H11" i="49"/>
  <c r="I11" i="49"/>
  <c r="J11" i="49"/>
  <c r="K11" i="49"/>
  <c r="L11" i="49"/>
  <c r="M11" i="49"/>
  <c r="N11" i="49"/>
  <c r="O11" i="49"/>
  <c r="P11" i="49"/>
  <c r="Q11" i="49"/>
  <c r="R11" i="49"/>
  <c r="D11" i="49"/>
  <c r="S10" i="49"/>
  <c r="S26" i="49" s="1"/>
  <c r="T10" i="49"/>
  <c r="U10" i="49"/>
  <c r="V10" i="49"/>
  <c r="V26" i="49" s="1"/>
  <c r="V38" i="59" s="1"/>
  <c r="W10" i="49"/>
  <c r="X10" i="49"/>
  <c r="X26" i="49" s="1"/>
  <c r="Y10" i="49"/>
  <c r="Y26" i="49" s="1"/>
  <c r="Z10" i="49"/>
  <c r="Z26" i="49" s="1"/>
  <c r="AA10" i="49"/>
  <c r="AB10" i="49"/>
  <c r="AC10" i="49"/>
  <c r="AD10" i="49"/>
  <c r="AD26" i="49" s="1"/>
  <c r="H10" i="49"/>
  <c r="I10" i="49"/>
  <c r="J10" i="49"/>
  <c r="K10" i="49"/>
  <c r="L10" i="49"/>
  <c r="L26" i="49" s="1"/>
  <c r="M10" i="49"/>
  <c r="N10" i="49"/>
  <c r="N26" i="49" s="1"/>
  <c r="O10" i="49"/>
  <c r="O26" i="49" s="1"/>
  <c r="P10" i="49"/>
  <c r="Q10" i="49"/>
  <c r="R10" i="49"/>
  <c r="G10" i="49"/>
  <c r="F10" i="49"/>
  <c r="E10" i="49"/>
  <c r="D10" i="49"/>
  <c r="D26" i="49" s="1"/>
  <c r="G78" i="21"/>
  <c r="F78" i="21"/>
  <c r="E78" i="21"/>
  <c r="V53" i="21"/>
  <c r="U53" i="21"/>
  <c r="T53" i="21"/>
  <c r="S53" i="21"/>
  <c r="R53" i="21"/>
  <c r="Q53" i="21"/>
  <c r="P53" i="21"/>
  <c r="O53" i="21"/>
  <c r="N53" i="21"/>
  <c r="M53" i="21"/>
  <c r="L53" i="21"/>
  <c r="K53" i="21"/>
  <c r="J53" i="21"/>
  <c r="I53" i="21"/>
  <c r="S51" i="21"/>
  <c r="R51" i="21"/>
  <c r="Q51" i="21"/>
  <c r="P51" i="21"/>
  <c r="O51" i="21"/>
  <c r="N51" i="21"/>
  <c r="M51" i="21"/>
  <c r="L51" i="21"/>
  <c r="K51" i="21"/>
  <c r="J51" i="21"/>
  <c r="I51" i="21"/>
  <c r="H51" i="21"/>
  <c r="G51" i="21"/>
  <c r="S50" i="21"/>
  <c r="R50" i="21"/>
  <c r="Q50" i="21"/>
  <c r="P50" i="21"/>
  <c r="O50" i="21"/>
  <c r="N50" i="21"/>
  <c r="M50" i="21"/>
  <c r="L50" i="21"/>
  <c r="K50" i="21"/>
  <c r="J50" i="21"/>
  <c r="I50" i="21"/>
  <c r="H50" i="21"/>
  <c r="G50" i="21"/>
  <c r="F50" i="21"/>
  <c r="P49" i="21"/>
  <c r="O49" i="21"/>
  <c r="N49" i="21"/>
  <c r="M49" i="21"/>
  <c r="L49" i="21"/>
  <c r="K49" i="21"/>
  <c r="J49" i="21"/>
  <c r="I49" i="21"/>
  <c r="H49" i="21"/>
  <c r="G49" i="21"/>
  <c r="F49" i="21"/>
  <c r="E49" i="21"/>
  <c r="O12" i="21"/>
  <c r="V11" i="21"/>
  <c r="U11" i="21"/>
  <c r="T11" i="21"/>
  <c r="S11" i="21"/>
  <c r="R11" i="21"/>
  <c r="Q11" i="21"/>
  <c r="P11" i="21"/>
  <c r="O11" i="21"/>
  <c r="N11" i="21"/>
  <c r="F81" i="21" s="1"/>
  <c r="M11" i="21"/>
  <c r="L11" i="21"/>
  <c r="K11" i="21"/>
  <c r="J11" i="21"/>
  <c r="E81" i="21" s="1"/>
  <c r="I11" i="21"/>
  <c r="H11" i="21"/>
  <c r="G11" i="21"/>
  <c r="F11" i="21"/>
  <c r="O10" i="21"/>
  <c r="L10" i="21"/>
  <c r="V9" i="21"/>
  <c r="S9" i="21"/>
  <c r="H9" i="21"/>
  <c r="E9" i="21"/>
  <c r="S7" i="21"/>
  <c r="P7" i="21"/>
  <c r="E7" i="21"/>
  <c r="L6" i="21"/>
  <c r="I6" i="21"/>
  <c r="F6" i="21"/>
  <c r="I4" i="21"/>
  <c r="F4" i="21"/>
  <c r="S3" i="21"/>
  <c r="P3" i="21"/>
  <c r="E3" i="21"/>
  <c r="E1" i="21"/>
  <c r="D1" i="21"/>
  <c r="C19" i="6"/>
  <c r="B19" i="6"/>
  <c r="U16" i="6"/>
  <c r="T16" i="6"/>
  <c r="T17" i="6" s="1"/>
  <c r="S16" i="6"/>
  <c r="V49" i="21" s="1"/>
  <c r="R16" i="6"/>
  <c r="U49" i="21" s="1"/>
  <c r="Q16" i="6"/>
  <c r="P16" i="6"/>
  <c r="S49" i="21" s="1"/>
  <c r="O16" i="6"/>
  <c r="R49" i="21" s="1"/>
  <c r="N16" i="6"/>
  <c r="Q49" i="21" s="1"/>
  <c r="C9" i="6"/>
  <c r="D9" i="6" s="1"/>
  <c r="E6" i="21" s="1"/>
  <c r="U6" i="6"/>
  <c r="V3" i="21" s="1"/>
  <c r="T6" i="6"/>
  <c r="S6" i="6"/>
  <c r="R6" i="6"/>
  <c r="Q6" i="6"/>
  <c r="P6" i="6"/>
  <c r="O6" i="6"/>
  <c r="N6" i="6"/>
  <c r="M6" i="6"/>
  <c r="L6" i="6"/>
  <c r="K6" i="6"/>
  <c r="J6" i="6"/>
  <c r="I6" i="6"/>
  <c r="H6" i="6"/>
  <c r="I3" i="21" s="1"/>
  <c r="G6" i="6"/>
  <c r="H3" i="21" s="1"/>
  <c r="F6" i="6"/>
  <c r="G3" i="21" s="1"/>
  <c r="E6" i="6"/>
  <c r="F3" i="21" s="1"/>
  <c r="D6" i="6"/>
  <c r="C6" i="6"/>
  <c r="D3" i="21" s="1"/>
  <c r="B6" i="6"/>
  <c r="C3" i="21" s="1"/>
  <c r="BJ16" i="5"/>
  <c r="BI16" i="5"/>
  <c r="BH16" i="5"/>
  <c r="BG16" i="5"/>
  <c r="BF16" i="5"/>
  <c r="BE16" i="5"/>
  <c r="BD16" i="5"/>
  <c r="BC16" i="5"/>
  <c r="BB16" i="5"/>
  <c r="AZ16" i="5"/>
  <c r="AY16" i="5"/>
  <c r="AX16" i="5"/>
  <c r="AW16" i="5"/>
  <c r="AV16" i="5"/>
  <c r="AU16" i="5"/>
  <c r="AT16" i="5"/>
  <c r="AS16" i="5"/>
  <c r="AR16" i="5"/>
  <c r="AQ16" i="5"/>
  <c r="AP16" i="5"/>
  <c r="AO16" i="5"/>
  <c r="AN16" i="5"/>
  <c r="K16" i="5" s="1"/>
  <c r="AM16" i="5"/>
  <c r="AL16" i="5"/>
  <c r="AK16" i="5"/>
  <c r="AJ16" i="5"/>
  <c r="AI16" i="5"/>
  <c r="AH16" i="5"/>
  <c r="AG16" i="5"/>
  <c r="AF16" i="5"/>
  <c r="AE16" i="5"/>
  <c r="AD16" i="5"/>
  <c r="AC16" i="5"/>
  <c r="AB16" i="5"/>
  <c r="AA16" i="5"/>
  <c r="Z16" i="5"/>
  <c r="Y16" i="5"/>
  <c r="X16" i="5"/>
  <c r="W16" i="5"/>
  <c r="V16" i="5"/>
  <c r="U16" i="5"/>
  <c r="T16" i="5"/>
  <c r="S16" i="5"/>
  <c r="R16" i="5"/>
  <c r="Q16" i="5"/>
  <c r="P16" i="5"/>
  <c r="O16" i="5"/>
  <c r="N16" i="5"/>
  <c r="G16" i="5"/>
  <c r="N15" i="5"/>
  <c r="M15" i="5"/>
  <c r="K15" i="5"/>
  <c r="J15" i="5"/>
  <c r="I15" i="5"/>
  <c r="H15" i="5"/>
  <c r="G15" i="5"/>
  <c r="E15" i="5"/>
  <c r="D15" i="5"/>
  <c r="C15" i="5"/>
  <c r="F15" i="5" s="1"/>
  <c r="B15" i="5"/>
  <c r="N14" i="5"/>
  <c r="M14" i="5"/>
  <c r="K14" i="5"/>
  <c r="J14" i="5"/>
  <c r="I14" i="5"/>
  <c r="H14" i="5"/>
  <c r="G14" i="5"/>
  <c r="D14" i="5"/>
  <c r="C14" i="5"/>
  <c r="F14" i="5" s="1"/>
  <c r="B14" i="5"/>
  <c r="E14" i="5" s="1"/>
  <c r="N13" i="5"/>
  <c r="M13" i="5"/>
  <c r="K13" i="5"/>
  <c r="J13" i="5"/>
  <c r="I13" i="5"/>
  <c r="H13" i="5"/>
  <c r="G13" i="5"/>
  <c r="E13" i="5"/>
  <c r="D13" i="5"/>
  <c r="F13" i="5" s="1"/>
  <c r="C13" i="5"/>
  <c r="B13" i="5"/>
  <c r="N12" i="5"/>
  <c r="M12" i="5"/>
  <c r="K12" i="5"/>
  <c r="J12" i="5"/>
  <c r="I12" i="5"/>
  <c r="H12" i="5"/>
  <c r="G12" i="5"/>
  <c r="F12" i="5"/>
  <c r="D12" i="5"/>
  <c r="C12" i="5"/>
  <c r="B12" i="5"/>
  <c r="E12" i="5" s="1"/>
  <c r="N11" i="5"/>
  <c r="M11" i="5"/>
  <c r="K11" i="5"/>
  <c r="J11" i="5"/>
  <c r="I11" i="5"/>
  <c r="H11" i="5"/>
  <c r="G11" i="5"/>
  <c r="E11" i="5"/>
  <c r="D11" i="5"/>
  <c r="F11" i="5" s="1"/>
  <c r="C11" i="5"/>
  <c r="B11" i="5"/>
  <c r="N10" i="5"/>
  <c r="M10" i="5"/>
  <c r="V12" i="21" s="1"/>
  <c r="K10" i="5"/>
  <c r="V10" i="21" s="1"/>
  <c r="J10" i="5"/>
  <c r="I10" i="5"/>
  <c r="H10" i="5"/>
  <c r="V7" i="21" s="1"/>
  <c r="G10" i="5"/>
  <c r="V6" i="21" s="1"/>
  <c r="E10" i="5"/>
  <c r="V4" i="21" s="1"/>
  <c r="D10" i="5"/>
  <c r="C10" i="5"/>
  <c r="F10" i="5" s="1"/>
  <c r="V5" i="21" s="1"/>
  <c r="B10" i="5"/>
  <c r="N9" i="5"/>
  <c r="M9" i="5"/>
  <c r="U12" i="21" s="1"/>
  <c r="K9" i="5"/>
  <c r="U10" i="21" s="1"/>
  <c r="J9" i="5"/>
  <c r="U9" i="21" s="1"/>
  <c r="I9" i="5"/>
  <c r="H9" i="5"/>
  <c r="U7" i="21" s="1"/>
  <c r="G9" i="5"/>
  <c r="E9" i="5"/>
  <c r="D9" i="5"/>
  <c r="C9" i="5"/>
  <c r="F9" i="5" s="1"/>
  <c r="B9" i="5"/>
  <c r="N8" i="5"/>
  <c r="M8" i="5"/>
  <c r="Q12" i="21" s="1"/>
  <c r="K8" i="5"/>
  <c r="Q10" i="21" s="1"/>
  <c r="J8" i="5"/>
  <c r="P9" i="21" s="1"/>
  <c r="I8" i="5"/>
  <c r="H8" i="5"/>
  <c r="Q7" i="21" s="1"/>
  <c r="G8" i="5"/>
  <c r="Q6" i="21" s="1"/>
  <c r="E8" i="5"/>
  <c r="D8" i="5"/>
  <c r="C8" i="5"/>
  <c r="F8" i="5" s="1"/>
  <c r="P5" i="21" s="1"/>
  <c r="B8" i="5"/>
  <c r="N7" i="5"/>
  <c r="M7" i="5"/>
  <c r="M12" i="21" s="1"/>
  <c r="K7" i="5"/>
  <c r="M10" i="21" s="1"/>
  <c r="J7" i="5"/>
  <c r="M9" i="21" s="1"/>
  <c r="I7" i="5"/>
  <c r="H7" i="5"/>
  <c r="M7" i="21" s="1"/>
  <c r="G7" i="5"/>
  <c r="D7" i="5"/>
  <c r="C7" i="5"/>
  <c r="B7" i="5"/>
  <c r="N6" i="5"/>
  <c r="M6" i="5"/>
  <c r="I12" i="21" s="1"/>
  <c r="K6" i="5"/>
  <c r="J6" i="5"/>
  <c r="I9" i="21" s="1"/>
  <c r="I6" i="5"/>
  <c r="H6" i="5"/>
  <c r="I7" i="21" s="1"/>
  <c r="G6" i="5"/>
  <c r="I24" i="21" s="1"/>
  <c r="E6" i="5"/>
  <c r="H4" i="21" s="1"/>
  <c r="D6" i="5"/>
  <c r="F6" i="5" s="1"/>
  <c r="C6" i="5"/>
  <c r="B6" i="5"/>
  <c r="N5" i="5"/>
  <c r="M5" i="5"/>
  <c r="C12" i="21" s="1"/>
  <c r="L5" i="5"/>
  <c r="E11" i="21" s="1"/>
  <c r="K5" i="5"/>
  <c r="C10" i="21" s="1"/>
  <c r="J5" i="5"/>
  <c r="I5" i="5"/>
  <c r="C8" i="21" s="1"/>
  <c r="H5" i="5"/>
  <c r="H16" i="5" s="1"/>
  <c r="G5" i="5"/>
  <c r="C6" i="21" s="1"/>
  <c r="E5" i="5"/>
  <c r="D4" i="21" s="1"/>
  <c r="D5" i="5"/>
  <c r="C5" i="5"/>
  <c r="F5" i="5" s="1"/>
  <c r="B5" i="5"/>
  <c r="D8" i="21" s="1"/>
  <c r="F17" i="27"/>
  <c r="F16" i="27"/>
  <c r="F15" i="27"/>
  <c r="F14" i="27"/>
  <c r="F13" i="27"/>
  <c r="F12" i="27"/>
  <c r="F11" i="27"/>
  <c r="F9" i="27"/>
  <c r="F8" i="27"/>
  <c r="F7" i="27"/>
  <c r="F6" i="27"/>
  <c r="F5" i="27"/>
  <c r="B3" i="27"/>
  <c r="O194" i="65"/>
  <c r="P194" i="65" s="1"/>
  <c r="Q194" i="65" s="1"/>
  <c r="M194" i="65"/>
  <c r="S193" i="65"/>
  <c r="O193" i="65"/>
  <c r="P193" i="65" s="1"/>
  <c r="Q193" i="65" s="1"/>
  <c r="F192" i="65"/>
  <c r="G192" i="65" s="1"/>
  <c r="H192" i="65" s="1"/>
  <c r="I192" i="65" s="1"/>
  <c r="G191" i="65"/>
  <c r="H191" i="65" s="1"/>
  <c r="J190" i="65"/>
  <c r="K190" i="65" s="1"/>
  <c r="L190" i="65" s="1"/>
  <c r="M190" i="65" s="1"/>
  <c r="I189" i="65"/>
  <c r="R188" i="65"/>
  <c r="S188" i="65" s="1"/>
  <c r="N188" i="65"/>
  <c r="O188" i="65" s="1"/>
  <c r="P188" i="65" s="1"/>
  <c r="Q188" i="65" s="1"/>
  <c r="M188" i="65"/>
  <c r="K188" i="65"/>
  <c r="L188" i="65" s="1"/>
  <c r="J188" i="65"/>
  <c r="F188" i="65"/>
  <c r="G188" i="65" s="1"/>
  <c r="H188" i="65" s="1"/>
  <c r="I188" i="65" s="1"/>
  <c r="D188" i="65"/>
  <c r="E188" i="65" s="1"/>
  <c r="M187" i="65"/>
  <c r="O186" i="65"/>
  <c r="P186" i="65" s="1"/>
  <c r="Q186" i="65" s="1"/>
  <c r="D186" i="65"/>
  <c r="E186" i="65" s="1"/>
  <c r="S185" i="65"/>
  <c r="S184" i="65"/>
  <c r="R184" i="65"/>
  <c r="G184" i="65"/>
  <c r="H184" i="65" s="1"/>
  <c r="I184" i="65" s="1"/>
  <c r="E184" i="65"/>
  <c r="D184" i="65"/>
  <c r="N179" i="65"/>
  <c r="G179" i="65"/>
  <c r="N194" i="65" s="1"/>
  <c r="F179" i="65"/>
  <c r="J194" i="65" s="1"/>
  <c r="K194" i="65" s="1"/>
  <c r="L194" i="65" s="1"/>
  <c r="E179" i="65"/>
  <c r="F194" i="65" s="1"/>
  <c r="G194" i="65" s="1"/>
  <c r="H194" i="65" s="1"/>
  <c r="I194" i="65" s="1"/>
  <c r="L178" i="65"/>
  <c r="E178" i="65"/>
  <c r="F193" i="65" s="1"/>
  <c r="G193" i="65" s="1"/>
  <c r="H193" i="65" s="1"/>
  <c r="I193" i="65" s="1"/>
  <c r="D178" i="65"/>
  <c r="D193" i="65" s="1"/>
  <c r="E193" i="65" s="1"/>
  <c r="O177" i="65"/>
  <c r="J177" i="65"/>
  <c r="O176" i="65"/>
  <c r="N176" i="65"/>
  <c r="M176" i="65"/>
  <c r="K176" i="65"/>
  <c r="J176" i="65"/>
  <c r="H176" i="65"/>
  <c r="R191" i="65" s="1"/>
  <c r="S191" i="65" s="1"/>
  <c r="M175" i="65"/>
  <c r="L175" i="65"/>
  <c r="K175" i="65"/>
  <c r="I175" i="65"/>
  <c r="F175" i="65"/>
  <c r="K174" i="65"/>
  <c r="J174" i="65"/>
  <c r="I174" i="65"/>
  <c r="G174" i="65"/>
  <c r="N189" i="65" s="1"/>
  <c r="O189" i="65" s="1"/>
  <c r="P189" i="65" s="1"/>
  <c r="Q189" i="65" s="1"/>
  <c r="D174" i="65"/>
  <c r="D189" i="65" s="1"/>
  <c r="E189" i="65" s="1"/>
  <c r="I172" i="65"/>
  <c r="H172" i="65"/>
  <c r="R187" i="65" s="1"/>
  <c r="S187" i="65" s="1"/>
  <c r="E172" i="65"/>
  <c r="F187" i="65" s="1"/>
  <c r="G187" i="65" s="1"/>
  <c r="H187" i="65" s="1"/>
  <c r="I187" i="65" s="1"/>
  <c r="N171" i="65"/>
  <c r="G171" i="65"/>
  <c r="N186" i="65" s="1"/>
  <c r="F171" i="65"/>
  <c r="J186" i="65" s="1"/>
  <c r="K186" i="65" s="1"/>
  <c r="L186" i="65" s="1"/>
  <c r="M186" i="65" s="1"/>
  <c r="E171" i="65"/>
  <c r="F186" i="65" s="1"/>
  <c r="G186" i="65" s="1"/>
  <c r="H186" i="65" s="1"/>
  <c r="I186" i="65" s="1"/>
  <c r="L170" i="65"/>
  <c r="E170" i="65"/>
  <c r="F185" i="65" s="1"/>
  <c r="G185" i="65" s="1"/>
  <c r="H185" i="65" s="1"/>
  <c r="I185" i="65" s="1"/>
  <c r="D170" i="65"/>
  <c r="D185" i="65" s="1"/>
  <c r="E185" i="65" s="1"/>
  <c r="O169" i="65"/>
  <c r="N169" i="65"/>
  <c r="M169" i="65"/>
  <c r="L169" i="65"/>
  <c r="K169" i="65"/>
  <c r="J169" i="65"/>
  <c r="I169" i="65"/>
  <c r="H169" i="65"/>
  <c r="G169" i="65"/>
  <c r="N184" i="65" s="1"/>
  <c r="O184" i="65" s="1"/>
  <c r="P184" i="65" s="1"/>
  <c r="Q184" i="65" s="1"/>
  <c r="F169" i="65"/>
  <c r="J184" i="65" s="1"/>
  <c r="K184" i="65" s="1"/>
  <c r="L184" i="65" s="1"/>
  <c r="M184" i="65" s="1"/>
  <c r="E169" i="65"/>
  <c r="F184" i="65" s="1"/>
  <c r="D169" i="65"/>
  <c r="O85" i="65"/>
  <c r="O178" i="65" s="1"/>
  <c r="N85" i="65"/>
  <c r="N178" i="65" s="1"/>
  <c r="M85" i="65"/>
  <c r="M178" i="65" s="1"/>
  <c r="L85" i="65"/>
  <c r="K85" i="65"/>
  <c r="K178" i="65" s="1"/>
  <c r="J85" i="65"/>
  <c r="J178" i="65" s="1"/>
  <c r="I85" i="65"/>
  <c r="I178" i="65" s="1"/>
  <c r="H85" i="65"/>
  <c r="H178" i="65" s="1"/>
  <c r="R193" i="65" s="1"/>
  <c r="G85" i="65"/>
  <c r="G178" i="65" s="1"/>
  <c r="N193" i="65" s="1"/>
  <c r="F85" i="65"/>
  <c r="F178" i="65" s="1"/>
  <c r="J193" i="65" s="1"/>
  <c r="K193" i="65" s="1"/>
  <c r="L193" i="65" s="1"/>
  <c r="M193" i="65" s="1"/>
  <c r="E85" i="65"/>
  <c r="D85" i="65"/>
  <c r="O84" i="65"/>
  <c r="N84" i="65"/>
  <c r="N177" i="65" s="1"/>
  <c r="M84" i="65"/>
  <c r="M177" i="65" s="1"/>
  <c r="L84" i="65"/>
  <c r="L177" i="65" s="1"/>
  <c r="K84" i="65"/>
  <c r="K177" i="65" s="1"/>
  <c r="J84" i="65"/>
  <c r="I84" i="65"/>
  <c r="I177" i="65" s="1"/>
  <c r="H84" i="65"/>
  <c r="H177" i="65" s="1"/>
  <c r="R192" i="65" s="1"/>
  <c r="S192" i="65" s="1"/>
  <c r="G84" i="65"/>
  <c r="G177" i="65" s="1"/>
  <c r="N192" i="65" s="1"/>
  <c r="O192" i="65" s="1"/>
  <c r="P192" i="65" s="1"/>
  <c r="Q192" i="65" s="1"/>
  <c r="F84" i="65"/>
  <c r="F177" i="65" s="1"/>
  <c r="J192" i="65" s="1"/>
  <c r="K192" i="65" s="1"/>
  <c r="L192" i="65" s="1"/>
  <c r="M192" i="65" s="1"/>
  <c r="E84" i="65"/>
  <c r="E177" i="65" s="1"/>
  <c r="D84" i="65"/>
  <c r="D177" i="65" s="1"/>
  <c r="D192" i="65" s="1"/>
  <c r="E192" i="65" s="1"/>
  <c r="O83" i="65"/>
  <c r="O179" i="65" s="1"/>
  <c r="N83" i="65"/>
  <c r="M83" i="65"/>
  <c r="M179" i="65" s="1"/>
  <c r="L83" i="65"/>
  <c r="L179" i="65" s="1"/>
  <c r="K83" i="65"/>
  <c r="K179" i="65" s="1"/>
  <c r="J83" i="65"/>
  <c r="J179" i="65" s="1"/>
  <c r="I83" i="65"/>
  <c r="I179" i="65" s="1"/>
  <c r="H83" i="65"/>
  <c r="H179" i="65" s="1"/>
  <c r="R194" i="65" s="1"/>
  <c r="S194" i="65" s="1"/>
  <c r="G83" i="65"/>
  <c r="F83" i="65"/>
  <c r="E83" i="65"/>
  <c r="D83" i="65"/>
  <c r="D179" i="65" s="1"/>
  <c r="D194" i="65" s="1"/>
  <c r="E194" i="65" s="1"/>
  <c r="O74" i="65"/>
  <c r="O172" i="65" s="1"/>
  <c r="N74" i="65"/>
  <c r="N172" i="65" s="1"/>
  <c r="M74" i="65"/>
  <c r="M172" i="65" s="1"/>
  <c r="L74" i="65"/>
  <c r="L172" i="65" s="1"/>
  <c r="K74" i="65"/>
  <c r="K172" i="65" s="1"/>
  <c r="J74" i="65"/>
  <c r="J172" i="65" s="1"/>
  <c r="I74" i="65"/>
  <c r="H74" i="65"/>
  <c r="G74" i="65"/>
  <c r="G172" i="65" s="1"/>
  <c r="N187" i="65" s="1"/>
  <c r="O187" i="65" s="1"/>
  <c r="P187" i="65" s="1"/>
  <c r="Q187" i="65" s="1"/>
  <c r="F74" i="65"/>
  <c r="F172" i="65" s="1"/>
  <c r="J187" i="65" s="1"/>
  <c r="K187" i="65" s="1"/>
  <c r="L187" i="65" s="1"/>
  <c r="E74" i="65"/>
  <c r="D74" i="65"/>
  <c r="D172" i="65" s="1"/>
  <c r="D187" i="65" s="1"/>
  <c r="E187" i="65" s="1"/>
  <c r="O73" i="65"/>
  <c r="N73" i="65"/>
  <c r="M73" i="65"/>
  <c r="L73" i="65"/>
  <c r="L176" i="65" s="1"/>
  <c r="K73" i="65"/>
  <c r="J73" i="65"/>
  <c r="I73" i="65"/>
  <c r="I176" i="65" s="1"/>
  <c r="H73" i="65"/>
  <c r="G73" i="65"/>
  <c r="G176" i="65" s="1"/>
  <c r="N191" i="65" s="1"/>
  <c r="O191" i="65" s="1"/>
  <c r="P191" i="65" s="1"/>
  <c r="Q191" i="65" s="1"/>
  <c r="F73" i="65"/>
  <c r="F176" i="65" s="1"/>
  <c r="J191" i="65" s="1"/>
  <c r="K191" i="65" s="1"/>
  <c r="L191" i="65" s="1"/>
  <c r="M191" i="65" s="1"/>
  <c r="E73" i="65"/>
  <c r="E176" i="65" s="1"/>
  <c r="F191" i="65" s="1"/>
  <c r="D73" i="65"/>
  <c r="D176" i="65" s="1"/>
  <c r="D191" i="65" s="1"/>
  <c r="E191" i="65" s="1"/>
  <c r="S40" i="75" s="1"/>
  <c r="O72" i="65"/>
  <c r="O175" i="65" s="1"/>
  <c r="N72" i="65"/>
  <c r="N175" i="65" s="1"/>
  <c r="M72" i="65"/>
  <c r="L72" i="65"/>
  <c r="K72" i="65"/>
  <c r="J72" i="65"/>
  <c r="J175" i="65" s="1"/>
  <c r="I72" i="65"/>
  <c r="H72" i="65"/>
  <c r="H175" i="65" s="1"/>
  <c r="R190" i="65" s="1"/>
  <c r="S190" i="65" s="1"/>
  <c r="G72" i="65"/>
  <c r="G175" i="65" s="1"/>
  <c r="N190" i="65" s="1"/>
  <c r="O190" i="65" s="1"/>
  <c r="P190" i="65" s="1"/>
  <c r="Q190" i="65" s="1"/>
  <c r="F72" i="65"/>
  <c r="E72" i="65"/>
  <c r="E175" i="65" s="1"/>
  <c r="F190" i="65" s="1"/>
  <c r="G190" i="65" s="1"/>
  <c r="H190" i="65" s="1"/>
  <c r="I190" i="65" s="1"/>
  <c r="D72" i="65"/>
  <c r="D175" i="65" s="1"/>
  <c r="D190" i="65" s="1"/>
  <c r="E190" i="65" s="1"/>
  <c r="O71" i="65"/>
  <c r="O174" i="65" s="1"/>
  <c r="N71" i="65"/>
  <c r="N174" i="65" s="1"/>
  <c r="M71" i="65"/>
  <c r="M174" i="65" s="1"/>
  <c r="L71" i="65"/>
  <c r="L174" i="65" s="1"/>
  <c r="K71" i="65"/>
  <c r="J71" i="65"/>
  <c r="I71" i="65"/>
  <c r="H71" i="65"/>
  <c r="H174" i="65" s="1"/>
  <c r="R189" i="65" s="1"/>
  <c r="S189" i="65" s="1"/>
  <c r="G71" i="65"/>
  <c r="F71" i="65"/>
  <c r="F174" i="65" s="1"/>
  <c r="J189" i="65" s="1"/>
  <c r="K189" i="65" s="1"/>
  <c r="L189" i="65" s="1"/>
  <c r="M189" i="65" s="1"/>
  <c r="E71" i="65"/>
  <c r="E174" i="65" s="1"/>
  <c r="F189" i="65" s="1"/>
  <c r="G189" i="65" s="1"/>
  <c r="H189" i="65" s="1"/>
  <c r="D71" i="65"/>
  <c r="O70" i="65"/>
  <c r="O170" i="65" s="1"/>
  <c r="N70" i="65"/>
  <c r="N170" i="65" s="1"/>
  <c r="M70" i="65"/>
  <c r="M170" i="65" s="1"/>
  <c r="L70" i="65"/>
  <c r="K70" i="65"/>
  <c r="K170" i="65" s="1"/>
  <c r="J70" i="65"/>
  <c r="J170" i="65" s="1"/>
  <c r="I70" i="65"/>
  <c r="I170" i="65" s="1"/>
  <c r="H70" i="65"/>
  <c r="H170" i="65" s="1"/>
  <c r="R185" i="65" s="1"/>
  <c r="G70" i="65"/>
  <c r="G170" i="65" s="1"/>
  <c r="N185" i="65" s="1"/>
  <c r="O185" i="65" s="1"/>
  <c r="P185" i="65" s="1"/>
  <c r="Q185" i="65" s="1"/>
  <c r="F70" i="65"/>
  <c r="F170" i="65" s="1"/>
  <c r="J185" i="65" s="1"/>
  <c r="K185" i="65" s="1"/>
  <c r="L185" i="65" s="1"/>
  <c r="M185" i="65" s="1"/>
  <c r="E70" i="65"/>
  <c r="D70" i="65"/>
  <c r="O69" i="65"/>
  <c r="O171" i="65" s="1"/>
  <c r="N69" i="65"/>
  <c r="M69" i="65"/>
  <c r="M171" i="65" s="1"/>
  <c r="L69" i="65"/>
  <c r="L171" i="65" s="1"/>
  <c r="K69" i="65"/>
  <c r="K171" i="65" s="1"/>
  <c r="J69" i="65"/>
  <c r="J171" i="65" s="1"/>
  <c r="I69" i="65"/>
  <c r="I171" i="65" s="1"/>
  <c r="H69" i="65"/>
  <c r="H171" i="65" s="1"/>
  <c r="R186" i="65" s="1"/>
  <c r="S186" i="65" s="1"/>
  <c r="G69" i="65"/>
  <c r="F69" i="65"/>
  <c r="E69" i="65"/>
  <c r="D69" i="65"/>
  <c r="D171" i="65" s="1"/>
  <c r="M11" i="29"/>
  <c r="K11" i="29"/>
  <c r="T10" i="29"/>
  <c r="S10" i="29"/>
  <c r="R10" i="29"/>
  <c r="P10" i="29"/>
  <c r="T9" i="29"/>
  <c r="S9" i="29"/>
  <c r="R9" i="29"/>
  <c r="Q9" i="29"/>
  <c r="Q10" i="29" s="1"/>
  <c r="P9" i="29"/>
  <c r="O9" i="29"/>
  <c r="O10" i="29" s="1"/>
  <c r="O18" i="75" s="1"/>
  <c r="N9" i="29"/>
  <c r="N10" i="29" s="1"/>
  <c r="M9" i="29"/>
  <c r="M10" i="29" s="1"/>
  <c r="L9" i="29"/>
  <c r="L11" i="29" s="1"/>
  <c r="K9" i="29"/>
  <c r="J9" i="29"/>
  <c r="J11" i="29" s="1"/>
  <c r="S15" i="40"/>
  <c r="P14" i="40"/>
  <c r="P17" i="40" s="1"/>
  <c r="J14" i="40"/>
  <c r="T13" i="40"/>
  <c r="S13" i="40"/>
  <c r="S14" i="40" s="1"/>
  <c r="R13" i="40"/>
  <c r="Q13" i="40"/>
  <c r="P13" i="40"/>
  <c r="O13" i="40"/>
  <c r="N13" i="40"/>
  <c r="M13" i="40"/>
  <c r="M14" i="40" s="1"/>
  <c r="M16" i="40" s="1"/>
  <c r="L13" i="40"/>
  <c r="K13" i="40"/>
  <c r="J13" i="40"/>
  <c r="T12" i="40"/>
  <c r="S12" i="40"/>
  <c r="R12" i="40"/>
  <c r="Q12" i="40"/>
  <c r="P12" i="40"/>
  <c r="P16" i="40" s="1"/>
  <c r="O12" i="40"/>
  <c r="N12" i="40"/>
  <c r="M12" i="40"/>
  <c r="L12" i="40"/>
  <c r="K12" i="40"/>
  <c r="J12" i="40"/>
  <c r="T11" i="40"/>
  <c r="S11" i="40"/>
  <c r="R11" i="40"/>
  <c r="Q11" i="40"/>
  <c r="P11" i="40"/>
  <c r="P15" i="40" s="1"/>
  <c r="O11" i="40"/>
  <c r="N11" i="40"/>
  <c r="M11" i="40"/>
  <c r="L11" i="40"/>
  <c r="K11" i="40"/>
  <c r="J11" i="40"/>
  <c r="L67" i="38"/>
  <c r="J67" i="38"/>
  <c r="L66" i="38"/>
  <c r="L71" i="38" s="1"/>
  <c r="L65" i="38"/>
  <c r="J65" i="38"/>
  <c r="L64" i="38"/>
  <c r="O55" i="38"/>
  <c r="K67" i="38" s="1"/>
  <c r="P54" i="38"/>
  <c r="P55" i="38" s="1"/>
  <c r="P56" i="38" s="1"/>
  <c r="O54" i="38"/>
  <c r="N54" i="38"/>
  <c r="N55" i="38" s="1"/>
  <c r="P48" i="38" s="1"/>
  <c r="M54" i="38"/>
  <c r="L54" i="38"/>
  <c r="K54" i="38"/>
  <c r="K55" i="38" s="1"/>
  <c r="J54" i="38"/>
  <c r="J55" i="38" s="1"/>
  <c r="J56" i="38" s="1"/>
  <c r="P53" i="38"/>
  <c r="O53" i="38"/>
  <c r="K65" i="38" s="1"/>
  <c r="N53" i="38"/>
  <c r="M53" i="38"/>
  <c r="L53" i="38"/>
  <c r="K53" i="38"/>
  <c r="J53" i="38"/>
  <c r="J45" i="38"/>
  <c r="Q45" i="38" s="1"/>
  <c r="J44" i="38"/>
  <c r="Q43" i="38"/>
  <c r="J43" i="38"/>
  <c r="J42" i="38"/>
  <c r="Q41" i="38"/>
  <c r="J41" i="38"/>
  <c r="J40" i="38"/>
  <c r="Q40" i="38" s="1"/>
  <c r="T39" i="38"/>
  <c r="T40" i="38" s="1"/>
  <c r="Q39" i="38"/>
  <c r="P39" i="38"/>
  <c r="R39" i="38" s="1"/>
  <c r="J39" i="38"/>
  <c r="T38" i="38"/>
  <c r="S38" i="38"/>
  <c r="S39" i="38" s="1"/>
  <c r="S40" i="38" s="1"/>
  <c r="S41" i="38" s="1"/>
  <c r="S42" i="38" s="1"/>
  <c r="S43" i="38" s="1"/>
  <c r="S44" i="38" s="1"/>
  <c r="S45" i="38" s="1"/>
  <c r="P38" i="38"/>
  <c r="R38" i="38" s="1"/>
  <c r="J38" i="38"/>
  <c r="Q38" i="38" s="1"/>
  <c r="J37" i="38"/>
  <c r="P36" i="38"/>
  <c r="J36" i="38"/>
  <c r="J35" i="38"/>
  <c r="P35" i="38" s="1"/>
  <c r="P34" i="38"/>
  <c r="J34" i="38"/>
  <c r="J33" i="38"/>
  <c r="P33" i="38" s="1"/>
  <c r="S32" i="38"/>
  <c r="P32" i="38"/>
  <c r="J32" i="38"/>
  <c r="P31" i="38"/>
  <c r="J31" i="38"/>
  <c r="S30" i="38"/>
  <c r="S31" i="38" s="1"/>
  <c r="O31" i="38" s="1"/>
  <c r="J30" i="38"/>
  <c r="T29" i="38"/>
  <c r="T30" i="38" s="1"/>
  <c r="T31" i="38" s="1"/>
  <c r="T32" i="38" s="1"/>
  <c r="T33" i="38" s="1"/>
  <c r="T34" i="38" s="1"/>
  <c r="T35" i="38" s="1"/>
  <c r="T36" i="38" s="1"/>
  <c r="P29" i="38"/>
  <c r="J29" i="38"/>
  <c r="T28" i="38"/>
  <c r="S28" i="38"/>
  <c r="S29" i="38" s="1"/>
  <c r="O29" i="38" s="1"/>
  <c r="Q29" i="38" s="1"/>
  <c r="P28" i="38"/>
  <c r="O28" i="38"/>
  <c r="Q28" i="38" s="1"/>
  <c r="J28" i="38"/>
  <c r="P27" i="38"/>
  <c r="O27" i="38"/>
  <c r="J27" i="38"/>
  <c r="J26" i="38"/>
  <c r="N25" i="38"/>
  <c r="J25" i="38"/>
  <c r="S24" i="38"/>
  <c r="S25" i="38" s="1"/>
  <c r="S26" i="38" s="1"/>
  <c r="M26" i="38" s="1"/>
  <c r="N24" i="38"/>
  <c r="O24" i="38" s="1"/>
  <c r="M24" i="38"/>
  <c r="J24" i="38"/>
  <c r="S23" i="38"/>
  <c r="N23" i="38"/>
  <c r="M23" i="38"/>
  <c r="O23" i="38" s="1"/>
  <c r="J23" i="38"/>
  <c r="J22" i="38"/>
  <c r="J21" i="38"/>
  <c r="J20" i="38"/>
  <c r="M20" i="38" s="1"/>
  <c r="J19" i="38"/>
  <c r="M19" i="38" s="1"/>
  <c r="J18" i="38"/>
  <c r="S17" i="38"/>
  <c r="M17" i="38"/>
  <c r="J17" i="38"/>
  <c r="S16" i="38"/>
  <c r="J16" i="38"/>
  <c r="S15" i="38"/>
  <c r="M15" i="38"/>
  <c r="L15" i="38"/>
  <c r="J15" i="38"/>
  <c r="S14" i="38"/>
  <c r="J14" i="38"/>
  <c r="J13" i="38"/>
  <c r="L12" i="38"/>
  <c r="J12" i="38"/>
  <c r="J11" i="38"/>
  <c r="M11" i="38" s="1"/>
  <c r="Z19" i="77"/>
  <c r="X15" i="77"/>
  <c r="AA7" i="77"/>
  <c r="AA19" i="77" s="1"/>
  <c r="Z7" i="77"/>
  <c r="X7" i="77"/>
  <c r="X16" i="77" s="1"/>
  <c r="X19" i="77" s="1"/>
  <c r="Q7" i="77"/>
  <c r="E133" i="75"/>
  <c r="E137" i="75" s="1"/>
  <c r="D133" i="75"/>
  <c r="D137" i="75" s="1"/>
  <c r="G130" i="75"/>
  <c r="F130" i="75"/>
  <c r="W106" i="75"/>
  <c r="U106" i="75"/>
  <c r="W105" i="75"/>
  <c r="X105" i="75" s="1"/>
  <c r="V105" i="75"/>
  <c r="U105" i="75"/>
  <c r="T105" i="75"/>
  <c r="S105" i="75"/>
  <c r="R105" i="75"/>
  <c r="Q105" i="75"/>
  <c r="P105" i="75"/>
  <c r="O105" i="75"/>
  <c r="N105" i="75"/>
  <c r="M105" i="75"/>
  <c r="L105" i="75"/>
  <c r="K105" i="75"/>
  <c r="J105" i="75"/>
  <c r="I105" i="75"/>
  <c r="H105" i="75"/>
  <c r="G105" i="75"/>
  <c r="F105" i="75"/>
  <c r="E105" i="75"/>
  <c r="D105" i="75"/>
  <c r="X104" i="75"/>
  <c r="X106" i="75" s="1"/>
  <c r="W104" i="75"/>
  <c r="V104" i="75"/>
  <c r="V106" i="75" s="1"/>
  <c r="U104" i="75"/>
  <c r="AG99" i="75"/>
  <c r="AF99" i="75"/>
  <c r="AE99" i="75"/>
  <c r="AD99" i="75"/>
  <c r="G99" i="75"/>
  <c r="D99" i="75"/>
  <c r="V96" i="75"/>
  <c r="U96" i="75"/>
  <c r="T96" i="75"/>
  <c r="S96" i="75"/>
  <c r="R96" i="75"/>
  <c r="Q96" i="75"/>
  <c r="P96" i="75"/>
  <c r="O96" i="75"/>
  <c r="N96" i="75"/>
  <c r="M96" i="75"/>
  <c r="L96" i="75"/>
  <c r="K96" i="75"/>
  <c r="J96" i="75"/>
  <c r="I96" i="75"/>
  <c r="H96" i="75"/>
  <c r="G96" i="75"/>
  <c r="F96" i="75"/>
  <c r="E96" i="75"/>
  <c r="D96" i="75"/>
  <c r="V86" i="75"/>
  <c r="U86" i="75"/>
  <c r="T86" i="75"/>
  <c r="S86" i="75"/>
  <c r="R86" i="75"/>
  <c r="R87" i="75" s="1"/>
  <c r="Q86" i="75"/>
  <c r="P86" i="75"/>
  <c r="P87" i="75" s="1"/>
  <c r="O86" i="75"/>
  <c r="N86" i="75"/>
  <c r="N87" i="75" s="1"/>
  <c r="M86" i="75"/>
  <c r="L86" i="75"/>
  <c r="K86" i="75"/>
  <c r="J86" i="75"/>
  <c r="I86" i="75"/>
  <c r="I85" i="75" s="1"/>
  <c r="H86" i="75"/>
  <c r="G86" i="75"/>
  <c r="F86" i="75"/>
  <c r="E86" i="75"/>
  <c r="D86" i="75"/>
  <c r="N85" i="75"/>
  <c r="V44" i="75"/>
  <c r="U44" i="75"/>
  <c r="T44" i="75"/>
  <c r="S44" i="75"/>
  <c r="R44" i="75"/>
  <c r="Q44" i="75"/>
  <c r="P44" i="75"/>
  <c r="O44" i="75"/>
  <c r="N44" i="75"/>
  <c r="M44" i="75"/>
  <c r="L44" i="75"/>
  <c r="K44" i="75"/>
  <c r="J44" i="75"/>
  <c r="I44" i="75"/>
  <c r="H44" i="75"/>
  <c r="G44" i="75"/>
  <c r="F44" i="75"/>
  <c r="E44" i="75"/>
  <c r="D44" i="75"/>
  <c r="AC40" i="75"/>
  <c r="AB40" i="75"/>
  <c r="AA40" i="75"/>
  <c r="Z40" i="75"/>
  <c r="Y40" i="75"/>
  <c r="X40" i="75"/>
  <c r="U40" i="75"/>
  <c r="T40" i="75"/>
  <c r="S38" i="75"/>
  <c r="P38" i="75"/>
  <c r="N38" i="75"/>
  <c r="E38" i="75"/>
  <c r="AC36" i="75"/>
  <c r="AB36" i="75"/>
  <c r="AA36" i="75"/>
  <c r="Z36" i="75"/>
  <c r="Y36" i="75"/>
  <c r="X36" i="75"/>
  <c r="W36" i="75"/>
  <c r="V36" i="75"/>
  <c r="U36" i="75"/>
  <c r="T36" i="75"/>
  <c r="S36" i="75"/>
  <c r="R36" i="75"/>
  <c r="Q36" i="75"/>
  <c r="P36" i="75"/>
  <c r="O36" i="75"/>
  <c r="N36" i="75"/>
  <c r="K36" i="75"/>
  <c r="J36" i="75"/>
  <c r="T35" i="75"/>
  <c r="S35" i="75"/>
  <c r="R35" i="75"/>
  <c r="Q35" i="75"/>
  <c r="P35" i="75"/>
  <c r="O35" i="75"/>
  <c r="N35" i="75"/>
  <c r="M35" i="75"/>
  <c r="H34" i="75"/>
  <c r="G34" i="75"/>
  <c r="F34" i="75"/>
  <c r="E34" i="75"/>
  <c r="E99" i="75" s="1"/>
  <c r="D34" i="75"/>
  <c r="S33" i="75"/>
  <c r="P33" i="75"/>
  <c r="N33" i="75"/>
  <c r="Z32" i="75"/>
  <c r="G28" i="75"/>
  <c r="F28" i="75"/>
  <c r="E28" i="75"/>
  <c r="D28" i="75"/>
  <c r="V25" i="75"/>
  <c r="U25" i="75"/>
  <c r="T25" i="75"/>
  <c r="S25" i="75"/>
  <c r="R25" i="75"/>
  <c r="Q25" i="75"/>
  <c r="P25" i="75"/>
  <c r="O25" i="75"/>
  <c r="N25" i="75"/>
  <c r="M25" i="75"/>
  <c r="L25" i="75"/>
  <c r="K25" i="75"/>
  <c r="J25" i="75"/>
  <c r="I25" i="75"/>
  <c r="H25" i="75"/>
  <c r="G25" i="75"/>
  <c r="F25" i="75"/>
  <c r="E25" i="75"/>
  <c r="D25" i="75"/>
  <c r="H24" i="75"/>
  <c r="G24" i="75"/>
  <c r="F24" i="75"/>
  <c r="E24" i="75"/>
  <c r="D24" i="75"/>
  <c r="S23" i="75"/>
  <c r="P23" i="75"/>
  <c r="N23" i="75"/>
  <c r="AC22" i="75"/>
  <c r="AB22" i="75"/>
  <c r="AA22" i="75"/>
  <c r="Z22" i="75"/>
  <c r="Y22" i="75"/>
  <c r="X22" i="75"/>
  <c r="W22" i="75"/>
  <c r="V22" i="75"/>
  <c r="U22" i="75"/>
  <c r="T22" i="75"/>
  <c r="S22" i="75"/>
  <c r="R22" i="75"/>
  <c r="Q22" i="75"/>
  <c r="P22" i="75"/>
  <c r="O22" i="75"/>
  <c r="N22" i="75"/>
  <c r="K22" i="75"/>
  <c r="J22" i="75"/>
  <c r="T21" i="75"/>
  <c r="S21" i="75"/>
  <c r="R21" i="75"/>
  <c r="Q21" i="75"/>
  <c r="P21" i="75"/>
  <c r="N21" i="75"/>
  <c r="M21" i="75"/>
  <c r="L21" i="75"/>
  <c r="L38" i="75" s="1"/>
  <c r="J21" i="75"/>
  <c r="J38" i="75" s="1"/>
  <c r="I21" i="75"/>
  <c r="I38" i="75" s="1"/>
  <c r="H21" i="75"/>
  <c r="H38" i="75" s="1"/>
  <c r="G21" i="75"/>
  <c r="G38" i="75" s="1"/>
  <c r="F21" i="75"/>
  <c r="F38" i="75" s="1"/>
  <c r="E21" i="75"/>
  <c r="D21" i="75"/>
  <c r="D38" i="75" s="1"/>
  <c r="AC18" i="75"/>
  <c r="AB18" i="75"/>
  <c r="AA18" i="75"/>
  <c r="Z18" i="75"/>
  <c r="Y18" i="75"/>
  <c r="X18" i="75"/>
  <c r="W18" i="75"/>
  <c r="V18" i="75"/>
  <c r="U18" i="75"/>
  <c r="T18" i="75"/>
  <c r="S18" i="75"/>
  <c r="P18" i="75"/>
  <c r="N18" i="75"/>
  <c r="M18" i="75"/>
  <c r="L18" i="75"/>
  <c r="K18" i="75"/>
  <c r="J18" i="75"/>
  <c r="I18" i="75"/>
  <c r="H18" i="75"/>
  <c r="V15" i="75"/>
  <c r="T13" i="75"/>
  <c r="S13" i="75"/>
  <c r="R13" i="75"/>
  <c r="Q13" i="75"/>
  <c r="P13" i="75"/>
  <c r="O13" i="75"/>
  <c r="N13" i="75"/>
  <c r="M13" i="75"/>
  <c r="V12" i="75"/>
  <c r="U12" i="75"/>
  <c r="T12" i="75"/>
  <c r="S12" i="75"/>
  <c r="R12" i="75"/>
  <c r="Q12" i="75"/>
  <c r="P12" i="75"/>
  <c r="O12" i="75"/>
  <c r="N12" i="75"/>
  <c r="M12" i="75"/>
  <c r="L12" i="75"/>
  <c r="K12" i="75"/>
  <c r="J12" i="75"/>
  <c r="I12" i="75"/>
  <c r="H12" i="75"/>
  <c r="G12" i="75"/>
  <c r="F12" i="75"/>
  <c r="E12" i="75"/>
  <c r="D12" i="75"/>
  <c r="AH79" i="70"/>
  <c r="AF79" i="70"/>
  <c r="AE79" i="70"/>
  <c r="AD79" i="70"/>
  <c r="AC79" i="70"/>
  <c r="T79" i="70"/>
  <c r="AM78" i="70"/>
  <c r="AL78" i="70"/>
  <c r="AK78" i="70"/>
  <c r="AA78" i="70"/>
  <c r="Y78" i="70"/>
  <c r="X78" i="70"/>
  <c r="W78" i="70"/>
  <c r="AH77" i="70"/>
  <c r="AF77" i="70"/>
  <c r="AE77" i="70"/>
  <c r="T77" i="70"/>
  <c r="AN74" i="70"/>
  <c r="AN79" i="70" s="1"/>
  <c r="AM74" i="70"/>
  <c r="AM79" i="70" s="1"/>
  <c r="AL74" i="70"/>
  <c r="AK74" i="70"/>
  <c r="AJ74" i="70"/>
  <c r="AI74" i="70"/>
  <c r="AI79" i="70" s="1"/>
  <c r="AH74" i="70"/>
  <c r="AG74" i="70"/>
  <c r="AG79" i="70" s="1"/>
  <c r="AF74" i="70"/>
  <c r="AE74" i="70"/>
  <c r="AD74" i="70"/>
  <c r="AC74" i="70"/>
  <c r="AB74" i="70"/>
  <c r="AA74" i="70"/>
  <c r="AA79" i="70" s="1"/>
  <c r="Z74" i="70"/>
  <c r="Z79" i="70" s="1"/>
  <c r="Y74" i="70"/>
  <c r="Y79" i="70" s="1"/>
  <c r="X74" i="70"/>
  <c r="W74" i="70"/>
  <c r="V74" i="70"/>
  <c r="V79" i="70" s="1"/>
  <c r="U74" i="70"/>
  <c r="U79" i="70" s="1"/>
  <c r="T74" i="70"/>
  <c r="S74" i="70"/>
  <c r="AN73" i="70"/>
  <c r="AN78" i="70" s="1"/>
  <c r="AM73" i="70"/>
  <c r="AL73" i="70"/>
  <c r="AK73" i="70"/>
  <c r="AJ73" i="70"/>
  <c r="AI73" i="70"/>
  <c r="AH73" i="70"/>
  <c r="AH78" i="70" s="1"/>
  <c r="AG73" i="70"/>
  <c r="AG78" i="70" s="1"/>
  <c r="AF73" i="70"/>
  <c r="AE73" i="70"/>
  <c r="AD73" i="70"/>
  <c r="AC73" i="70"/>
  <c r="AC78" i="70" s="1"/>
  <c r="AB73" i="70"/>
  <c r="AB78" i="70" s="1"/>
  <c r="AA73" i="70"/>
  <c r="Z73" i="70"/>
  <c r="Z78" i="70" s="1"/>
  <c r="Y73" i="70"/>
  <c r="X73" i="70"/>
  <c r="W73" i="70"/>
  <c r="V73" i="70"/>
  <c r="U73" i="70"/>
  <c r="T73" i="70"/>
  <c r="T78" i="70" s="1"/>
  <c r="S73" i="70"/>
  <c r="S56" i="70" s="1"/>
  <c r="T56" i="70" s="1"/>
  <c r="U56" i="70" s="1"/>
  <c r="V56" i="70" s="1"/>
  <c r="W56" i="70" s="1"/>
  <c r="X56" i="70" s="1"/>
  <c r="Y56" i="70" s="1"/>
  <c r="Z56" i="70" s="1"/>
  <c r="AA56" i="70" s="1"/>
  <c r="AB56" i="70" s="1"/>
  <c r="AC56" i="70" s="1"/>
  <c r="AD56" i="70" s="1"/>
  <c r="AN72" i="70"/>
  <c r="AM72" i="70"/>
  <c r="AL72" i="70"/>
  <c r="AL77" i="70" s="1"/>
  <c r="AK72" i="70"/>
  <c r="AK77" i="70" s="1"/>
  <c r="AJ72" i="70"/>
  <c r="AJ77" i="70" s="1"/>
  <c r="AI72" i="70"/>
  <c r="AI77" i="70" s="1"/>
  <c r="AH72" i="70"/>
  <c r="AG72" i="70"/>
  <c r="AG77" i="70" s="1"/>
  <c r="AF72" i="70"/>
  <c r="AE72" i="70"/>
  <c r="AD72" i="70"/>
  <c r="AC72" i="70"/>
  <c r="AB72" i="70"/>
  <c r="AB77" i="70" s="1"/>
  <c r="AA72" i="70"/>
  <c r="AA77" i="70" s="1"/>
  <c r="Z72" i="70"/>
  <c r="Y72" i="70"/>
  <c r="X72" i="70"/>
  <c r="X77" i="70" s="1"/>
  <c r="W72" i="70"/>
  <c r="W77" i="70" s="1"/>
  <c r="V72" i="70"/>
  <c r="V77" i="70" s="1"/>
  <c r="U72" i="70"/>
  <c r="U77" i="70" s="1"/>
  <c r="T72" i="70"/>
  <c r="S72" i="70"/>
  <c r="S55" i="70" s="1"/>
  <c r="T57" i="70"/>
  <c r="U57" i="70" s="1"/>
  <c r="V57" i="70" s="1"/>
  <c r="S57" i="70"/>
  <c r="T55" i="70"/>
  <c r="U55" i="70" s="1"/>
  <c r="V55" i="70" s="1"/>
  <c r="W55" i="70" s="1"/>
  <c r="X55" i="70" s="1"/>
  <c r="Y55" i="70" s="1"/>
  <c r="Z55" i="70" s="1"/>
  <c r="AA55" i="70" s="1"/>
  <c r="AB55" i="70" s="1"/>
  <c r="AC55" i="70" s="1"/>
  <c r="AD55" i="70" s="1"/>
  <c r="AG52" i="70"/>
  <c r="AD52" i="70"/>
  <c r="AC52" i="70"/>
  <c r="AB52" i="70"/>
  <c r="AB20" i="70" s="1"/>
  <c r="AA52" i="70"/>
  <c r="Z52" i="70"/>
  <c r="Y52" i="70"/>
  <c r="X52" i="70"/>
  <c r="W52" i="70"/>
  <c r="V52" i="70"/>
  <c r="U52" i="70"/>
  <c r="T52" i="70"/>
  <c r="S52" i="70"/>
  <c r="R52" i="70"/>
  <c r="Q52" i="70"/>
  <c r="P52" i="70"/>
  <c r="P20" i="70" s="1"/>
  <c r="P27" i="70" s="1"/>
  <c r="O52" i="70"/>
  <c r="N52" i="70"/>
  <c r="N20" i="70" s="1"/>
  <c r="M52" i="70"/>
  <c r="L52" i="70"/>
  <c r="K52" i="70"/>
  <c r="J52" i="70"/>
  <c r="I52" i="70"/>
  <c r="H52" i="70"/>
  <c r="G52" i="70"/>
  <c r="F52" i="70"/>
  <c r="E52" i="70"/>
  <c r="D52" i="70"/>
  <c r="AN51" i="70"/>
  <c r="AN52" i="70" s="1"/>
  <c r="AD51" i="70"/>
  <c r="AC51" i="70"/>
  <c r="AB51" i="70"/>
  <c r="AA51" i="70"/>
  <c r="Z51" i="70"/>
  <c r="Y51" i="70"/>
  <c r="X51" i="70"/>
  <c r="W51" i="70"/>
  <c r="W18" i="70" s="1"/>
  <c r="W26" i="70" s="1"/>
  <c r="V51" i="70"/>
  <c r="U51" i="70"/>
  <c r="T51" i="70"/>
  <c r="S51" i="70"/>
  <c r="R51" i="70"/>
  <c r="Q51" i="70"/>
  <c r="P51" i="70"/>
  <c r="O51" i="70"/>
  <c r="N51" i="70"/>
  <c r="M51" i="70"/>
  <c r="L51" i="70"/>
  <c r="K51" i="70"/>
  <c r="J51" i="70"/>
  <c r="I51" i="70"/>
  <c r="I18" i="70" s="1"/>
  <c r="I26" i="70" s="1"/>
  <c r="H51" i="70"/>
  <c r="G51" i="70"/>
  <c r="F51" i="70"/>
  <c r="E51" i="70"/>
  <c r="D51" i="70"/>
  <c r="AN49" i="70"/>
  <c r="AI49" i="70"/>
  <c r="AI51" i="70" s="1"/>
  <c r="AI52" i="70" s="1"/>
  <c r="AH49" i="70"/>
  <c r="AH51" i="70" s="1"/>
  <c r="AH52" i="70" s="1"/>
  <c r="AH20" i="70" s="1"/>
  <c r="AH27" i="70" s="1"/>
  <c r="AG49" i="70"/>
  <c r="AG51" i="70" s="1"/>
  <c r="AF49" i="70"/>
  <c r="AF51" i="70" s="1"/>
  <c r="AF52" i="70" s="1"/>
  <c r="AE49" i="70"/>
  <c r="AE51" i="70" s="1"/>
  <c r="AE52" i="70" s="1"/>
  <c r="AD49" i="70"/>
  <c r="AC49" i="70"/>
  <c r="AB49" i="70"/>
  <c r="AA49" i="70"/>
  <c r="Z49" i="70"/>
  <c r="Y49" i="70"/>
  <c r="X49" i="70"/>
  <c r="W49" i="70"/>
  <c r="W16" i="70" s="1"/>
  <c r="W25" i="70" s="1"/>
  <c r="V49" i="70"/>
  <c r="U49" i="70"/>
  <c r="T49" i="70"/>
  <c r="S49" i="70"/>
  <c r="R49" i="70"/>
  <c r="Q49" i="70"/>
  <c r="P49" i="70"/>
  <c r="O49" i="70"/>
  <c r="O16" i="70" s="1"/>
  <c r="O25" i="70" s="1"/>
  <c r="N49" i="70"/>
  <c r="M49" i="70"/>
  <c r="L49" i="70"/>
  <c r="K49" i="70"/>
  <c r="J49" i="70"/>
  <c r="I49" i="70"/>
  <c r="H49" i="70"/>
  <c r="G49" i="70"/>
  <c r="F49" i="70"/>
  <c r="E49" i="70"/>
  <c r="D49" i="70"/>
  <c r="AN48" i="70"/>
  <c r="AM48" i="70"/>
  <c r="AL48" i="70"/>
  <c r="AL14" i="70" s="1"/>
  <c r="AL24" i="70" s="1"/>
  <c r="AK48" i="70"/>
  <c r="AH48" i="70"/>
  <c r="AD48" i="70"/>
  <c r="AD14" i="70" s="1"/>
  <c r="AD24" i="70" s="1"/>
  <c r="AC48" i="70"/>
  <c r="AB48" i="70"/>
  <c r="AA48" i="70"/>
  <c r="Z48" i="70"/>
  <c r="Y48" i="70"/>
  <c r="X48" i="70"/>
  <c r="W48" i="70"/>
  <c r="V48" i="70"/>
  <c r="U48" i="70"/>
  <c r="T48" i="70"/>
  <c r="S48" i="70"/>
  <c r="R48" i="70"/>
  <c r="Q48" i="70"/>
  <c r="Q14" i="70" s="1"/>
  <c r="P48" i="70"/>
  <c r="P14" i="70" s="1"/>
  <c r="P24" i="70" s="1"/>
  <c r="O48" i="70"/>
  <c r="O14" i="70" s="1"/>
  <c r="N48" i="70"/>
  <c r="M48" i="70"/>
  <c r="L48" i="70"/>
  <c r="K48" i="70"/>
  <c r="J48" i="70"/>
  <c r="I48" i="70"/>
  <c r="H48" i="70"/>
  <c r="G48" i="70"/>
  <c r="G14" i="70" s="1"/>
  <c r="G24" i="70" s="1"/>
  <c r="F48" i="70"/>
  <c r="E48" i="70"/>
  <c r="D48" i="70"/>
  <c r="AN46" i="70"/>
  <c r="AN45" i="70" s="1"/>
  <c r="AN12" i="70" s="1"/>
  <c r="AN23" i="70" s="1"/>
  <c r="AM46" i="70"/>
  <c r="AM45" i="70" s="1"/>
  <c r="AM12" i="70" s="1"/>
  <c r="AM23" i="70" s="1"/>
  <c r="AL46" i="70"/>
  <c r="AL45" i="70" s="1"/>
  <c r="AK46" i="70"/>
  <c r="AK45" i="70" s="1"/>
  <c r="AJ46" i="70"/>
  <c r="AJ45" i="70" s="1"/>
  <c r="AJ12" i="70" s="1"/>
  <c r="AI46" i="70"/>
  <c r="AH46" i="70"/>
  <c r="AG46" i="70"/>
  <c r="AF46" i="70"/>
  <c r="AE46" i="70"/>
  <c r="AD46" i="70"/>
  <c r="AB46" i="70"/>
  <c r="AA46" i="70"/>
  <c r="X46" i="70"/>
  <c r="W46" i="70"/>
  <c r="V46" i="70"/>
  <c r="U46" i="70"/>
  <c r="T46" i="70"/>
  <c r="S46" i="70"/>
  <c r="R46" i="70"/>
  <c r="Q46" i="70"/>
  <c r="P46" i="70"/>
  <c r="O46" i="70"/>
  <c r="N46" i="70"/>
  <c r="M46" i="70"/>
  <c r="L46" i="70"/>
  <c r="K46" i="70"/>
  <c r="J46" i="70"/>
  <c r="I46" i="70"/>
  <c r="H46" i="70"/>
  <c r="G46" i="70"/>
  <c r="F46" i="70"/>
  <c r="E46" i="70"/>
  <c r="D46" i="70"/>
  <c r="AI45" i="70"/>
  <c r="AI12" i="70" s="1"/>
  <c r="AH45" i="70"/>
  <c r="AG45" i="70"/>
  <c r="AG12" i="70" s="1"/>
  <c r="AG23" i="70" s="1"/>
  <c r="AF45" i="70"/>
  <c r="AF12" i="70" s="1"/>
  <c r="AF23" i="70" s="1"/>
  <c r="D2" i="71" s="1"/>
  <c r="AE23" i="70"/>
  <c r="AD45" i="70"/>
  <c r="AD23" i="70" s="1"/>
  <c r="AC45" i="70"/>
  <c r="AB45" i="70"/>
  <c r="AB12" i="70" s="1"/>
  <c r="AB23" i="70" s="1"/>
  <c r="AA45" i="70"/>
  <c r="Z45" i="70"/>
  <c r="Y45" i="70"/>
  <c r="X45" i="70"/>
  <c r="W45" i="70"/>
  <c r="V45" i="70"/>
  <c r="U45" i="70"/>
  <c r="U12" i="70" s="1"/>
  <c r="T45" i="70"/>
  <c r="S45" i="70"/>
  <c r="S12" i="70" s="1"/>
  <c r="S23" i="70" s="1"/>
  <c r="R45" i="70"/>
  <c r="R12" i="70" s="1"/>
  <c r="R23" i="70" s="1"/>
  <c r="Q45" i="70"/>
  <c r="Q12" i="70" s="1"/>
  <c r="Q23" i="70" s="1"/>
  <c r="P45" i="70"/>
  <c r="P12" i="70" s="1"/>
  <c r="P23" i="70" s="1"/>
  <c r="O45" i="70"/>
  <c r="N45" i="70"/>
  <c r="N12" i="70" s="1"/>
  <c r="N23" i="70" s="1"/>
  <c r="M45" i="70"/>
  <c r="L45" i="70"/>
  <c r="K45" i="70"/>
  <c r="J45" i="70"/>
  <c r="I45" i="70"/>
  <c r="H45" i="70"/>
  <c r="G45" i="70"/>
  <c r="G12" i="70" s="1"/>
  <c r="F45" i="70"/>
  <c r="E45" i="70"/>
  <c r="E12" i="70" s="1"/>
  <c r="E23" i="70" s="1"/>
  <c r="D45" i="70"/>
  <c r="D12" i="70" s="1"/>
  <c r="D23" i="70" s="1"/>
  <c r="AN27" i="70"/>
  <c r="AF27" i="70"/>
  <c r="AB27" i="70"/>
  <c r="AA27" i="70"/>
  <c r="Z27" i="70"/>
  <c r="Y27" i="70"/>
  <c r="T27" i="70"/>
  <c r="R27" i="70"/>
  <c r="N27" i="70"/>
  <c r="M27" i="70"/>
  <c r="L27" i="70"/>
  <c r="K27" i="70"/>
  <c r="F27" i="70"/>
  <c r="D27" i="70"/>
  <c r="AI26" i="70"/>
  <c r="AH26" i="70"/>
  <c r="AC26" i="70"/>
  <c r="AA26" i="70"/>
  <c r="V26" i="70"/>
  <c r="U26" i="70"/>
  <c r="T26" i="70"/>
  <c r="O26" i="70"/>
  <c r="M26" i="70"/>
  <c r="H26" i="70"/>
  <c r="G26" i="70"/>
  <c r="F26" i="70"/>
  <c r="AH25" i="70"/>
  <c r="AF25" i="70"/>
  <c r="AE25" i="70"/>
  <c r="AD25" i="70"/>
  <c r="AC25" i="70"/>
  <c r="X25" i="70"/>
  <c r="V25" i="70"/>
  <c r="T25" i="70"/>
  <c r="R25" i="70"/>
  <c r="Q25" i="70"/>
  <c r="P25" i="70"/>
  <c r="J25" i="70"/>
  <c r="H25" i="70"/>
  <c r="D25" i="70"/>
  <c r="AN24" i="70"/>
  <c r="AM24" i="70"/>
  <c r="AA24" i="70"/>
  <c r="Z24" i="70"/>
  <c r="Y24" i="70"/>
  <c r="X24" i="70"/>
  <c r="S24" i="70"/>
  <c r="Q24" i="70"/>
  <c r="O24" i="70"/>
  <c r="M24" i="70"/>
  <c r="L24" i="70"/>
  <c r="K24" i="70"/>
  <c r="J24" i="70"/>
  <c r="E24" i="70"/>
  <c r="AJ23" i="70"/>
  <c r="AI23" i="70"/>
  <c r="AH23" i="70"/>
  <c r="Z23" i="70"/>
  <c r="X23" i="70"/>
  <c r="V23" i="70"/>
  <c r="U23" i="70"/>
  <c r="T23" i="70"/>
  <c r="L23" i="70"/>
  <c r="H23" i="70"/>
  <c r="G23" i="70"/>
  <c r="F23" i="70"/>
  <c r="AN20" i="70"/>
  <c r="AI20" i="70"/>
  <c r="AI27" i="70" s="1"/>
  <c r="AG20" i="70"/>
  <c r="AG27" i="70" s="1"/>
  <c r="AF20" i="70"/>
  <c r="AE20" i="70"/>
  <c r="AE27" i="70" s="1"/>
  <c r="AD20" i="70"/>
  <c r="AD27" i="70" s="1"/>
  <c r="AC20" i="70"/>
  <c r="AC27" i="70" s="1"/>
  <c r="AA20" i="70"/>
  <c r="Z20" i="70"/>
  <c r="Y20" i="70"/>
  <c r="X20" i="70"/>
  <c r="X27" i="70" s="1"/>
  <c r="W20" i="70"/>
  <c r="W27" i="70" s="1"/>
  <c r="V20" i="70"/>
  <c r="V27" i="70" s="1"/>
  <c r="U20" i="70"/>
  <c r="U27" i="70" s="1"/>
  <c r="T20" i="70"/>
  <c r="S20" i="70"/>
  <c r="S27" i="70" s="1"/>
  <c r="R20" i="70"/>
  <c r="Q20" i="70"/>
  <c r="Q27" i="70" s="1"/>
  <c r="O20" i="70"/>
  <c r="O27" i="70" s="1"/>
  <c r="M20" i="70"/>
  <c r="L20" i="70"/>
  <c r="K20" i="70"/>
  <c r="J20" i="70"/>
  <c r="J27" i="70" s="1"/>
  <c r="I20" i="70"/>
  <c r="I27" i="70" s="1"/>
  <c r="H20" i="70"/>
  <c r="H27" i="70" s="1"/>
  <c r="G20" i="70"/>
  <c r="G27" i="70" s="1"/>
  <c r="F20" i="70"/>
  <c r="E20" i="70"/>
  <c r="E27" i="70" s="1"/>
  <c r="D20" i="70"/>
  <c r="AN18" i="70"/>
  <c r="AN26" i="70" s="1"/>
  <c r="AI18" i="70"/>
  <c r="AH18" i="70"/>
  <c r="AG18" i="70"/>
  <c r="AG26" i="70" s="1"/>
  <c r="AF18" i="70"/>
  <c r="AF26" i="70" s="1"/>
  <c r="AE18" i="70"/>
  <c r="AE26" i="70" s="1"/>
  <c r="AD18" i="70"/>
  <c r="AD26" i="70" s="1"/>
  <c r="AC18" i="70"/>
  <c r="AB18" i="70"/>
  <c r="AB26" i="70" s="1"/>
  <c r="AA18" i="70"/>
  <c r="Z18" i="70"/>
  <c r="Z26" i="70" s="1"/>
  <c r="Y18" i="70"/>
  <c r="Y26" i="70" s="1"/>
  <c r="X18" i="70"/>
  <c r="X26" i="70" s="1"/>
  <c r="V18" i="70"/>
  <c r="U18" i="70"/>
  <c r="T18" i="70"/>
  <c r="S18" i="70"/>
  <c r="S26" i="70" s="1"/>
  <c r="R18" i="70"/>
  <c r="R26" i="70" s="1"/>
  <c r="Q18" i="70"/>
  <c r="Q26" i="70" s="1"/>
  <c r="P18" i="70"/>
  <c r="P26" i="70" s="1"/>
  <c r="O18" i="70"/>
  <c r="N18" i="70"/>
  <c r="N26" i="70" s="1"/>
  <c r="M18" i="70"/>
  <c r="L18" i="70"/>
  <c r="L26" i="70" s="1"/>
  <c r="K18" i="70"/>
  <c r="K26" i="70" s="1"/>
  <c r="J18" i="70"/>
  <c r="J26" i="70" s="1"/>
  <c r="H18" i="70"/>
  <c r="G18" i="70"/>
  <c r="F18" i="70"/>
  <c r="E18" i="70"/>
  <c r="E26" i="70" s="1"/>
  <c r="D18" i="70"/>
  <c r="D26" i="70" s="1"/>
  <c r="AN16" i="70"/>
  <c r="AN25" i="70" s="1"/>
  <c r="AI16" i="70"/>
  <c r="AI25" i="70" s="1"/>
  <c r="AH16" i="70"/>
  <c r="AG16" i="70"/>
  <c r="AG25" i="70" s="1"/>
  <c r="AF16" i="70"/>
  <c r="AE16" i="70"/>
  <c r="AD16" i="70"/>
  <c r="AC16" i="70"/>
  <c r="AB16" i="70"/>
  <c r="AB25" i="70" s="1"/>
  <c r="AA16" i="70"/>
  <c r="AA25" i="70" s="1"/>
  <c r="Z16" i="70"/>
  <c r="Z25" i="70" s="1"/>
  <c r="Y16" i="70"/>
  <c r="Y25" i="70" s="1"/>
  <c r="X16" i="70"/>
  <c r="V16" i="70"/>
  <c r="U16" i="70"/>
  <c r="U25" i="70" s="1"/>
  <c r="T16" i="70"/>
  <c r="S16" i="70"/>
  <c r="S25" i="70" s="1"/>
  <c r="R16" i="70"/>
  <c r="Q16" i="70"/>
  <c r="P16" i="70"/>
  <c r="N16" i="70"/>
  <c r="N25" i="70" s="1"/>
  <c r="M16" i="70"/>
  <c r="M25" i="70" s="1"/>
  <c r="L16" i="70"/>
  <c r="L25" i="70" s="1"/>
  <c r="K16" i="70"/>
  <c r="K25" i="70" s="1"/>
  <c r="J16" i="70"/>
  <c r="I16" i="70"/>
  <c r="I25" i="70" s="1"/>
  <c r="H16" i="70"/>
  <c r="G16" i="70"/>
  <c r="G25" i="70" s="1"/>
  <c r="F16" i="70"/>
  <c r="F25" i="70" s="1"/>
  <c r="E16" i="70"/>
  <c r="E25" i="70" s="1"/>
  <c r="D16" i="70"/>
  <c r="AN14" i="70"/>
  <c r="AM14" i="70"/>
  <c r="AK14" i="70"/>
  <c r="AK24" i="70" s="1"/>
  <c r="AH14" i="70"/>
  <c r="AH24" i="70" s="1"/>
  <c r="AC14" i="70"/>
  <c r="AC24" i="70" s="1"/>
  <c r="AB14" i="70"/>
  <c r="AB24" i="70" s="1"/>
  <c r="AA14" i="70"/>
  <c r="Z14" i="70"/>
  <c r="Y14" i="70"/>
  <c r="X14" i="70"/>
  <c r="W14" i="70"/>
  <c r="W24" i="70" s="1"/>
  <c r="V14" i="70"/>
  <c r="V24" i="70" s="1"/>
  <c r="U14" i="70"/>
  <c r="U24" i="70" s="1"/>
  <c r="T14" i="70"/>
  <c r="T24" i="70" s="1"/>
  <c r="S14" i="70"/>
  <c r="R14" i="70"/>
  <c r="R24" i="70" s="1"/>
  <c r="N14" i="70"/>
  <c r="N24" i="70" s="1"/>
  <c r="M14" i="70"/>
  <c r="L14" i="70"/>
  <c r="K14" i="70"/>
  <c r="J14" i="70"/>
  <c r="I14" i="70"/>
  <c r="I24" i="70" s="1"/>
  <c r="H14" i="70"/>
  <c r="H24" i="70" s="1"/>
  <c r="F14" i="70"/>
  <c r="F24" i="70" s="1"/>
  <c r="E14" i="70"/>
  <c r="D14" i="70"/>
  <c r="D24" i="70" s="1"/>
  <c r="AL12" i="70"/>
  <c r="AL23" i="70" s="1"/>
  <c r="AK12" i="70"/>
  <c r="AK23" i="70" s="1"/>
  <c r="AH12" i="70"/>
  <c r="AC12" i="70"/>
  <c r="AC23" i="70" s="1"/>
  <c r="AA12" i="70"/>
  <c r="AA23" i="70" s="1"/>
  <c r="Z12" i="70"/>
  <c r="Y12" i="70"/>
  <c r="Y23" i="70" s="1"/>
  <c r="X12" i="70"/>
  <c r="W12" i="70"/>
  <c r="W23" i="70" s="1"/>
  <c r="V12" i="70"/>
  <c r="T12" i="70"/>
  <c r="O12" i="70"/>
  <c r="O23" i="70" s="1"/>
  <c r="M12" i="70"/>
  <c r="M23" i="70" s="1"/>
  <c r="L12" i="70"/>
  <c r="K12" i="70"/>
  <c r="K23" i="70" s="1"/>
  <c r="J12" i="70"/>
  <c r="J23" i="70" s="1"/>
  <c r="I12" i="70"/>
  <c r="I23" i="70" s="1"/>
  <c r="H12" i="70"/>
  <c r="F12" i="70"/>
  <c r="F81" i="78"/>
  <c r="F66" i="78"/>
  <c r="F63" i="78"/>
  <c r="F60" i="78"/>
  <c r="F57" i="78"/>
  <c r="F54" i="78"/>
  <c r="J52" i="78"/>
  <c r="K51" i="78"/>
  <c r="L51" i="78" s="1"/>
  <c r="F51" i="78"/>
  <c r="K50" i="78"/>
  <c r="L50" i="78" s="1"/>
  <c r="K49" i="78"/>
  <c r="L49" i="78" s="1"/>
  <c r="L48" i="78"/>
  <c r="K48" i="78"/>
  <c r="M48" i="78" s="1"/>
  <c r="N48" i="78" s="1"/>
  <c r="F48" i="78"/>
  <c r="N47" i="78"/>
  <c r="M47" i="78"/>
  <c r="K47" i="78"/>
  <c r="L47" i="78" s="1"/>
  <c r="B47" i="78"/>
  <c r="B48" i="78" s="1"/>
  <c r="B49" i="78" s="1"/>
  <c r="B50" i="78" s="1"/>
  <c r="B51" i="78" s="1"/>
  <c r="B52" i="78" s="1"/>
  <c r="B53" i="78" s="1"/>
  <c r="B54" i="78" s="1"/>
  <c r="B55" i="78" s="1"/>
  <c r="B56" i="78" s="1"/>
  <c r="B57" i="78" s="1"/>
  <c r="M46" i="78"/>
  <c r="N46" i="78" s="1"/>
  <c r="K46" i="78"/>
  <c r="L46" i="78" s="1"/>
  <c r="K45" i="78"/>
  <c r="F45" i="78"/>
  <c r="M44" i="78"/>
  <c r="N44" i="78" s="1"/>
  <c r="L44" i="78"/>
  <c r="K44" i="78"/>
  <c r="K43" i="78"/>
  <c r="M42" i="78"/>
  <c r="N42" i="78" s="1"/>
  <c r="K42" i="78"/>
  <c r="L42" i="78" s="1"/>
  <c r="F42" i="78"/>
  <c r="N41" i="78"/>
  <c r="K41" i="78"/>
  <c r="M41" i="78" s="1"/>
  <c r="M40" i="78"/>
  <c r="N40" i="78" s="1"/>
  <c r="L40" i="78"/>
  <c r="K40" i="78"/>
  <c r="N39" i="78"/>
  <c r="M39" i="78"/>
  <c r="K39" i="78"/>
  <c r="L39" i="78" s="1"/>
  <c r="F39" i="78"/>
  <c r="M38" i="78"/>
  <c r="N38" i="78" s="1"/>
  <c r="L38" i="78"/>
  <c r="K38" i="78"/>
  <c r="L37" i="78"/>
  <c r="K37" i="78"/>
  <c r="M37" i="78" s="1"/>
  <c r="N37" i="78" s="1"/>
  <c r="B37" i="78"/>
  <c r="B38" i="78" s="1"/>
  <c r="B39" i="78" s="1"/>
  <c r="B40" i="78" s="1"/>
  <c r="B41" i="78" s="1"/>
  <c r="B42" i="78" s="1"/>
  <c r="B43" i="78" s="1"/>
  <c r="B44" i="78" s="1"/>
  <c r="B45" i="78" s="1"/>
  <c r="B46" i="78" s="1"/>
  <c r="M36" i="78"/>
  <c r="N36" i="78" s="1"/>
  <c r="L36" i="78"/>
  <c r="K36" i="78"/>
  <c r="F36" i="78"/>
  <c r="L35" i="78"/>
  <c r="K35" i="78"/>
  <c r="N34" i="78"/>
  <c r="M34" i="78"/>
  <c r="M33" i="78"/>
  <c r="N33" i="78" s="1"/>
  <c r="F33" i="78"/>
  <c r="N32" i="78"/>
  <c r="N31" i="78"/>
  <c r="N30" i="78"/>
  <c r="M30" i="78"/>
  <c r="F30" i="78"/>
  <c r="B30" i="78"/>
  <c r="B31" i="78" s="1"/>
  <c r="B32" i="78" s="1"/>
  <c r="B33" i="78" s="1"/>
  <c r="B34" i="78" s="1"/>
  <c r="B35" i="78" s="1"/>
  <c r="B36" i="78" s="1"/>
  <c r="M29" i="78"/>
  <c r="N29" i="78" s="1"/>
  <c r="M28" i="78"/>
  <c r="N28" i="78" s="1"/>
  <c r="B28" i="78"/>
  <c r="B29" i="78" s="1"/>
  <c r="M27" i="78"/>
  <c r="N27" i="78" s="1"/>
  <c r="F27" i="78"/>
  <c r="B27" i="78"/>
  <c r="AI18" i="78"/>
  <c r="AJ18" i="78" s="1"/>
  <c r="AK18" i="78" s="1"/>
  <c r="AL18" i="78" s="1"/>
  <c r="AM18" i="78" s="1"/>
  <c r="AN18" i="78" s="1"/>
  <c r="AH18" i="78"/>
  <c r="AM14" i="78"/>
  <c r="AI14" i="78"/>
  <c r="AF14" i="78"/>
  <c r="AD14" i="78"/>
  <c r="AC14" i="78"/>
  <c r="AB14" i="78"/>
  <c r="Y14" i="78"/>
  <c r="U14" i="78"/>
  <c r="S14" i="78"/>
  <c r="AN13" i="78"/>
  <c r="AN14" i="78" s="1"/>
  <c r="AM13" i="78"/>
  <c r="AL13" i="78"/>
  <c r="AL14" i="78" s="1"/>
  <c r="AK13" i="78"/>
  <c r="AK14" i="78" s="1"/>
  <c r="AJ13" i="78"/>
  <c r="AJ14" i="78" s="1"/>
  <c r="AI13" i="78"/>
  <c r="AH13" i="78"/>
  <c r="AH14" i="78" s="1"/>
  <c r="AG13" i="78"/>
  <c r="AG14" i="78" s="1"/>
  <c r="AF13" i="78"/>
  <c r="AE13" i="78"/>
  <c r="AE14" i="78" s="1"/>
  <c r="AD13" i="78"/>
  <c r="AC13" i="78"/>
  <c r="AB13" i="78"/>
  <c r="AA13" i="78"/>
  <c r="AA14" i="78" s="1"/>
  <c r="Z13" i="78"/>
  <c r="Z14" i="78" s="1"/>
  <c r="Y13" i="78"/>
  <c r="X13" i="78"/>
  <c r="X14" i="78" s="1"/>
  <c r="W13" i="78"/>
  <c r="W14" i="78" s="1"/>
  <c r="V13" i="78"/>
  <c r="V14" i="78" s="1"/>
  <c r="U13" i="78"/>
  <c r="T13" i="78"/>
  <c r="T14" i="78" s="1"/>
  <c r="S13" i="78"/>
  <c r="N99" i="59"/>
  <c r="M99" i="59"/>
  <c r="L99" i="59"/>
  <c r="K99" i="59"/>
  <c r="J99" i="59"/>
  <c r="I99" i="59"/>
  <c r="H99" i="59"/>
  <c r="G99" i="59"/>
  <c r="F99" i="59"/>
  <c r="E99" i="59"/>
  <c r="D99" i="59"/>
  <c r="C99" i="59"/>
  <c r="K95" i="59"/>
  <c r="N96" i="59" s="1"/>
  <c r="J95" i="59"/>
  <c r="I95" i="59"/>
  <c r="H95" i="59"/>
  <c r="G95" i="59"/>
  <c r="F95" i="59"/>
  <c r="E95" i="59"/>
  <c r="D95" i="59"/>
  <c r="C95" i="59"/>
  <c r="D92" i="59"/>
  <c r="E92" i="59" s="1"/>
  <c r="F92" i="59" s="1"/>
  <c r="G92" i="59" s="1"/>
  <c r="H92" i="59" s="1"/>
  <c r="I92" i="59" s="1"/>
  <c r="J92" i="59" s="1"/>
  <c r="K92" i="59" s="1"/>
  <c r="L92" i="59" s="1"/>
  <c r="M92" i="59" s="1"/>
  <c r="N92" i="59" s="1"/>
  <c r="O92" i="59" s="1"/>
  <c r="P92" i="59" s="1"/>
  <c r="Q92" i="59" s="1"/>
  <c r="R92" i="59" s="1"/>
  <c r="AD74" i="59"/>
  <c r="AC72" i="59"/>
  <c r="AD71" i="59" s="1"/>
  <c r="AB72" i="59"/>
  <c r="AA72" i="59"/>
  <c r="AB71" i="59" s="1"/>
  <c r="AB73" i="59" s="1"/>
  <c r="Z72" i="59"/>
  <c r="AA71" i="59" s="1"/>
  <c r="AA73" i="59" s="1"/>
  <c r="Y72" i="59"/>
  <c r="Z71" i="59" s="1"/>
  <c r="Z73" i="59" s="1"/>
  <c r="X72" i="59"/>
  <c r="Y71" i="59" s="1"/>
  <c r="Y73" i="59" s="1"/>
  <c r="W72" i="59"/>
  <c r="X71" i="59" s="1"/>
  <c r="X73" i="59" s="1"/>
  <c r="V72" i="59"/>
  <c r="W71" i="59" s="1"/>
  <c r="W73" i="59" s="1"/>
  <c r="U72" i="59"/>
  <c r="V71" i="59" s="1"/>
  <c r="V73" i="59" s="1"/>
  <c r="T72" i="59"/>
  <c r="U71" i="59" s="1"/>
  <c r="U73" i="59" s="1"/>
  <c r="S72" i="59"/>
  <c r="R72" i="59"/>
  <c r="Q72" i="59"/>
  <c r="P72" i="59"/>
  <c r="O72" i="59"/>
  <c r="N72" i="59"/>
  <c r="M72" i="59"/>
  <c r="L72" i="59"/>
  <c r="K72" i="59"/>
  <c r="J72" i="59"/>
  <c r="I72" i="59"/>
  <c r="H72" i="59"/>
  <c r="G72" i="59"/>
  <c r="F72" i="59"/>
  <c r="E72" i="59"/>
  <c r="D72" i="59"/>
  <c r="AE71" i="59"/>
  <c r="AE73" i="59" s="1"/>
  <c r="AE72" i="59" s="1"/>
  <c r="AC63" i="59"/>
  <c r="AB63" i="59"/>
  <c r="AA63" i="59"/>
  <c r="Z63" i="59"/>
  <c r="Y63" i="59"/>
  <c r="X63" i="59"/>
  <c r="W63" i="59"/>
  <c r="V63" i="59"/>
  <c r="U63" i="59"/>
  <c r="T63" i="59"/>
  <c r="S63" i="59"/>
  <c r="R63" i="59"/>
  <c r="Q63" i="59"/>
  <c r="P63" i="59"/>
  <c r="O63" i="59"/>
  <c r="N63" i="59"/>
  <c r="M63" i="59"/>
  <c r="L63" i="59"/>
  <c r="K63" i="59"/>
  <c r="J63" i="59"/>
  <c r="I63" i="59"/>
  <c r="H63" i="59"/>
  <c r="G63" i="59"/>
  <c r="F63" i="59"/>
  <c r="E63" i="59"/>
  <c r="D63" i="59"/>
  <c r="AD52" i="59"/>
  <c r="AC52" i="59"/>
  <c r="AB52" i="59"/>
  <c r="AA52" i="59"/>
  <c r="Z52" i="59"/>
  <c r="Y52" i="59"/>
  <c r="X52" i="59"/>
  <c r="W52" i="59"/>
  <c r="V52" i="59"/>
  <c r="U52" i="59"/>
  <c r="T52" i="59"/>
  <c r="S52" i="59"/>
  <c r="R52" i="59"/>
  <c r="Q52" i="59"/>
  <c r="P52" i="59"/>
  <c r="O52" i="59"/>
  <c r="N52" i="59"/>
  <c r="M52" i="59"/>
  <c r="L52" i="59"/>
  <c r="K52" i="59"/>
  <c r="J52" i="59"/>
  <c r="I52" i="59"/>
  <c r="H52" i="59"/>
  <c r="G52" i="59"/>
  <c r="F52" i="59"/>
  <c r="E52" i="59"/>
  <c r="D52" i="59"/>
  <c r="AC37" i="59"/>
  <c r="AB37" i="59"/>
  <c r="AA37" i="59"/>
  <c r="Z37" i="59"/>
  <c r="Y37" i="59"/>
  <c r="X37" i="59"/>
  <c r="W37" i="59"/>
  <c r="V37" i="59"/>
  <c r="U37" i="59"/>
  <c r="T37" i="59"/>
  <c r="S37" i="59"/>
  <c r="R37" i="59"/>
  <c r="Q37" i="59"/>
  <c r="P37" i="59"/>
  <c r="O37" i="59"/>
  <c r="N37" i="59"/>
  <c r="M37" i="59"/>
  <c r="L37" i="59"/>
  <c r="K37" i="59"/>
  <c r="J37" i="59"/>
  <c r="I37" i="59"/>
  <c r="H37" i="59"/>
  <c r="G37" i="59"/>
  <c r="F37" i="59"/>
  <c r="E37" i="59"/>
  <c r="D37" i="59"/>
  <c r="AN31" i="59"/>
  <c r="AM31" i="59"/>
  <c r="AL31" i="59"/>
  <c r="AK31" i="59"/>
  <c r="AJ31" i="59"/>
  <c r="AI31" i="59"/>
  <c r="AH31" i="59"/>
  <c r="AG31" i="59"/>
  <c r="AF31" i="59"/>
  <c r="AE31" i="59"/>
  <c r="AD31" i="59"/>
  <c r="AC31" i="59"/>
  <c r="AB31" i="59"/>
  <c r="AA31" i="59"/>
  <c r="Z31" i="59"/>
  <c r="Y31" i="59"/>
  <c r="X31" i="59"/>
  <c r="V31" i="59"/>
  <c r="U31" i="59"/>
  <c r="T31" i="59"/>
  <c r="S31" i="59"/>
  <c r="AN30" i="59"/>
  <c r="AM30" i="59"/>
  <c r="AL30" i="59"/>
  <c r="AK30" i="59"/>
  <c r="K115" i="55" s="1"/>
  <c r="AJ30" i="59"/>
  <c r="AI30" i="59"/>
  <c r="I115" i="55" s="1"/>
  <c r="AH30" i="59"/>
  <c r="AG30" i="59"/>
  <c r="AN28" i="59"/>
  <c r="AM28" i="59"/>
  <c r="AL28" i="59"/>
  <c r="AK28" i="59"/>
  <c r="AJ28" i="59"/>
  <c r="AI28" i="59"/>
  <c r="AH28" i="59"/>
  <c r="AG28" i="59"/>
  <c r="AF28" i="59"/>
  <c r="AE28" i="59"/>
  <c r="AD28" i="59"/>
  <c r="AC28" i="59"/>
  <c r="AB28" i="59"/>
  <c r="AA28" i="59"/>
  <c r="Z28" i="59"/>
  <c r="Y28" i="59"/>
  <c r="X28" i="59"/>
  <c r="W28" i="59"/>
  <c r="V28" i="59"/>
  <c r="U28" i="59"/>
  <c r="T28" i="59"/>
  <c r="S28" i="59"/>
  <c r="R28" i="59"/>
  <c r="Q28" i="59"/>
  <c r="P28" i="59"/>
  <c r="O28" i="59"/>
  <c r="N28" i="59"/>
  <c r="M28" i="59"/>
  <c r="L28" i="59"/>
  <c r="K28" i="59"/>
  <c r="J28" i="59"/>
  <c r="T27" i="59"/>
  <c r="S27" i="59"/>
  <c r="R27" i="59"/>
  <c r="Q27" i="59"/>
  <c r="P27" i="59"/>
  <c r="O27" i="59"/>
  <c r="N27" i="59"/>
  <c r="M27" i="59"/>
  <c r="H26" i="59"/>
  <c r="G26" i="59"/>
  <c r="F26" i="59"/>
  <c r="E26" i="59"/>
  <c r="D26" i="59"/>
  <c r="AF25" i="59"/>
  <c r="AF30" i="59" s="1"/>
  <c r="F115" i="55" s="1"/>
  <c r="S25" i="59"/>
  <c r="R25" i="59"/>
  <c r="P25" i="59"/>
  <c r="N25" i="59"/>
  <c r="AF24" i="59"/>
  <c r="Z24" i="59"/>
  <c r="S4" i="50" s="1"/>
  <c r="T21" i="59"/>
  <c r="S21" i="59"/>
  <c r="R21" i="59"/>
  <c r="Q21" i="59"/>
  <c r="P21" i="59"/>
  <c r="O21" i="59"/>
  <c r="N21" i="59"/>
  <c r="M21" i="59"/>
  <c r="L21" i="59"/>
  <c r="L30" i="59" s="1"/>
  <c r="E5" i="50" s="1"/>
  <c r="K21" i="59"/>
  <c r="K30" i="59" s="1"/>
  <c r="D5" i="50" s="1"/>
  <c r="J21" i="59"/>
  <c r="J30" i="59" s="1"/>
  <c r="I21" i="59"/>
  <c r="I30" i="59" s="1"/>
  <c r="H21" i="59"/>
  <c r="H30" i="59" s="1"/>
  <c r="G21" i="59"/>
  <c r="F21" i="59"/>
  <c r="E21" i="59"/>
  <c r="E66" i="59" s="1"/>
  <c r="D21" i="59"/>
  <c r="D66" i="59" s="1"/>
  <c r="AN18" i="59"/>
  <c r="AM18" i="59"/>
  <c r="AL18" i="59"/>
  <c r="AK18" i="59"/>
  <c r="AJ18" i="59"/>
  <c r="AI18" i="59"/>
  <c r="AH18" i="59"/>
  <c r="AG18" i="59"/>
  <c r="AF18" i="59"/>
  <c r="AE18" i="59"/>
  <c r="AD18" i="59"/>
  <c r="AC18" i="59"/>
  <c r="AB18" i="59"/>
  <c r="AA18" i="59"/>
  <c r="Z18" i="59"/>
  <c r="Y18" i="59"/>
  <c r="X18" i="59"/>
  <c r="W18" i="59"/>
  <c r="V18" i="59"/>
  <c r="U18" i="59"/>
  <c r="T18" i="59"/>
  <c r="S18" i="59"/>
  <c r="R18" i="59"/>
  <c r="Q18" i="59"/>
  <c r="P18" i="59"/>
  <c r="O18" i="59"/>
  <c r="N18" i="59"/>
  <c r="M18" i="59"/>
  <c r="L18" i="59"/>
  <c r="K18" i="59"/>
  <c r="J18" i="59"/>
  <c r="I18" i="59"/>
  <c r="H18" i="59"/>
  <c r="AE17" i="59"/>
  <c r="AD17" i="59"/>
  <c r="AC17" i="59"/>
  <c r="T17" i="59"/>
  <c r="Q17" i="59"/>
  <c r="P17" i="59"/>
  <c r="O17" i="59"/>
  <c r="F17" i="59"/>
  <c r="AC16" i="59"/>
  <c r="AB16" i="59"/>
  <c r="AA16" i="59"/>
  <c r="Z16" i="59"/>
  <c r="AB15" i="59"/>
  <c r="W15" i="59"/>
  <c r="V15" i="59"/>
  <c r="AC12" i="59"/>
  <c r="AB12" i="59"/>
  <c r="AA12" i="59"/>
  <c r="Z12" i="59"/>
  <c r="Y12" i="59"/>
  <c r="X12" i="59"/>
  <c r="W12" i="59"/>
  <c r="V12" i="59"/>
  <c r="U12" i="59"/>
  <c r="T12" i="59"/>
  <c r="T13" i="59" s="1"/>
  <c r="S12" i="59"/>
  <c r="R12" i="59"/>
  <c r="Q12" i="59"/>
  <c r="P12" i="59"/>
  <c r="O12" i="59"/>
  <c r="N12" i="59"/>
  <c r="M12" i="59"/>
  <c r="L12" i="59"/>
  <c r="K12" i="59"/>
  <c r="J12" i="59"/>
  <c r="I12" i="59"/>
  <c r="H12" i="59"/>
  <c r="G12" i="59"/>
  <c r="F12" i="59"/>
  <c r="E12" i="59"/>
  <c r="D12" i="59"/>
  <c r="AG21" i="67"/>
  <c r="AF21" i="67"/>
  <c r="AE21" i="67"/>
  <c r="AD21" i="67"/>
  <c r="AC21" i="67"/>
  <c r="AB21" i="67"/>
  <c r="X21" i="67"/>
  <c r="V21" i="67"/>
  <c r="T21" i="67"/>
  <c r="S21" i="67"/>
  <c r="R21" i="67"/>
  <c r="AD12" i="67"/>
  <c r="AC12" i="67"/>
  <c r="AB12" i="67"/>
  <c r="AA12" i="67"/>
  <c r="Y12" i="67"/>
  <c r="X12" i="67"/>
  <c r="J26" i="33"/>
  <c r="AI13" i="33" s="1"/>
  <c r="I26" i="33"/>
  <c r="AC13" i="33" s="1"/>
  <c r="G26" i="33"/>
  <c r="K24" i="33"/>
  <c r="K26" i="33" s="1"/>
  <c r="J24" i="33"/>
  <c r="I24" i="33"/>
  <c r="H24" i="33"/>
  <c r="H26" i="33" s="1"/>
  <c r="G24" i="33"/>
  <c r="F24" i="33"/>
  <c r="E24" i="33"/>
  <c r="F26" i="33" s="1"/>
  <c r="J23" i="33"/>
  <c r="AN13" i="33"/>
  <c r="AE13" i="33"/>
  <c r="AE10" i="33" s="1"/>
  <c r="AD13" i="33"/>
  <c r="U13" i="33"/>
  <c r="O13" i="33"/>
  <c r="N13" i="33"/>
  <c r="AC12" i="33"/>
  <c r="AD11" i="33"/>
  <c r="AC11" i="33"/>
  <c r="AB11" i="33"/>
  <c r="AA11" i="33"/>
  <c r="Z11" i="33"/>
  <c r="Y11" i="33"/>
  <c r="X11" i="33"/>
  <c r="W11" i="33"/>
  <c r="V11" i="33"/>
  <c r="U11" i="33"/>
  <c r="T11" i="33"/>
  <c r="S11" i="33"/>
  <c r="R11" i="33"/>
  <c r="Q11" i="33"/>
  <c r="P11" i="33"/>
  <c r="O11" i="33"/>
  <c r="N11" i="33"/>
  <c r="M11" i="33"/>
  <c r="L11" i="33"/>
  <c r="K11" i="33"/>
  <c r="J11" i="33"/>
  <c r="AD10" i="33"/>
  <c r="AC10" i="33"/>
  <c r="AC17" i="75" s="1"/>
  <c r="AB10" i="33"/>
  <c r="AA10" i="33"/>
  <c r="AA17" i="75" s="1"/>
  <c r="Z10" i="33"/>
  <c r="Z17" i="75" s="1"/>
  <c r="Y10" i="33"/>
  <c r="X10" i="33"/>
  <c r="W10" i="33"/>
  <c r="V10" i="33"/>
  <c r="V17" i="75" s="1"/>
  <c r="U10" i="33"/>
  <c r="U17" i="75" s="1"/>
  <c r="T10" i="33"/>
  <c r="S10" i="33"/>
  <c r="S17" i="75" s="1"/>
  <c r="R10" i="33"/>
  <c r="R17" i="75" s="1"/>
  <c r="Q10" i="33"/>
  <c r="Q17" i="75" s="1"/>
  <c r="P10" i="33"/>
  <c r="O10" i="33"/>
  <c r="O17" i="75" s="1"/>
  <c r="N10" i="33"/>
  <c r="M10" i="33"/>
  <c r="M17" i="75" s="1"/>
  <c r="L10" i="33"/>
  <c r="K10" i="33"/>
  <c r="J10" i="33"/>
  <c r="I10" i="33"/>
  <c r="H10" i="33"/>
  <c r="H17" i="75" s="1"/>
  <c r="G10" i="33"/>
  <c r="G17" i="75" s="1"/>
  <c r="F10" i="33"/>
  <c r="F17" i="75" s="1"/>
  <c r="E10" i="33"/>
  <c r="E17" i="75" s="1"/>
  <c r="D10" i="33"/>
  <c r="D17" i="75" s="1"/>
  <c r="L50" i="49"/>
  <c r="K50" i="49"/>
  <c r="J50" i="49"/>
  <c r="P49" i="49"/>
  <c r="O49" i="49"/>
  <c r="N49" i="49"/>
  <c r="M49" i="49"/>
  <c r="L49" i="49"/>
  <c r="K49" i="49"/>
  <c r="J49" i="49"/>
  <c r="I49" i="49"/>
  <c r="H49" i="49"/>
  <c r="G49" i="49"/>
  <c r="F49" i="49"/>
  <c r="P48" i="49"/>
  <c r="O48" i="49"/>
  <c r="N48" i="49"/>
  <c r="M48" i="49"/>
  <c r="L48" i="49"/>
  <c r="K48" i="49"/>
  <c r="J48" i="49"/>
  <c r="I48" i="49"/>
  <c r="H48" i="49"/>
  <c r="G48" i="49"/>
  <c r="F48" i="49"/>
  <c r="AC26" i="49"/>
  <c r="W26" i="49"/>
  <c r="W38" i="59" s="1"/>
  <c r="R26" i="49"/>
  <c r="E26" i="49"/>
  <c r="K18" i="49"/>
  <c r="AA12" i="49"/>
  <c r="AB12" i="49"/>
  <c r="F12" i="49"/>
  <c r="F28" i="49" s="1"/>
  <c r="F29" i="49" s="1"/>
  <c r="AB26" i="49"/>
  <c r="AA26" i="49"/>
  <c r="Q26" i="49"/>
  <c r="P26" i="49"/>
  <c r="H26" i="49"/>
  <c r="H38" i="59" s="1"/>
  <c r="F26" i="49"/>
  <c r="AD81" i="30"/>
  <c r="AD79" i="30"/>
  <c r="AD72" i="30"/>
  <c r="AD71" i="30"/>
  <c r="AD70" i="30"/>
  <c r="AD69" i="30"/>
  <c r="AD68" i="30"/>
  <c r="AD67" i="30"/>
  <c r="AD66" i="30"/>
  <c r="AD65" i="30"/>
  <c r="AD62" i="30"/>
  <c r="AD56" i="30"/>
  <c r="AD53" i="30"/>
  <c r="AA46" i="30"/>
  <c r="M46" i="30"/>
  <c r="J46" i="30"/>
  <c r="G46" i="30"/>
  <c r="F46" i="30"/>
  <c r="AF45" i="30"/>
  <c r="AA45" i="30"/>
  <c r="V45" i="30"/>
  <c r="S45" i="30"/>
  <c r="P45" i="30"/>
  <c r="O45" i="30"/>
  <c r="M45" i="30"/>
  <c r="AC43" i="30"/>
  <c r="AB43" i="30"/>
  <c r="AC41" i="30"/>
  <c r="AB41" i="30"/>
  <c r="AC40" i="30"/>
  <c r="AB40" i="30"/>
  <c r="AA40" i="30"/>
  <c r="Z40" i="30"/>
  <c r="Y40" i="30"/>
  <c r="X40" i="30"/>
  <c r="M40" i="30"/>
  <c r="AC39" i="30"/>
  <c r="AB39" i="30"/>
  <c r="AA39" i="30"/>
  <c r="Z39" i="30"/>
  <c r="Y39" i="30"/>
  <c r="X39" i="30"/>
  <c r="AC38" i="30"/>
  <c r="AB38" i="30"/>
  <c r="AA38" i="30"/>
  <c r="Z38" i="30"/>
  <c r="Y38" i="30"/>
  <c r="X38" i="30"/>
  <c r="AC37" i="30"/>
  <c r="AB37" i="30"/>
  <c r="AB20" i="30" s="1"/>
  <c r="AA37" i="30"/>
  <c r="Z37" i="30"/>
  <c r="Z20" i="30" s="1"/>
  <c r="Y37" i="30"/>
  <c r="AC36" i="30"/>
  <c r="AB36" i="30"/>
  <c r="AA36" i="30"/>
  <c r="Z36" i="30"/>
  <c r="Y36" i="30"/>
  <c r="X36" i="30"/>
  <c r="O34" i="30"/>
  <c r="O25" i="30" s="1"/>
  <c r="N34" i="30"/>
  <c r="O33" i="30"/>
  <c r="AL27" i="30"/>
  <c r="AM27" i="30" s="1"/>
  <c r="AN27" i="30" s="1"/>
  <c r="AK27" i="30"/>
  <c r="AJ27" i="30"/>
  <c r="AG27" i="30"/>
  <c r="AH27" i="30" s="1"/>
  <c r="AI27" i="30" s="1"/>
  <c r="AF27" i="30"/>
  <c r="AE27" i="30"/>
  <c r="AD27" i="30"/>
  <c r="AC27" i="30"/>
  <c r="AB27" i="30"/>
  <c r="AA27" i="30"/>
  <c r="Z27" i="30"/>
  <c r="Y27" i="30"/>
  <c r="X27" i="30"/>
  <c r="W27" i="30"/>
  <c r="V27" i="30"/>
  <c r="U27" i="30"/>
  <c r="AD64" i="30" s="1"/>
  <c r="T27" i="30"/>
  <c r="S27" i="30"/>
  <c r="AN26" i="30"/>
  <c r="AM26" i="30"/>
  <c r="AL26" i="30"/>
  <c r="AK26" i="30"/>
  <c r="AJ26" i="30"/>
  <c r="AI26" i="30"/>
  <c r="AH26" i="30"/>
  <c r="AG26" i="30"/>
  <c r="AF26" i="30"/>
  <c r="AE26" i="30"/>
  <c r="AD26" i="30"/>
  <c r="AC26" i="30"/>
  <c r="AB26" i="30"/>
  <c r="AA26" i="30"/>
  <c r="Z26" i="30"/>
  <c r="Y26" i="30"/>
  <c r="X26" i="30"/>
  <c r="W26" i="30"/>
  <c r="V26" i="30"/>
  <c r="U26" i="30"/>
  <c r="AD63" i="30" s="1"/>
  <c r="T26" i="30"/>
  <c r="S26" i="30"/>
  <c r="AN25" i="30"/>
  <c r="AM25" i="30"/>
  <c r="AL25" i="30"/>
  <c r="AK25" i="30"/>
  <c r="AJ25" i="30"/>
  <c r="AI25" i="30"/>
  <c r="AH25" i="30"/>
  <c r="AG25" i="30"/>
  <c r="AF25" i="30"/>
  <c r="AE25" i="30"/>
  <c r="AD25" i="30"/>
  <c r="AC25" i="30"/>
  <c r="AB25" i="30"/>
  <c r="AA25" i="30"/>
  <c r="Z25" i="30"/>
  <c r="Y25" i="30"/>
  <c r="X25" i="30"/>
  <c r="W25" i="30"/>
  <c r="V25" i="30"/>
  <c r="U25" i="30"/>
  <c r="T25" i="30"/>
  <c r="AN24" i="30"/>
  <c r="AM24" i="30"/>
  <c r="AL24" i="30"/>
  <c r="AK24" i="30"/>
  <c r="AJ24" i="30"/>
  <c r="AI24" i="30"/>
  <c r="AH24" i="30"/>
  <c r="AG24" i="30"/>
  <c r="AF24" i="30"/>
  <c r="AE24" i="30"/>
  <c r="AD24" i="30"/>
  <c r="AC24" i="30"/>
  <c r="AB24" i="30"/>
  <c r="AD23" i="30"/>
  <c r="AE23" i="30" s="1"/>
  <c r="AF23" i="30" s="1"/>
  <c r="AG23" i="30" s="1"/>
  <c r="AH23" i="30" s="1"/>
  <c r="AI23" i="30" s="1"/>
  <c r="AJ23" i="30" s="1"/>
  <c r="AK23" i="30" s="1"/>
  <c r="AL23" i="30" s="1"/>
  <c r="AM23" i="30" s="1"/>
  <c r="AN23" i="30" s="1"/>
  <c r="AC23" i="30"/>
  <c r="AB23" i="30"/>
  <c r="AA23" i="30"/>
  <c r="Z23" i="30"/>
  <c r="Y23" i="30"/>
  <c r="X23" i="30"/>
  <c r="W23" i="30"/>
  <c r="V23" i="30"/>
  <c r="U23" i="30"/>
  <c r="AD60" i="30" s="1"/>
  <c r="T23" i="30"/>
  <c r="S23" i="30"/>
  <c r="R23" i="30"/>
  <c r="Q23" i="30"/>
  <c r="P23" i="30"/>
  <c r="O23" i="30"/>
  <c r="N23" i="30"/>
  <c r="AD22" i="30"/>
  <c r="AC22" i="30"/>
  <c r="AB22" i="30"/>
  <c r="AA22" i="30"/>
  <c r="Z22" i="30"/>
  <c r="Y22" i="30"/>
  <c r="X22" i="30"/>
  <c r="W22" i="30"/>
  <c r="V22" i="30"/>
  <c r="U22" i="30"/>
  <c r="AD59" i="30" s="1"/>
  <c r="T22" i="30"/>
  <c r="S22" i="30"/>
  <c r="R22" i="30"/>
  <c r="Q22" i="30"/>
  <c r="P22" i="30"/>
  <c r="O22" i="30"/>
  <c r="N22" i="30"/>
  <c r="AF21" i="30"/>
  <c r="AG21" i="30" s="1"/>
  <c r="AH21" i="30" s="1"/>
  <c r="AI21" i="30" s="1"/>
  <c r="AJ21" i="30" s="1"/>
  <c r="AK21" i="30" s="1"/>
  <c r="AL21" i="30" s="1"/>
  <c r="AM21" i="30" s="1"/>
  <c r="AN21" i="30" s="1"/>
  <c r="AD21" i="30"/>
  <c r="AE21" i="30" s="1"/>
  <c r="AC21" i="30"/>
  <c r="AB21" i="30"/>
  <c r="AA21" i="30"/>
  <c r="Z21" i="30"/>
  <c r="Y21" i="30"/>
  <c r="X21" i="30"/>
  <c r="W21" i="30"/>
  <c r="V21" i="30"/>
  <c r="U21" i="30"/>
  <c r="AD58" i="30" s="1"/>
  <c r="T21" i="30"/>
  <c r="S21" i="30"/>
  <c r="R21" i="30"/>
  <c r="Q21" i="30"/>
  <c r="P21" i="30"/>
  <c r="O21" i="30"/>
  <c r="N21" i="30"/>
  <c r="M21" i="30"/>
  <c r="L21" i="30"/>
  <c r="K21" i="30"/>
  <c r="K13" i="30" s="1"/>
  <c r="J21" i="30"/>
  <c r="I21" i="30"/>
  <c r="H21" i="30"/>
  <c r="AN20" i="30"/>
  <c r="AM20" i="30"/>
  <c r="AL20" i="30"/>
  <c r="AK20" i="30"/>
  <c r="AJ20" i="30"/>
  <c r="AI20" i="30"/>
  <c r="AH20" i="30"/>
  <c r="AG20" i="30"/>
  <c r="AF20" i="30"/>
  <c r="AE20" i="30"/>
  <c r="AD20" i="30"/>
  <c r="AC20" i="30"/>
  <c r="AA20" i="30"/>
  <c r="Y20" i="30"/>
  <c r="T20" i="30"/>
  <c r="S20" i="30"/>
  <c r="R20" i="30"/>
  <c r="Q20" i="30"/>
  <c r="P20" i="30"/>
  <c r="O20" i="30"/>
  <c r="N20" i="30"/>
  <c r="M20" i="30"/>
  <c r="L20" i="30"/>
  <c r="K20" i="30"/>
  <c r="J20" i="30"/>
  <c r="I20" i="30"/>
  <c r="H20" i="30"/>
  <c r="AD19" i="30"/>
  <c r="AC19" i="30"/>
  <c r="AB19" i="30"/>
  <c r="AA19" i="30"/>
  <c r="Z19" i="30"/>
  <c r="Y19" i="30"/>
  <c r="X19" i="30"/>
  <c r="W19" i="30"/>
  <c r="V19" i="30"/>
  <c r="U19" i="30"/>
  <c r="T19" i="30"/>
  <c r="S19" i="30"/>
  <c r="R19" i="30"/>
  <c r="Q19" i="30"/>
  <c r="P19" i="30"/>
  <c r="O19" i="30"/>
  <c r="N19" i="30"/>
  <c r="M19" i="30"/>
  <c r="L19" i="30"/>
  <c r="K19" i="30"/>
  <c r="J19" i="30"/>
  <c r="I19" i="30"/>
  <c r="H19" i="30"/>
  <c r="H15" i="30" s="1"/>
  <c r="AN18" i="30"/>
  <c r="AM18" i="30"/>
  <c r="AL18" i="30"/>
  <c r="AK18" i="30"/>
  <c r="AJ18" i="30"/>
  <c r="AI18" i="30"/>
  <c r="AH18" i="30"/>
  <c r="AG18" i="30"/>
  <c r="AF18" i="30"/>
  <c r="AE18" i="30"/>
  <c r="AD18" i="30"/>
  <c r="AC18" i="30"/>
  <c r="AB18" i="30"/>
  <c r="AA18" i="30"/>
  <c r="Z18" i="30"/>
  <c r="Y18" i="30"/>
  <c r="X18" i="30"/>
  <c r="W18" i="30"/>
  <c r="V18" i="30"/>
  <c r="U18" i="30"/>
  <c r="AD55" i="30" s="1"/>
  <c r="T18" i="30"/>
  <c r="S18" i="30"/>
  <c r="R18" i="30"/>
  <c r="Q18" i="30"/>
  <c r="P18" i="30"/>
  <c r="O18" i="30"/>
  <c r="N18" i="30"/>
  <c r="M18" i="30"/>
  <c r="L18" i="30"/>
  <c r="K18" i="30"/>
  <c r="J18" i="30"/>
  <c r="I18" i="30"/>
  <c r="H18" i="30"/>
  <c r="AF17" i="30"/>
  <c r="AD17" i="30"/>
  <c r="AE17" i="30" s="1"/>
  <c r="AC17" i="30"/>
  <c r="AB17" i="30"/>
  <c r="AB15" i="30" s="1"/>
  <c r="AA17" i="30"/>
  <c r="Z17" i="30"/>
  <c r="Y17" i="30"/>
  <c r="X17" i="30"/>
  <c r="W17" i="30"/>
  <c r="V17" i="30"/>
  <c r="U17" i="30"/>
  <c r="AD54" i="30" s="1"/>
  <c r="T17" i="30"/>
  <c r="S17" i="30"/>
  <c r="R17" i="30"/>
  <c r="Q17" i="30"/>
  <c r="P17" i="30"/>
  <c r="O17" i="30"/>
  <c r="N17" i="30"/>
  <c r="N13" i="30" s="1"/>
  <c r="N12" i="30" s="1"/>
  <c r="M17" i="30"/>
  <c r="L17" i="30"/>
  <c r="K17" i="30"/>
  <c r="J17" i="30"/>
  <c r="I17" i="30"/>
  <c r="H17" i="30"/>
  <c r="AD16" i="30"/>
  <c r="AC16" i="30"/>
  <c r="AB16" i="30"/>
  <c r="AA16" i="30"/>
  <c r="Z16" i="30"/>
  <c r="Y16" i="30"/>
  <c r="X16" i="30"/>
  <c r="W16" i="30"/>
  <c r="V16" i="30"/>
  <c r="U16" i="30"/>
  <c r="T16" i="30"/>
  <c r="S16" i="30"/>
  <c r="R16" i="30"/>
  <c r="Q16" i="30"/>
  <c r="P16" i="30"/>
  <c r="O16" i="30"/>
  <c r="N16" i="30"/>
  <c r="M16" i="30"/>
  <c r="L16" i="30"/>
  <c r="K16" i="30"/>
  <c r="J16" i="30"/>
  <c r="J15" i="30" s="1"/>
  <c r="I16" i="30"/>
  <c r="I15" i="30" s="1"/>
  <c r="H16" i="30"/>
  <c r="N15" i="30"/>
  <c r="L15" i="30"/>
  <c r="AD14" i="30"/>
  <c r="AC14" i="30"/>
  <c r="AB14" i="30"/>
  <c r="AA14" i="30"/>
  <c r="Z14" i="30"/>
  <c r="Y14" i="30"/>
  <c r="X14" i="30"/>
  <c r="W14" i="30"/>
  <c r="V14" i="30"/>
  <c r="U14" i="30"/>
  <c r="AD51" i="30" s="1"/>
  <c r="T14" i="30"/>
  <c r="S14" i="30"/>
  <c r="R14" i="30"/>
  <c r="Q14" i="30"/>
  <c r="P14" i="30"/>
  <c r="O14" i="30"/>
  <c r="N14" i="30"/>
  <c r="M14" i="30"/>
  <c r="L14" i="30"/>
  <c r="K14" i="30"/>
  <c r="J14" i="30"/>
  <c r="J13" i="30" s="1"/>
  <c r="I14" i="30"/>
  <c r="H14" i="30"/>
  <c r="AB13" i="30"/>
  <c r="AB12" i="30" s="1"/>
  <c r="L13" i="30"/>
  <c r="I13" i="30"/>
  <c r="G12" i="30"/>
  <c r="F12" i="30"/>
  <c r="AC11" i="30"/>
  <c r="AB11" i="30"/>
  <c r="AA11" i="30"/>
  <c r="Z11" i="30"/>
  <c r="Y11" i="30"/>
  <c r="X11" i="30"/>
  <c r="W11" i="30"/>
  <c r="V11" i="30"/>
  <c r="V46" i="30" s="1"/>
  <c r="U11" i="30"/>
  <c r="T11" i="30"/>
  <c r="S11" i="30"/>
  <c r="S46" i="30" s="1"/>
  <c r="R11" i="30"/>
  <c r="Q11" i="30"/>
  <c r="P11" i="30"/>
  <c r="O11" i="30"/>
  <c r="O46" i="30" s="1"/>
  <c r="N11" i="30"/>
  <c r="M11" i="30"/>
  <c r="L11" i="30"/>
  <c r="K11" i="30"/>
  <c r="J11" i="30"/>
  <c r="I11" i="30"/>
  <c r="H11" i="30"/>
  <c r="H46" i="30" s="1"/>
  <c r="J56" i="20"/>
  <c r="H56" i="20"/>
  <c r="AE47" i="20"/>
  <c r="BC43" i="20"/>
  <c r="BB43" i="20"/>
  <c r="BA43" i="20"/>
  <c r="AZ43" i="20"/>
  <c r="AY43" i="20"/>
  <c r="AX43" i="20"/>
  <c r="AW43" i="20"/>
  <c r="AV43" i="20"/>
  <c r="AU43" i="20"/>
  <c r="AT43" i="20"/>
  <c r="AS43" i="20"/>
  <c r="AR43" i="20"/>
  <c r="AQ43" i="20"/>
  <c r="AP43" i="20"/>
  <c r="AO43" i="20"/>
  <c r="AN43" i="20"/>
  <c r="AM43" i="20"/>
  <c r="AL43" i="20"/>
  <c r="AK43" i="20"/>
  <c r="AJ43" i="20"/>
  <c r="AI43" i="20"/>
  <c r="AH43" i="20"/>
  <c r="AG43" i="20"/>
  <c r="AF43" i="20"/>
  <c r="AE43" i="20"/>
  <c r="AD43" i="20"/>
  <c r="AC43" i="20"/>
  <c r="AB43" i="20"/>
  <c r="AA43" i="20"/>
  <c r="Z43" i="20"/>
  <c r="Y43" i="20"/>
  <c r="X43" i="20"/>
  <c r="W43" i="20"/>
  <c r="V43" i="20"/>
  <c r="AD35" i="20"/>
  <c r="AE35" i="20" s="1"/>
  <c r="AF35" i="20" s="1"/>
  <c r="AG35" i="20" s="1"/>
  <c r="AH35" i="20" s="1"/>
  <c r="AI35" i="20" s="1"/>
  <c r="AJ35" i="20" s="1"/>
  <c r="AK35" i="20" s="1"/>
  <c r="AB35" i="20"/>
  <c r="AA35" i="20"/>
  <c r="Z35" i="20"/>
  <c r="X35" i="20"/>
  <c r="S35" i="20"/>
  <c r="R35" i="20"/>
  <c r="Q35" i="20"/>
  <c r="P35" i="20"/>
  <c r="M35" i="20"/>
  <c r="L35" i="20"/>
  <c r="J35" i="20"/>
  <c r="AN34" i="20"/>
  <c r="AM34" i="20"/>
  <c r="AL34" i="20"/>
  <c r="AK34" i="20"/>
  <c r="AJ34" i="20"/>
  <c r="AI34" i="20"/>
  <c r="AH34" i="20"/>
  <c r="AG34" i="20"/>
  <c r="AF34" i="20"/>
  <c r="AE34" i="20"/>
  <c r="X34" i="20"/>
  <c r="S34" i="20"/>
  <c r="R34" i="20"/>
  <c r="Q34" i="20"/>
  <c r="AD31" i="20"/>
  <c r="AD34" i="20" s="1"/>
  <c r="AC31" i="20"/>
  <c r="AC35" i="20" s="1"/>
  <c r="AB31" i="20"/>
  <c r="AA31" i="20"/>
  <c r="AA34" i="20" s="1"/>
  <c r="Z31" i="20"/>
  <c r="Y31" i="20"/>
  <c r="X31" i="20"/>
  <c r="W31" i="20"/>
  <c r="V31" i="20"/>
  <c r="U31" i="20"/>
  <c r="U35" i="20" s="1"/>
  <c r="T31" i="20"/>
  <c r="T35" i="20" s="1"/>
  <c r="S31" i="20"/>
  <c r="R31" i="20"/>
  <c r="Q31" i="20"/>
  <c r="P31" i="20"/>
  <c r="P34" i="20" s="1"/>
  <c r="O31" i="20"/>
  <c r="N31" i="20"/>
  <c r="M31" i="20"/>
  <c r="M34" i="20" s="1"/>
  <c r="L31" i="20"/>
  <c r="K31" i="20"/>
  <c r="K35" i="20" s="1"/>
  <c r="J31" i="20"/>
  <c r="I31" i="20"/>
  <c r="I35" i="20" s="1"/>
  <c r="H31" i="20"/>
  <c r="H35" i="20" s="1"/>
  <c r="AC17" i="20"/>
  <c r="AB17" i="20"/>
  <c r="AA17" i="20"/>
  <c r="T17" i="20"/>
  <c r="AD16" i="20"/>
  <c r="AD17" i="20" s="1"/>
  <c r="AC16" i="20"/>
  <c r="AB16" i="20"/>
  <c r="AA16" i="20"/>
  <c r="Z16" i="20"/>
  <c r="Z17" i="20" s="1"/>
  <c r="Y16" i="20"/>
  <c r="X16" i="20"/>
  <c r="X17" i="20" s="1"/>
  <c r="W16" i="20"/>
  <c r="V16" i="20"/>
  <c r="U16" i="20"/>
  <c r="U17" i="20" s="1"/>
  <c r="T16" i="20"/>
  <c r="T15" i="20" s="1"/>
  <c r="T18" i="20" s="1"/>
  <c r="S16" i="20"/>
  <c r="AD15" i="20"/>
  <c r="AB15" i="20"/>
  <c r="AB18" i="20" s="1"/>
  <c r="Y15" i="20"/>
  <c r="U15" i="20"/>
  <c r="U18" i="20" s="1"/>
  <c r="AD14" i="20"/>
  <c r="AC14" i="20"/>
  <c r="AC15" i="20" s="1"/>
  <c r="AC18" i="20" s="1"/>
  <c r="AB14" i="20"/>
  <c r="AA14" i="20"/>
  <c r="AA15" i="20" s="1"/>
  <c r="Z14" i="20"/>
  <c r="Y14" i="20"/>
  <c r="X14" i="20"/>
  <c r="W14" i="20"/>
  <c r="V14" i="20"/>
  <c r="U14" i="20"/>
  <c r="T14" i="20"/>
  <c r="S14" i="20"/>
  <c r="S15" i="20" s="1"/>
  <c r="R14" i="20"/>
  <c r="Q14" i="20"/>
  <c r="P14" i="20"/>
  <c r="O14" i="20"/>
  <c r="N14" i="20"/>
  <c r="M14" i="20"/>
  <c r="L14" i="20"/>
  <c r="K14" i="20"/>
  <c r="J14" i="20"/>
  <c r="I14" i="20"/>
  <c r="H14" i="20"/>
  <c r="BQ12" i="20"/>
  <c r="BP12" i="20"/>
  <c r="BO12" i="20"/>
  <c r="BN12" i="20"/>
  <c r="BM12" i="20"/>
  <c r="BL12" i="20"/>
  <c r="BK12" i="20"/>
  <c r="BJ12" i="20"/>
  <c r="BE12" i="20"/>
  <c r="BD12" i="20"/>
  <c r="BB12" i="20"/>
  <c r="BA12" i="20"/>
  <c r="AW12" i="20"/>
  <c r="AQ12" i="20"/>
  <c r="AP12" i="20"/>
  <c r="AC12" i="20"/>
  <c r="AB12" i="20"/>
  <c r="AA12" i="20"/>
  <c r="Z12" i="20"/>
  <c r="Y12" i="20"/>
  <c r="X12" i="20"/>
  <c r="W12" i="20"/>
  <c r="V12" i="20"/>
  <c r="U12" i="20"/>
  <c r="T12" i="20"/>
  <c r="S12" i="20"/>
  <c r="R12" i="20"/>
  <c r="Q12" i="20"/>
  <c r="P12" i="20"/>
  <c r="O12" i="20"/>
  <c r="N12" i="20"/>
  <c r="AQ10" i="20"/>
  <c r="AP10" i="20"/>
  <c r="AO10" i="20"/>
  <c r="BI9" i="20"/>
  <c r="BH9" i="20"/>
  <c r="BI12" i="20" s="1"/>
  <c r="BG9" i="20"/>
  <c r="BG12" i="20" s="1"/>
  <c r="BF9" i="20"/>
  <c r="BF12" i="20" s="1"/>
  <c r="BE9" i="20"/>
  <c r="BD9" i="20"/>
  <c r="BC9" i="20"/>
  <c r="BC12" i="20" s="1"/>
  <c r="BB9" i="20"/>
  <c r="BA9" i="20"/>
  <c r="AZ9" i="20"/>
  <c r="AY9" i="20"/>
  <c r="AY12" i="20" s="1"/>
  <c r="AX9" i="20"/>
  <c r="AX12" i="20" s="1"/>
  <c r="AW9" i="20"/>
  <c r="AV9" i="20"/>
  <c r="AV12" i="20" s="1"/>
  <c r="AU9" i="20"/>
  <c r="AT9" i="20"/>
  <c r="AU12" i="20" s="1"/>
  <c r="AS9" i="20"/>
  <c r="AS12" i="20" s="1"/>
  <c r="AR9" i="20"/>
  <c r="AR12" i="20" s="1"/>
  <c r="AQ9" i="20"/>
  <c r="AP9" i="20"/>
  <c r="AO9" i="20"/>
  <c r="AN9" i="20"/>
  <c r="AN12" i="20" s="1"/>
  <c r="AM9" i="20"/>
  <c r="AM12" i="20" s="1"/>
  <c r="AL9" i="20"/>
  <c r="AK9" i="20"/>
  <c r="AJ9" i="20"/>
  <c r="AI9" i="20"/>
  <c r="AH9" i="20"/>
  <c r="AG9" i="20"/>
  <c r="AF9" i="20"/>
  <c r="AE9" i="20"/>
  <c r="AD9" i="20"/>
  <c r="AD12" i="20" s="1"/>
  <c r="A9" i="20"/>
  <c r="AD95" i="26"/>
  <c r="AC95" i="26"/>
  <c r="AC94" i="26" s="1"/>
  <c r="AC56" i="20" s="1"/>
  <c r="AB95" i="26"/>
  <c r="AA95" i="26"/>
  <c r="Z95" i="26"/>
  <c r="Y95" i="26"/>
  <c r="Y94" i="26" s="1"/>
  <c r="Y56" i="20" s="1"/>
  <c r="X95" i="26"/>
  <c r="X94" i="26" s="1"/>
  <c r="X56" i="20" s="1"/>
  <c r="W95" i="26"/>
  <c r="V95" i="26"/>
  <c r="U95" i="26"/>
  <c r="T95" i="26"/>
  <c r="S95" i="26"/>
  <c r="AD94" i="26"/>
  <c r="AD56" i="20" s="1"/>
  <c r="Z94" i="26"/>
  <c r="Z56" i="20" s="1"/>
  <c r="S94" i="26"/>
  <c r="S56" i="20" s="1"/>
  <c r="R94" i="26"/>
  <c r="R56" i="20" s="1"/>
  <c r="Q94" i="26"/>
  <c r="Q56" i="20" s="1"/>
  <c r="P94" i="26"/>
  <c r="P56" i="20" s="1"/>
  <c r="O94" i="26"/>
  <c r="O56" i="20" s="1"/>
  <c r="N94" i="26"/>
  <c r="N56" i="20" s="1"/>
  <c r="M94" i="26"/>
  <c r="M56" i="20" s="1"/>
  <c r="L94" i="26"/>
  <c r="L56" i="20" s="1"/>
  <c r="K94" i="26"/>
  <c r="K56" i="20" s="1"/>
  <c r="J94" i="26"/>
  <c r="I94" i="26"/>
  <c r="AL94" i="26" s="1"/>
  <c r="AL56" i="20" s="1"/>
  <c r="H94" i="26"/>
  <c r="T81" i="26"/>
  <c r="P81" i="26"/>
  <c r="N81" i="26"/>
  <c r="M81" i="26"/>
  <c r="AI79" i="26"/>
  <c r="AG79" i="26"/>
  <c r="AF79" i="26"/>
  <c r="AE79" i="26"/>
  <c r="AD79" i="26"/>
  <c r="AC79" i="26"/>
  <c r="AB79" i="26"/>
  <c r="AA79" i="26"/>
  <c r="Z79" i="26"/>
  <c r="Y79" i="26"/>
  <c r="X79" i="26"/>
  <c r="W79" i="26"/>
  <c r="V79" i="26"/>
  <c r="U79" i="26"/>
  <c r="T79" i="26"/>
  <c r="S79" i="26"/>
  <c r="AN77" i="26"/>
  <c r="AM77" i="26"/>
  <c r="AL77" i="26"/>
  <c r="AK77" i="26"/>
  <c r="AJ77" i="26"/>
  <c r="AI77" i="26"/>
  <c r="AH77" i="26"/>
  <c r="AG77" i="26"/>
  <c r="AF77" i="26"/>
  <c r="AE77" i="26"/>
  <c r="AN76" i="26"/>
  <c r="AM76" i="26"/>
  <c r="AL76" i="26"/>
  <c r="AK76" i="26"/>
  <c r="AJ76" i="26"/>
  <c r="AI76" i="26"/>
  <c r="AH76" i="26"/>
  <c r="AG76" i="26"/>
  <c r="AF76" i="26"/>
  <c r="AE76" i="26"/>
  <c r="AD76" i="26"/>
  <c r="AC76" i="26"/>
  <c r="AB76" i="26"/>
  <c r="AA76" i="26"/>
  <c r="Z76" i="26"/>
  <c r="Y76" i="26"/>
  <c r="AN75" i="26"/>
  <c r="AM75" i="26"/>
  <c r="AL75" i="26"/>
  <c r="AK75" i="26"/>
  <c r="AJ75" i="26"/>
  <c r="AI75" i="26"/>
  <c r="AH75" i="26"/>
  <c r="AG75" i="26"/>
  <c r="AF75" i="26"/>
  <c r="AE75" i="26"/>
  <c r="S75" i="26"/>
  <c r="P75" i="26"/>
  <c r="M75" i="26"/>
  <c r="C67" i="26"/>
  <c r="C66" i="26"/>
  <c r="C65" i="26"/>
  <c r="C64" i="26"/>
  <c r="C63" i="26"/>
  <c r="C61" i="26"/>
  <c r="X32" i="26" s="1"/>
  <c r="C60" i="26"/>
  <c r="C59" i="26"/>
  <c r="T30" i="26" s="1"/>
  <c r="C58" i="26"/>
  <c r="C45" i="26" s="1"/>
  <c r="C57" i="26"/>
  <c r="C56" i="26" s="1"/>
  <c r="C52" i="26"/>
  <c r="C48" i="26"/>
  <c r="E48" i="26" s="1"/>
  <c r="C46" i="26"/>
  <c r="C44" i="26"/>
  <c r="AA37" i="26"/>
  <c r="AA17" i="26" s="1"/>
  <c r="Y37" i="26"/>
  <c r="W37" i="26"/>
  <c r="V37" i="26"/>
  <c r="AC35" i="26"/>
  <c r="AC13" i="26" s="1"/>
  <c r="Z35" i="26"/>
  <c r="W35" i="26"/>
  <c r="S35" i="26"/>
  <c r="R35" i="26"/>
  <c r="O35" i="26"/>
  <c r="AO34" i="26"/>
  <c r="AP19" i="26" s="1"/>
  <c r="Q34" i="26"/>
  <c r="N34" i="26"/>
  <c r="W32" i="26"/>
  <c r="P32" i="26"/>
  <c r="M32" i="26"/>
  <c r="Q31" i="26"/>
  <c r="O31" i="26"/>
  <c r="X30" i="26"/>
  <c r="W30" i="26"/>
  <c r="V30" i="26"/>
  <c r="U30" i="26"/>
  <c r="R30" i="26"/>
  <c r="Q30" i="26"/>
  <c r="P30" i="26"/>
  <c r="N30" i="26"/>
  <c r="N29" i="26"/>
  <c r="M29" i="26"/>
  <c r="AD27" i="26"/>
  <c r="AC27" i="26"/>
  <c r="AB27" i="26"/>
  <c r="AA27" i="26"/>
  <c r="Z27" i="26"/>
  <c r="Y27" i="26"/>
  <c r="AO26" i="26"/>
  <c r="AO25" i="26"/>
  <c r="AO24" i="26"/>
  <c r="J24" i="26"/>
  <c r="P23" i="26"/>
  <c r="O23" i="26"/>
  <c r="N23" i="26"/>
  <c r="M23" i="26"/>
  <c r="L23" i="26"/>
  <c r="K23" i="26"/>
  <c r="J23" i="26"/>
  <c r="AO23" i="26" s="1"/>
  <c r="AD19" i="26"/>
  <c r="AC19" i="26"/>
  <c r="AB19" i="26"/>
  <c r="AA19" i="26"/>
  <c r="Z19" i="26"/>
  <c r="Y19" i="26"/>
  <c r="X19" i="26"/>
  <c r="W19" i="26"/>
  <c r="V19" i="26"/>
  <c r="U19" i="26"/>
  <c r="T19" i="26"/>
  <c r="S19" i="26"/>
  <c r="R19" i="26"/>
  <c r="Q19" i="26"/>
  <c r="P19" i="26"/>
  <c r="O19" i="26"/>
  <c r="N19" i="26"/>
  <c r="M19" i="26"/>
  <c r="L19" i="26"/>
  <c r="K19" i="26"/>
  <c r="S18" i="26"/>
  <c r="Q18" i="26"/>
  <c r="P18" i="26"/>
  <c r="Y17" i="26"/>
  <c r="W17" i="26"/>
  <c r="V17" i="26"/>
  <c r="AD16" i="26"/>
  <c r="AD77" i="26" s="1"/>
  <c r="AC16" i="26"/>
  <c r="AC77" i="26" s="1"/>
  <c r="AB16" i="26"/>
  <c r="AB77" i="26" s="1"/>
  <c r="AA16" i="26"/>
  <c r="AA77" i="26" s="1"/>
  <c r="Z16" i="26"/>
  <c r="Z77" i="26" s="1"/>
  <c r="Y16" i="26"/>
  <c r="Y77" i="26" s="1"/>
  <c r="AD15" i="26"/>
  <c r="AC15" i="26"/>
  <c r="AB15" i="26"/>
  <c r="AA15" i="26"/>
  <c r="Z15" i="26"/>
  <c r="Y15" i="26"/>
  <c r="AD14" i="26"/>
  <c r="AD75" i="26" s="1"/>
  <c r="AC14" i="26"/>
  <c r="AC75" i="26" s="1"/>
  <c r="AB14" i="26"/>
  <c r="AB75" i="26" s="1"/>
  <c r="AA14" i="26"/>
  <c r="AA75" i="26" s="1"/>
  <c r="Z14" i="26"/>
  <c r="Z75" i="26" s="1"/>
  <c r="Y14" i="26"/>
  <c r="Y75" i="26" s="1"/>
  <c r="X14" i="26"/>
  <c r="X75" i="26" s="1"/>
  <c r="W14" i="26"/>
  <c r="W75" i="26" s="1"/>
  <c r="V14" i="26"/>
  <c r="V75" i="26" s="1"/>
  <c r="U14" i="26"/>
  <c r="U75" i="26" s="1"/>
  <c r="T14" i="26"/>
  <c r="T75" i="26" s="1"/>
  <c r="S14" i="26"/>
  <c r="R14" i="26"/>
  <c r="R75" i="26" s="1"/>
  <c r="Q14" i="26"/>
  <c r="Q75" i="26" s="1"/>
  <c r="P14" i="26"/>
  <c r="O14" i="26"/>
  <c r="O75" i="26" s="1"/>
  <c r="N14" i="26"/>
  <c r="N75" i="26" s="1"/>
  <c r="M14" i="26"/>
  <c r="L14" i="26"/>
  <c r="L75" i="26" s="1"/>
  <c r="K14" i="26"/>
  <c r="K75" i="26" s="1"/>
  <c r="J14" i="26"/>
  <c r="D46" i="26" s="1"/>
  <c r="E46" i="26" s="1"/>
  <c r="Z13" i="26"/>
  <c r="W13" i="26"/>
  <c r="W81" i="26" s="1"/>
  <c r="T13" i="26"/>
  <c r="S13" i="26"/>
  <c r="S81" i="26" s="1"/>
  <c r="R13" i="26"/>
  <c r="R81" i="26" s="1"/>
  <c r="Q13" i="26"/>
  <c r="Q81" i="26" s="1"/>
  <c r="P13" i="26"/>
  <c r="O13" i="26"/>
  <c r="O81" i="26" s="1"/>
  <c r="N13" i="26"/>
  <c r="M13" i="26"/>
  <c r="L13" i="26"/>
  <c r="L81" i="26" s="1"/>
  <c r="K13" i="26"/>
  <c r="K81" i="26" s="1"/>
  <c r="J13" i="26"/>
  <c r="AP12" i="26"/>
  <c r="J12" i="26"/>
  <c r="AC11" i="26"/>
  <c r="AB11" i="26"/>
  <c r="Y11" i="26"/>
  <c r="V11" i="26"/>
  <c r="U11" i="26"/>
  <c r="I11" i="26"/>
  <c r="I20" i="26" s="1"/>
  <c r="I78" i="26" s="1"/>
  <c r="I73" i="26" s="1"/>
  <c r="I57" i="20" s="1"/>
  <c r="AD10" i="26"/>
  <c r="AC10" i="26"/>
  <c r="AB10" i="26"/>
  <c r="AA10" i="26"/>
  <c r="Z10" i="26"/>
  <c r="Y10" i="26"/>
  <c r="X10" i="26"/>
  <c r="X11" i="26" s="1"/>
  <c r="W10" i="26"/>
  <c r="W11" i="26" s="1"/>
  <c r="V10" i="26"/>
  <c r="U10" i="26"/>
  <c r="T10" i="26"/>
  <c r="S10" i="26"/>
  <c r="R10" i="26"/>
  <c r="Q10" i="26"/>
  <c r="P10" i="26"/>
  <c r="O10" i="26"/>
  <c r="N10" i="26"/>
  <c r="M10" i="26"/>
  <c r="L10" i="26"/>
  <c r="K10" i="26"/>
  <c r="J10" i="26"/>
  <c r="J11" i="26" s="1"/>
  <c r="J20" i="26" s="1"/>
  <c r="J78" i="26" s="1"/>
  <c r="I10" i="26"/>
  <c r="H10" i="26"/>
  <c r="G10" i="26"/>
  <c r="F10" i="26"/>
  <c r="E10" i="26"/>
  <c r="D10" i="26"/>
  <c r="AD9" i="26"/>
  <c r="AD11" i="26" s="1"/>
  <c r="AC9" i="26"/>
  <c r="AB9" i="26"/>
  <c r="AA9" i="26"/>
  <c r="AA11" i="26" s="1"/>
  <c r="Z9" i="26"/>
  <c r="Z11" i="26" s="1"/>
  <c r="Y9" i="26"/>
  <c r="X9" i="26"/>
  <c r="W9" i="26"/>
  <c r="V9" i="26"/>
  <c r="U9" i="26"/>
  <c r="T9" i="26"/>
  <c r="T11" i="26" s="1"/>
  <c r="S9" i="26"/>
  <c r="S11" i="26" s="1"/>
  <c r="R9" i="26"/>
  <c r="R11" i="26" s="1"/>
  <c r="Q9" i="26"/>
  <c r="Q11" i="26" s="1"/>
  <c r="P9" i="26"/>
  <c r="P11" i="26" s="1"/>
  <c r="O9" i="26"/>
  <c r="O11" i="26" s="1"/>
  <c r="N9" i="26"/>
  <c r="N11" i="26" s="1"/>
  <c r="M9" i="26"/>
  <c r="M11" i="26" s="1"/>
  <c r="L9" i="26"/>
  <c r="L11" i="26" s="1"/>
  <c r="L20" i="26" s="1"/>
  <c r="L78" i="26" s="1"/>
  <c r="K9" i="26"/>
  <c r="J9" i="26"/>
  <c r="I9" i="26"/>
  <c r="H9" i="26"/>
  <c r="H11" i="26" s="1"/>
  <c r="H20" i="26" s="1"/>
  <c r="H78" i="26" s="1"/>
  <c r="H73" i="26" s="1"/>
  <c r="H57" i="20" s="1"/>
  <c r="G9" i="26"/>
  <c r="G11" i="26" s="1"/>
  <c r="G20" i="26" s="1"/>
  <c r="F9" i="26"/>
  <c r="F11" i="26" s="1"/>
  <c r="F20" i="26" s="1"/>
  <c r="E9" i="26"/>
  <c r="E11" i="26" s="1"/>
  <c r="E20" i="26" s="1"/>
  <c r="D9" i="26"/>
  <c r="D11" i="26" s="1"/>
  <c r="D20" i="26" s="1"/>
  <c r="I20" i="74"/>
  <c r="H20" i="74"/>
  <c r="H19" i="74" s="1"/>
  <c r="F20" i="74"/>
  <c r="E20" i="74"/>
  <c r="F19" i="74"/>
  <c r="U18" i="74"/>
  <c r="T18" i="74"/>
  <c r="S18" i="74"/>
  <c r="R18" i="74"/>
  <c r="Q18" i="74"/>
  <c r="P18" i="74"/>
  <c r="O18" i="74"/>
  <c r="N18" i="74"/>
  <c r="M18" i="74"/>
  <c r="L18" i="74"/>
  <c r="K18" i="74"/>
  <c r="J18" i="74"/>
  <c r="I18" i="74"/>
  <c r="H18" i="74"/>
  <c r="G18" i="74"/>
  <c r="F18" i="74"/>
  <c r="E18" i="74"/>
  <c r="D18" i="74"/>
  <c r="U17" i="74"/>
  <c r="T17" i="74"/>
  <c r="S17" i="74"/>
  <c r="R17" i="74"/>
  <c r="Q17" i="74"/>
  <c r="P17" i="74"/>
  <c r="O17" i="74"/>
  <c r="N17" i="74"/>
  <c r="M17" i="74"/>
  <c r="L17" i="74"/>
  <c r="K17" i="74"/>
  <c r="J17" i="74"/>
  <c r="I17" i="74"/>
  <c r="H17" i="74"/>
  <c r="G17" i="74"/>
  <c r="F17" i="74"/>
  <c r="E17" i="74"/>
  <c r="D17" i="74"/>
  <c r="U16" i="74"/>
  <c r="T16" i="74"/>
  <c r="S16" i="74"/>
  <c r="R16" i="74"/>
  <c r="Q16" i="74"/>
  <c r="P16" i="74"/>
  <c r="O16" i="74"/>
  <c r="N16" i="74"/>
  <c r="M16" i="74"/>
  <c r="L16" i="74"/>
  <c r="K16" i="74"/>
  <c r="J16" i="74"/>
  <c r="I16" i="74"/>
  <c r="H16" i="74"/>
  <c r="G16" i="74"/>
  <c r="F16" i="74"/>
  <c r="E16" i="74"/>
  <c r="D16" i="74"/>
  <c r="U15" i="74"/>
  <c r="T15" i="74"/>
  <c r="S15" i="74"/>
  <c r="R15" i="74"/>
  <c r="Q15" i="74"/>
  <c r="P15" i="74"/>
  <c r="O15" i="74"/>
  <c r="N15" i="74"/>
  <c r="M15" i="74"/>
  <c r="L15" i="74"/>
  <c r="K15" i="74"/>
  <c r="K13" i="74" s="1"/>
  <c r="J15" i="74"/>
  <c r="J13" i="74" s="1"/>
  <c r="I15" i="74"/>
  <c r="I13" i="74" s="1"/>
  <c r="H15" i="74"/>
  <c r="G15" i="74"/>
  <c r="F15" i="74"/>
  <c r="E15" i="74"/>
  <c r="D15" i="74"/>
  <c r="U14" i="74"/>
  <c r="U13" i="74" s="1"/>
  <c r="T14" i="74"/>
  <c r="S14" i="74"/>
  <c r="R14" i="74"/>
  <c r="Q14" i="74"/>
  <c r="P14" i="74"/>
  <c r="O14" i="74"/>
  <c r="N14" i="74"/>
  <c r="M14" i="74"/>
  <c r="L14" i="74"/>
  <c r="L13" i="74" s="1"/>
  <c r="L20" i="74" s="1"/>
  <c r="K14" i="74"/>
  <c r="J14" i="74"/>
  <c r="I14" i="74"/>
  <c r="H14" i="74"/>
  <c r="G14" i="74"/>
  <c r="F14" i="74"/>
  <c r="E14" i="74"/>
  <c r="D14" i="74"/>
  <c r="T13" i="74"/>
  <c r="P13" i="74"/>
  <c r="O13" i="74"/>
  <c r="N13" i="74"/>
  <c r="N20" i="74" s="1"/>
  <c r="N19" i="74" s="1"/>
  <c r="U12" i="74"/>
  <c r="T12" i="74"/>
  <c r="S12" i="74"/>
  <c r="R12" i="74"/>
  <c r="Q12" i="74"/>
  <c r="P12" i="74"/>
  <c r="O12" i="74"/>
  <c r="N12" i="74"/>
  <c r="M12" i="74"/>
  <c r="L12" i="74"/>
  <c r="K12" i="74"/>
  <c r="J12" i="74"/>
  <c r="I12" i="74"/>
  <c r="H12" i="74"/>
  <c r="G12" i="74"/>
  <c r="F12" i="74"/>
  <c r="E12" i="74"/>
  <c r="D12" i="74"/>
  <c r="U11" i="74"/>
  <c r="T11" i="74"/>
  <c r="S11" i="74"/>
  <c r="R11" i="74"/>
  <c r="Q11" i="74"/>
  <c r="Q20" i="74" s="1"/>
  <c r="P11" i="74"/>
  <c r="O11" i="74"/>
  <c r="O20" i="74" s="1"/>
  <c r="N11" i="74"/>
  <c r="M11" i="74"/>
  <c r="L11" i="74"/>
  <c r="K11" i="74"/>
  <c r="J11" i="74"/>
  <c r="I11" i="74"/>
  <c r="H11" i="74"/>
  <c r="G11" i="74"/>
  <c r="F11" i="74"/>
  <c r="E11" i="74"/>
  <c r="E19" i="74" s="1"/>
  <c r="D11" i="74"/>
  <c r="AN24" i="25"/>
  <c r="AM24" i="25"/>
  <c r="AL24" i="25"/>
  <c r="AK24" i="25"/>
  <c r="AJ24" i="25"/>
  <c r="AI24" i="25"/>
  <c r="AH24" i="25"/>
  <c r="AG24" i="25"/>
  <c r="AF24" i="25"/>
  <c r="AE24" i="25"/>
  <c r="AD24" i="25"/>
  <c r="AE17" i="25" s="1"/>
  <c r="AF17" i="25" s="1"/>
  <c r="AG17" i="25" s="1"/>
  <c r="AH17" i="25" s="1"/>
  <c r="AI17" i="25" s="1"/>
  <c r="AJ17" i="25" s="1"/>
  <c r="AK17" i="25" s="1"/>
  <c r="AL17" i="25" s="1"/>
  <c r="AM17" i="25" s="1"/>
  <c r="AN17" i="25" s="1"/>
  <c r="AC24" i="25"/>
  <c r="AB24" i="25"/>
  <c r="AA24" i="25"/>
  <c r="Z24" i="25"/>
  <c r="Y24" i="25"/>
  <c r="X24" i="25"/>
  <c r="R21" i="25"/>
  <c r="D21" i="25"/>
  <c r="AD20" i="25"/>
  <c r="AB20" i="25"/>
  <c r="AB14" i="75" s="1"/>
  <c r="AA20" i="25"/>
  <c r="Z20" i="25"/>
  <c r="F20" i="25"/>
  <c r="AD19" i="25"/>
  <c r="AC19" i="25"/>
  <c r="AB19" i="25"/>
  <c r="AA19" i="25"/>
  <c r="Z19" i="25"/>
  <c r="Y19" i="25"/>
  <c r="X19" i="25"/>
  <c r="W19" i="25"/>
  <c r="V19" i="25"/>
  <c r="U19" i="25"/>
  <c r="T19" i="25"/>
  <c r="S19" i="25"/>
  <c r="R19" i="25"/>
  <c r="Q19" i="25"/>
  <c r="P19" i="25"/>
  <c r="O19" i="25"/>
  <c r="N19" i="25"/>
  <c r="M19" i="25"/>
  <c r="L19" i="25"/>
  <c r="K19" i="25"/>
  <c r="J19" i="25"/>
  <c r="I19" i="25"/>
  <c r="H19" i="25"/>
  <c r="G19" i="25"/>
  <c r="F19" i="25"/>
  <c r="E19" i="25"/>
  <c r="D19" i="25"/>
  <c r="AE18" i="25"/>
  <c r="AF18" i="25" s="1"/>
  <c r="AG18" i="25" s="1"/>
  <c r="AH18" i="25" s="1"/>
  <c r="AI18" i="25" s="1"/>
  <c r="AJ18" i="25" s="1"/>
  <c r="AK18" i="25" s="1"/>
  <c r="AL18" i="25" s="1"/>
  <c r="AM18" i="25" s="1"/>
  <c r="AN18" i="25" s="1"/>
  <c r="AD18" i="25"/>
  <c r="AC18" i="25"/>
  <c r="AB18" i="25"/>
  <c r="AA18" i="25"/>
  <c r="AA14" i="25" s="1"/>
  <c r="Z18" i="25"/>
  <c r="Y18" i="25"/>
  <c r="X18" i="25"/>
  <c r="W18" i="25"/>
  <c r="V18" i="25"/>
  <c r="U18" i="25"/>
  <c r="T18" i="25"/>
  <c r="S18" i="25"/>
  <c r="R18" i="25"/>
  <c r="Q18" i="25"/>
  <c r="P18" i="25"/>
  <c r="O18" i="25"/>
  <c r="N18" i="25"/>
  <c r="M18" i="25"/>
  <c r="L18" i="25"/>
  <c r="K18" i="25"/>
  <c r="J18" i="25"/>
  <c r="I18" i="25"/>
  <c r="H18" i="25"/>
  <c r="G18" i="25"/>
  <c r="F18" i="25"/>
  <c r="E18" i="25"/>
  <c r="D18" i="25"/>
  <c r="AD17" i="25"/>
  <c r="AC17" i="25"/>
  <c r="AB17" i="25"/>
  <c r="AA17" i="25"/>
  <c r="Z17" i="25"/>
  <c r="Y17" i="25"/>
  <c r="X17" i="25"/>
  <c r="W17" i="25"/>
  <c r="V17" i="25"/>
  <c r="U17" i="25"/>
  <c r="T17" i="25"/>
  <c r="T14" i="25" s="1"/>
  <c r="S17" i="25"/>
  <c r="R17" i="25"/>
  <c r="Q17" i="25"/>
  <c r="P17" i="25"/>
  <c r="O17" i="25"/>
  <c r="N17" i="25"/>
  <c r="M17" i="25"/>
  <c r="L17" i="25"/>
  <c r="K17" i="25"/>
  <c r="J17" i="25"/>
  <c r="I17" i="25"/>
  <c r="H17" i="25"/>
  <c r="G17" i="25"/>
  <c r="F17" i="25"/>
  <c r="E17" i="25"/>
  <c r="D17" i="25"/>
  <c r="AD16" i="25"/>
  <c r="AE16" i="25" s="1"/>
  <c r="AF16" i="25" s="1"/>
  <c r="AG16" i="25" s="1"/>
  <c r="AH16" i="25" s="1"/>
  <c r="AI16" i="25" s="1"/>
  <c r="AJ16" i="25" s="1"/>
  <c r="AK16" i="25" s="1"/>
  <c r="AL16" i="25" s="1"/>
  <c r="AM16" i="25" s="1"/>
  <c r="AN16" i="25" s="1"/>
  <c r="AC16" i="25"/>
  <c r="AB16" i="25"/>
  <c r="AA16" i="25"/>
  <c r="Z16" i="25"/>
  <c r="Y16" i="25"/>
  <c r="X16" i="25"/>
  <c r="W16" i="25"/>
  <c r="V16" i="25"/>
  <c r="U16" i="25"/>
  <c r="T16" i="25"/>
  <c r="S16" i="25"/>
  <c r="R16" i="25"/>
  <c r="Q16" i="25"/>
  <c r="P16" i="25"/>
  <c r="O16" i="25"/>
  <c r="N16" i="25"/>
  <c r="M16" i="25"/>
  <c r="L16" i="25"/>
  <c r="K16" i="25"/>
  <c r="J16" i="25"/>
  <c r="I16" i="25"/>
  <c r="H16" i="25"/>
  <c r="G16" i="25"/>
  <c r="F16" i="25"/>
  <c r="E16" i="25"/>
  <c r="D16" i="25"/>
  <c r="AD15" i="25"/>
  <c r="AC15" i="25"/>
  <c r="AB15" i="25"/>
  <c r="AA15" i="25"/>
  <c r="Z15" i="25"/>
  <c r="Z14" i="25" s="1"/>
  <c r="Y15" i="25"/>
  <c r="X15" i="25"/>
  <c r="W15" i="25"/>
  <c r="W14" i="25" s="1"/>
  <c r="V15" i="25"/>
  <c r="V14" i="25" s="1"/>
  <c r="U15" i="25"/>
  <c r="T15" i="25"/>
  <c r="S15" i="25"/>
  <c r="R15" i="25"/>
  <c r="R14" i="25" s="1"/>
  <c r="Q15" i="25"/>
  <c r="P15" i="25"/>
  <c r="O15" i="25"/>
  <c r="N15" i="25"/>
  <c r="M15" i="25"/>
  <c r="L15" i="25"/>
  <c r="K15" i="25"/>
  <c r="J15" i="25"/>
  <c r="I15" i="25"/>
  <c r="I14" i="25" s="1"/>
  <c r="H15" i="25"/>
  <c r="H14" i="25" s="1"/>
  <c r="G15" i="25"/>
  <c r="F15" i="25"/>
  <c r="E15" i="25"/>
  <c r="D15" i="25"/>
  <c r="AD14" i="25"/>
  <c r="Y14" i="25"/>
  <c r="X14" i="25"/>
  <c r="S14" i="25"/>
  <c r="O14" i="25"/>
  <c r="L14" i="25"/>
  <c r="L21" i="25" s="1"/>
  <c r="K14" i="25"/>
  <c r="J14" i="25"/>
  <c r="AD13" i="25"/>
  <c r="AE13" i="25" s="1"/>
  <c r="AC13" i="25"/>
  <c r="AB13" i="25"/>
  <c r="AA13" i="25"/>
  <c r="Z13" i="25"/>
  <c r="Y13" i="25"/>
  <c r="X13" i="25"/>
  <c r="W13" i="25"/>
  <c r="V13" i="25"/>
  <c r="U13" i="25"/>
  <c r="T13" i="25"/>
  <c r="S13" i="25"/>
  <c r="R13" i="25"/>
  <c r="Q13" i="25"/>
  <c r="P13" i="25"/>
  <c r="O13" i="25"/>
  <c r="N13" i="25"/>
  <c r="M13" i="25"/>
  <c r="L13" i="25"/>
  <c r="K13" i="25"/>
  <c r="J13" i="25"/>
  <c r="I13" i="25"/>
  <c r="H13" i="25"/>
  <c r="G13" i="25"/>
  <c r="F13" i="25"/>
  <c r="E13" i="25"/>
  <c r="D13" i="25"/>
  <c r="AD11" i="25"/>
  <c r="AC11" i="25"/>
  <c r="AC20" i="25" s="1"/>
  <c r="AB11" i="25"/>
  <c r="AA11" i="25"/>
  <c r="Z11" i="25"/>
  <c r="Y11" i="25"/>
  <c r="X11" i="25"/>
  <c r="W11" i="25"/>
  <c r="V11" i="25"/>
  <c r="U11" i="25"/>
  <c r="T11" i="25"/>
  <c r="S11" i="25"/>
  <c r="R11" i="25"/>
  <c r="Q11" i="25"/>
  <c r="Q21" i="25" s="1"/>
  <c r="P11" i="25"/>
  <c r="O11" i="25"/>
  <c r="N11" i="25"/>
  <c r="M11" i="25"/>
  <c r="L11" i="25"/>
  <c r="K11" i="25"/>
  <c r="J11" i="25"/>
  <c r="I11" i="25"/>
  <c r="H11" i="25"/>
  <c r="H21" i="25" s="1"/>
  <c r="H20" i="25" s="1"/>
  <c r="G11" i="25"/>
  <c r="G21" i="25" s="1"/>
  <c r="G20" i="25" s="1"/>
  <c r="F11" i="25"/>
  <c r="F21" i="25" s="1"/>
  <c r="E11" i="25"/>
  <c r="E21" i="25" s="1"/>
  <c r="D11" i="25"/>
  <c r="D20" i="25" s="1"/>
  <c r="O14" i="56"/>
  <c r="O13" i="56"/>
  <c r="O12" i="56"/>
  <c r="O11" i="56"/>
  <c r="O10" i="56"/>
  <c r="O9" i="56"/>
  <c r="O8" i="56"/>
  <c r="O7" i="56"/>
  <c r="O6" i="56"/>
  <c r="O5" i="56"/>
  <c r="O4" i="56"/>
  <c r="O3" i="56"/>
  <c r="D2" i="56"/>
  <c r="E2" i="56" s="1"/>
  <c r="F2" i="56" s="1"/>
  <c r="G2" i="56" s="1"/>
  <c r="H2" i="56" s="1"/>
  <c r="I2" i="56" s="1"/>
  <c r="J2" i="56" s="1"/>
  <c r="K2" i="56" s="1"/>
  <c r="L2" i="56" s="1"/>
  <c r="M2" i="56" s="1"/>
  <c r="N2" i="56" s="1"/>
  <c r="F122" i="55"/>
  <c r="E122" i="55"/>
  <c r="E80" i="55"/>
  <c r="J79" i="55"/>
  <c r="I79" i="55"/>
  <c r="H79" i="55"/>
  <c r="E112" i="55"/>
  <c r="K106" i="55"/>
  <c r="F106" i="55"/>
  <c r="AK95" i="80"/>
  <c r="AJ95" i="80"/>
  <c r="AI95" i="80"/>
  <c r="AH95" i="80"/>
  <c r="AG95" i="80"/>
  <c r="AF95" i="80"/>
  <c r="AE95" i="80"/>
  <c r="AD95" i="80"/>
  <c r="AC95" i="80"/>
  <c r="AB95" i="80"/>
  <c r="AK94" i="80"/>
  <c r="AJ94" i="80"/>
  <c r="AH93" i="80"/>
  <c r="AG93" i="80"/>
  <c r="AF93" i="80"/>
  <c r="AE93" i="80"/>
  <c r="AD93" i="80"/>
  <c r="AC93" i="80"/>
  <c r="AB93" i="80"/>
  <c r="AB94" i="80" s="1"/>
  <c r="AK88" i="80"/>
  <c r="AJ88" i="80"/>
  <c r="AH88" i="80"/>
  <c r="AG88" i="80"/>
  <c r="AF88" i="80"/>
  <c r="AE88" i="80"/>
  <c r="AD88" i="80"/>
  <c r="AC88" i="80"/>
  <c r="AB88" i="80"/>
  <c r="AA88" i="80"/>
  <c r="Z88" i="80"/>
  <c r="Y88" i="80"/>
  <c r="X88" i="80"/>
  <c r="W88" i="80"/>
  <c r="V88" i="80"/>
  <c r="U88" i="80"/>
  <c r="T88" i="80"/>
  <c r="S88" i="80"/>
  <c r="R88" i="80"/>
  <c r="Q88" i="80"/>
  <c r="P88" i="80"/>
  <c r="O88" i="80"/>
  <c r="N88" i="80"/>
  <c r="M88" i="80"/>
  <c r="L88" i="80"/>
  <c r="K88" i="80"/>
  <c r="J88" i="80"/>
  <c r="I88" i="80"/>
  <c r="H88" i="80"/>
  <c r="G88" i="80"/>
  <c r="F88" i="80"/>
  <c r="E88" i="80"/>
  <c r="D88" i="80"/>
  <c r="C88" i="80"/>
  <c r="I32" i="55"/>
  <c r="I129" i="55" s="1"/>
  <c r="H32" i="55"/>
  <c r="H129" i="55" s="1"/>
  <c r="G32" i="55"/>
  <c r="G129" i="55" s="1"/>
  <c r="F32" i="55"/>
  <c r="F129" i="55" s="1"/>
  <c r="E32" i="55"/>
  <c r="E97" i="55" s="1"/>
  <c r="I31" i="55"/>
  <c r="I96" i="55" s="1"/>
  <c r="H31" i="55"/>
  <c r="H96" i="55" s="1"/>
  <c r="G31" i="55"/>
  <c r="F31" i="55"/>
  <c r="E31" i="55"/>
  <c r="E128" i="55" s="1"/>
  <c r="I30" i="55"/>
  <c r="I127" i="55" s="1"/>
  <c r="H30" i="55"/>
  <c r="H127" i="55" s="1"/>
  <c r="G30" i="55"/>
  <c r="G95" i="55" s="1"/>
  <c r="F30" i="55"/>
  <c r="F95" i="55" s="1"/>
  <c r="E30" i="55"/>
  <c r="K29" i="55"/>
  <c r="K94" i="55" s="1"/>
  <c r="H29" i="55"/>
  <c r="K28" i="55"/>
  <c r="K125" i="55" s="1"/>
  <c r="J28" i="55"/>
  <c r="J125" i="55" s="1"/>
  <c r="I28" i="55"/>
  <c r="I93" i="55" s="1"/>
  <c r="H28" i="55"/>
  <c r="H93" i="55" s="1"/>
  <c r="G28" i="55"/>
  <c r="F28" i="55"/>
  <c r="F125" i="55" s="1"/>
  <c r="E28" i="55"/>
  <c r="E125" i="55" s="1"/>
  <c r="K122" i="55"/>
  <c r="I122" i="55"/>
  <c r="H122" i="55"/>
  <c r="C25" i="55"/>
  <c r="B25" i="55"/>
  <c r="C24" i="55"/>
  <c r="B24" i="55"/>
  <c r="C23" i="55"/>
  <c r="B23" i="55"/>
  <c r="C22" i="55"/>
  <c r="B22" i="55"/>
  <c r="C21" i="55"/>
  <c r="B21" i="55"/>
  <c r="C20" i="55"/>
  <c r="B20" i="55"/>
  <c r="C19" i="55"/>
  <c r="B19" i="55"/>
  <c r="C18" i="55"/>
  <c r="B18" i="55"/>
  <c r="C17" i="55"/>
  <c r="B17" i="55"/>
  <c r="K113" i="55"/>
  <c r="H113" i="55"/>
  <c r="G113" i="55"/>
  <c r="F80" i="55"/>
  <c r="C16" i="55"/>
  <c r="B16" i="55"/>
  <c r="C15" i="55"/>
  <c r="B15" i="55"/>
  <c r="C14" i="55"/>
  <c r="B14" i="55"/>
  <c r="C13" i="55"/>
  <c r="B13" i="55"/>
  <c r="C12" i="55"/>
  <c r="B12" i="55"/>
  <c r="K108" i="55"/>
  <c r="I108" i="55"/>
  <c r="F108" i="55"/>
  <c r="C11" i="55"/>
  <c r="B11" i="55"/>
  <c r="C10" i="55"/>
  <c r="B10" i="55"/>
  <c r="C9" i="55"/>
  <c r="B9" i="55"/>
  <c r="C8" i="55"/>
  <c r="B8" i="55"/>
  <c r="J104" i="55"/>
  <c r="I104" i="55"/>
  <c r="H104" i="55"/>
  <c r="G71" i="55"/>
  <c r="C7" i="55"/>
  <c r="B7" i="55"/>
  <c r="C6" i="55"/>
  <c r="B6" i="55"/>
  <c r="C5" i="55"/>
  <c r="B5" i="55"/>
  <c r="C4" i="55"/>
  <c r="B4" i="55"/>
  <c r="C3" i="55"/>
  <c r="B3" i="55"/>
  <c r="G6" i="71"/>
  <c r="F6" i="71"/>
  <c r="E6" i="71"/>
  <c r="D6" i="71"/>
  <c r="C6" i="71"/>
  <c r="G5" i="71"/>
  <c r="F5" i="71"/>
  <c r="E5" i="71"/>
  <c r="D5" i="71"/>
  <c r="C5" i="71"/>
  <c r="G4" i="71"/>
  <c r="F4" i="71"/>
  <c r="E4" i="71"/>
  <c r="D4" i="71"/>
  <c r="C4" i="71"/>
  <c r="J3" i="71"/>
  <c r="I3" i="71"/>
  <c r="F3" i="71"/>
  <c r="J2" i="71"/>
  <c r="I2" i="71"/>
  <c r="H2" i="71"/>
  <c r="G2" i="71"/>
  <c r="F2" i="71"/>
  <c r="E2" i="71"/>
  <c r="C2" i="71"/>
  <c r="W11" i="50"/>
  <c r="V11" i="50"/>
  <c r="U11" i="50"/>
  <c r="T11" i="50"/>
  <c r="S11" i="50"/>
  <c r="R11" i="50"/>
  <c r="Q11" i="50"/>
  <c r="P11" i="50"/>
  <c r="O11" i="50"/>
  <c r="N11" i="50"/>
  <c r="M11" i="50"/>
  <c r="L11" i="50"/>
  <c r="K11" i="50"/>
  <c r="J11" i="50"/>
  <c r="I11" i="50"/>
  <c r="H11" i="50"/>
  <c r="G11" i="50"/>
  <c r="F11" i="50"/>
  <c r="E11" i="50"/>
  <c r="D11" i="50"/>
  <c r="W10" i="50"/>
  <c r="V10" i="50"/>
  <c r="U10" i="50"/>
  <c r="T10" i="50"/>
  <c r="S10" i="50"/>
  <c r="R10" i="50"/>
  <c r="Q10" i="50"/>
  <c r="P10" i="50"/>
  <c r="O10" i="50"/>
  <c r="N10" i="50"/>
  <c r="M10" i="50"/>
  <c r="L10" i="50"/>
  <c r="K10" i="50"/>
  <c r="W9" i="50"/>
  <c r="V9" i="50"/>
  <c r="S9" i="50"/>
  <c r="R9" i="50"/>
  <c r="Q9" i="50"/>
  <c r="L9" i="50"/>
  <c r="K9" i="50"/>
  <c r="J9" i="50"/>
  <c r="I9" i="50"/>
  <c r="H9" i="50"/>
  <c r="G9" i="50"/>
  <c r="F9" i="50"/>
  <c r="E9" i="50"/>
  <c r="D9" i="50"/>
  <c r="W8" i="50"/>
  <c r="V8" i="50"/>
  <c r="U8" i="50"/>
  <c r="T8" i="50"/>
  <c r="S8" i="50"/>
  <c r="R8" i="50"/>
  <c r="Q8" i="50"/>
  <c r="P8" i="50"/>
  <c r="O8" i="50"/>
  <c r="N8" i="50"/>
  <c r="W7" i="50"/>
  <c r="V7" i="50"/>
  <c r="U7" i="50"/>
  <c r="T7" i="50"/>
  <c r="S7" i="50"/>
  <c r="R7" i="50"/>
  <c r="Q7" i="50"/>
  <c r="P7" i="50"/>
  <c r="O7" i="50"/>
  <c r="N7" i="50"/>
  <c r="M7" i="50"/>
  <c r="L7" i="50"/>
  <c r="K7" i="50"/>
  <c r="J7" i="50"/>
  <c r="I7" i="50"/>
  <c r="H7" i="50"/>
  <c r="G7" i="50"/>
  <c r="F7" i="50"/>
  <c r="E7" i="50"/>
  <c r="D7" i="50"/>
  <c r="T6" i="50"/>
  <c r="O6" i="50"/>
  <c r="L6" i="50"/>
  <c r="I6" i="50"/>
  <c r="H6" i="50"/>
  <c r="F6" i="50"/>
  <c r="E6" i="50"/>
  <c r="D6" i="50"/>
  <c r="M4" i="50"/>
  <c r="E4" i="50"/>
  <c r="D4" i="50"/>
  <c r="E81" i="46"/>
  <c r="F81" i="46" s="1"/>
  <c r="G81" i="46" s="1"/>
  <c r="C81" i="46"/>
  <c r="F80" i="46"/>
  <c r="G80" i="46" s="1"/>
  <c r="E80" i="46"/>
  <c r="C80" i="46"/>
  <c r="F79" i="46"/>
  <c r="G79" i="46" s="1"/>
  <c r="E79" i="46"/>
  <c r="C79" i="46"/>
  <c r="G78" i="46"/>
  <c r="F78" i="46"/>
  <c r="E78" i="46"/>
  <c r="C78" i="46"/>
  <c r="E77" i="46"/>
  <c r="F77" i="46" s="1"/>
  <c r="G77" i="46" s="1"/>
  <c r="C77" i="46"/>
  <c r="E76" i="46"/>
  <c r="F76" i="46" s="1"/>
  <c r="G76" i="46" s="1"/>
  <c r="C76" i="46"/>
  <c r="F75" i="46"/>
  <c r="G75" i="46" s="1"/>
  <c r="E75" i="46"/>
  <c r="C75" i="46"/>
  <c r="E74" i="46"/>
  <c r="F74" i="46" s="1"/>
  <c r="G74" i="46" s="1"/>
  <c r="C74" i="46"/>
  <c r="E73" i="46"/>
  <c r="F73" i="46" s="1"/>
  <c r="G73" i="46" s="1"/>
  <c r="C73" i="46"/>
  <c r="E72" i="46"/>
  <c r="F72" i="46" s="1"/>
  <c r="G72" i="46" s="1"/>
  <c r="C72" i="46"/>
  <c r="F71" i="46"/>
  <c r="G71" i="46" s="1"/>
  <c r="E71" i="46"/>
  <c r="C71" i="46"/>
  <c r="E70" i="46"/>
  <c r="F70" i="46" s="1"/>
  <c r="G70" i="46" s="1"/>
  <c r="C70" i="46"/>
  <c r="F69" i="46"/>
  <c r="G69" i="46" s="1"/>
  <c r="E69" i="46"/>
  <c r="C69" i="46"/>
  <c r="F68" i="46"/>
  <c r="G68" i="46" s="1"/>
  <c r="E68" i="46"/>
  <c r="C68" i="46"/>
  <c r="E67" i="46"/>
  <c r="F67" i="46" s="1"/>
  <c r="G67" i="46" s="1"/>
  <c r="C67" i="46"/>
  <c r="E66" i="46"/>
  <c r="F66" i="46" s="1"/>
  <c r="G66" i="46" s="1"/>
  <c r="C66" i="46"/>
  <c r="F65" i="46"/>
  <c r="G65" i="46" s="1"/>
  <c r="E65" i="46"/>
  <c r="C65" i="46"/>
  <c r="F64" i="46"/>
  <c r="G64" i="46" s="1"/>
  <c r="E64" i="46"/>
  <c r="C64" i="46"/>
  <c r="G63" i="46"/>
  <c r="F63" i="46"/>
  <c r="E63" i="46"/>
  <c r="C63" i="46"/>
  <c r="E62" i="46"/>
  <c r="F62" i="46" s="1"/>
  <c r="G62" i="46" s="1"/>
  <c r="C62" i="46"/>
  <c r="E61" i="46"/>
  <c r="F61" i="46" s="1"/>
  <c r="G61" i="46" s="1"/>
  <c r="C61" i="46"/>
  <c r="E60" i="46"/>
  <c r="F60" i="46" s="1"/>
  <c r="G60" i="46" s="1"/>
  <c r="C60" i="46"/>
  <c r="G59" i="46"/>
  <c r="F59" i="46"/>
  <c r="E59" i="46"/>
  <c r="C59" i="46"/>
  <c r="E58" i="46"/>
  <c r="F58" i="46" s="1"/>
  <c r="G58" i="46" s="1"/>
  <c r="C58" i="46"/>
  <c r="E57" i="46"/>
  <c r="F57" i="46" s="1"/>
  <c r="C57" i="46"/>
  <c r="F56" i="46"/>
  <c r="G56" i="46" s="1"/>
  <c r="E56" i="46"/>
  <c r="C56" i="46"/>
  <c r="E55" i="46"/>
  <c r="F55" i="46" s="1"/>
  <c r="G55" i="46" s="1"/>
  <c r="C55" i="46"/>
  <c r="F54" i="46"/>
  <c r="G54" i="46" s="1"/>
  <c r="E54" i="46"/>
  <c r="C54" i="46"/>
  <c r="E53" i="46"/>
  <c r="F53" i="46" s="1"/>
  <c r="G53" i="46" s="1"/>
  <c r="C53" i="46"/>
  <c r="G52" i="46"/>
  <c r="F52" i="46"/>
  <c r="E52" i="46"/>
  <c r="C52" i="46"/>
  <c r="E51" i="46"/>
  <c r="F51" i="46" s="1"/>
  <c r="G51" i="46" s="1"/>
  <c r="C51" i="46"/>
  <c r="E50" i="46"/>
  <c r="F50" i="46" s="1"/>
  <c r="G50" i="46" s="1"/>
  <c r="C50" i="46"/>
  <c r="E49" i="46"/>
  <c r="F49" i="46" s="1"/>
  <c r="G49" i="46" s="1"/>
  <c r="C49" i="46"/>
  <c r="G48" i="46"/>
  <c r="F48" i="46"/>
  <c r="E48" i="46"/>
  <c r="C48" i="46"/>
  <c r="E47" i="46"/>
  <c r="F47" i="46" s="1"/>
  <c r="G47" i="46" s="1"/>
  <c r="C47" i="46"/>
  <c r="E46" i="46"/>
  <c r="F46" i="46" s="1"/>
  <c r="G46" i="46" s="1"/>
  <c r="C46" i="46"/>
  <c r="F45" i="46"/>
  <c r="G45" i="46" s="1"/>
  <c r="E45" i="46"/>
  <c r="C45" i="46"/>
  <c r="E44" i="46"/>
  <c r="F44" i="46" s="1"/>
  <c r="G44" i="46" s="1"/>
  <c r="C44" i="46"/>
  <c r="F43" i="46"/>
  <c r="G43" i="46" s="1"/>
  <c r="E43" i="46"/>
  <c r="C43" i="46"/>
  <c r="F42" i="46"/>
  <c r="G42" i="46" s="1"/>
  <c r="E42" i="46"/>
  <c r="C42" i="46"/>
  <c r="G41" i="46"/>
  <c r="F41" i="46"/>
  <c r="E41" i="46"/>
  <c r="C41" i="46"/>
  <c r="E40" i="46"/>
  <c r="F40" i="46" s="1"/>
  <c r="G40" i="46" s="1"/>
  <c r="C40" i="46"/>
  <c r="E39" i="46"/>
  <c r="F39" i="46" s="1"/>
  <c r="G39" i="46" s="1"/>
  <c r="C39" i="46"/>
  <c r="F38" i="46"/>
  <c r="G38" i="46" s="1"/>
  <c r="E38" i="46"/>
  <c r="C38" i="46"/>
  <c r="E37" i="46"/>
  <c r="F37" i="46" s="1"/>
  <c r="G37" i="46" s="1"/>
  <c r="C37" i="46"/>
  <c r="F36" i="46"/>
  <c r="G36" i="46" s="1"/>
  <c r="E36" i="46"/>
  <c r="C36" i="46"/>
  <c r="F35" i="46"/>
  <c r="G35" i="46" s="1"/>
  <c r="E35" i="46"/>
  <c r="C35" i="46"/>
  <c r="G34" i="46"/>
  <c r="F34" i="46"/>
  <c r="E34" i="46"/>
  <c r="C34" i="46"/>
  <c r="E33" i="46"/>
  <c r="F33" i="46" s="1"/>
  <c r="G33" i="46" s="1"/>
  <c r="C33" i="46"/>
  <c r="E32" i="46"/>
  <c r="F32" i="46" s="1"/>
  <c r="G32" i="46" s="1"/>
  <c r="C32" i="46"/>
  <c r="F31" i="46"/>
  <c r="G31" i="46" s="1"/>
  <c r="E31" i="46"/>
  <c r="G30" i="46"/>
  <c r="F30" i="46"/>
  <c r="E30" i="46"/>
  <c r="E29" i="46"/>
  <c r="F29" i="46" s="1"/>
  <c r="G29" i="46" s="1"/>
  <c r="E28" i="46"/>
  <c r="F28" i="46" s="1"/>
  <c r="G28" i="46" s="1"/>
  <c r="F27" i="46"/>
  <c r="G27" i="46" s="1"/>
  <c r="E27" i="46"/>
  <c r="C27" i="46"/>
  <c r="G26" i="46"/>
  <c r="F26" i="46"/>
  <c r="E26" i="46"/>
  <c r="C26" i="46"/>
  <c r="E25" i="46"/>
  <c r="F25" i="46" s="1"/>
  <c r="G25" i="46" s="1"/>
  <c r="C25" i="46"/>
  <c r="E24" i="46"/>
  <c r="F24" i="46" s="1"/>
  <c r="G24" i="46" s="1"/>
  <c r="C24" i="46"/>
  <c r="F23" i="46"/>
  <c r="G23" i="46" s="1"/>
  <c r="E23" i="46"/>
  <c r="C23" i="46"/>
  <c r="E22" i="46"/>
  <c r="F22" i="46" s="1"/>
  <c r="G22" i="46" s="1"/>
  <c r="C22" i="46"/>
  <c r="F21" i="46"/>
  <c r="G21" i="46" s="1"/>
  <c r="E21" i="46"/>
  <c r="C21" i="46"/>
  <c r="F20" i="46"/>
  <c r="G20" i="46" s="1"/>
  <c r="E20" i="46"/>
  <c r="C20" i="46"/>
  <c r="F19" i="46"/>
  <c r="G19" i="46" s="1"/>
  <c r="E19" i="46"/>
  <c r="C19" i="46"/>
  <c r="E18" i="46"/>
  <c r="F18" i="46" s="1"/>
  <c r="G18" i="46" s="1"/>
  <c r="C18" i="46"/>
  <c r="E17" i="46"/>
  <c r="F17" i="46" s="1"/>
  <c r="G17" i="46" s="1"/>
  <c r="C17" i="46"/>
  <c r="F16" i="46"/>
  <c r="G16" i="46" s="1"/>
  <c r="E16" i="46"/>
  <c r="C16" i="46"/>
  <c r="E15" i="46"/>
  <c r="F15" i="46" s="1"/>
  <c r="G15" i="46" s="1"/>
  <c r="C15" i="46"/>
  <c r="F14" i="46"/>
  <c r="G14" i="46" s="1"/>
  <c r="E14" i="46"/>
  <c r="C14" i="46"/>
  <c r="F13" i="46"/>
  <c r="G13" i="46" s="1"/>
  <c r="E13" i="46"/>
  <c r="C13" i="46"/>
  <c r="F12" i="46"/>
  <c r="G12" i="46" s="1"/>
  <c r="E12" i="46"/>
  <c r="C12" i="46"/>
  <c r="E11" i="46"/>
  <c r="F11" i="46" s="1"/>
  <c r="G11" i="46" s="1"/>
  <c r="C11" i="46"/>
  <c r="E10" i="46"/>
  <c r="F10" i="46" s="1"/>
  <c r="G10" i="46" s="1"/>
  <c r="C10" i="46"/>
  <c r="F9" i="46"/>
  <c r="G9" i="46" s="1"/>
  <c r="E9" i="46"/>
  <c r="C9" i="46"/>
  <c r="E8" i="46"/>
  <c r="F8" i="46" s="1"/>
  <c r="G8" i="46" s="1"/>
  <c r="C8" i="46"/>
  <c r="F7" i="46"/>
  <c r="G7" i="46" s="1"/>
  <c r="E7" i="46"/>
  <c r="C7" i="46"/>
  <c r="F6" i="46"/>
  <c r="G6" i="46" s="1"/>
  <c r="E6" i="46"/>
  <c r="C6" i="46"/>
  <c r="F5" i="46"/>
  <c r="G5" i="46" s="1"/>
  <c r="E5" i="46"/>
  <c r="C5" i="46"/>
  <c r="E4" i="46"/>
  <c r="F4" i="46" s="1"/>
  <c r="G4" i="46" s="1"/>
  <c r="C4" i="46"/>
  <c r="E3" i="46"/>
  <c r="F3" i="46" s="1"/>
  <c r="G3" i="46" s="1"/>
  <c r="C3" i="46"/>
  <c r="C2" i="46"/>
  <c r="N23" i="74"/>
  <c r="U24" i="25"/>
  <c r="M23" i="74"/>
  <c r="T24" i="25"/>
  <c r="U23" i="74"/>
  <c r="T23" i="74"/>
  <c r="S24" i="25"/>
  <c r="S23" i="74"/>
  <c r="R24" i="25"/>
  <c r="R23" i="74"/>
  <c r="Q24" i="25"/>
  <c r="Q23" i="74"/>
  <c r="P24" i="25"/>
  <c r="P23" i="74"/>
  <c r="O24" i="25"/>
  <c r="O23" i="74"/>
  <c r="N24" i="25"/>
  <c r="M24" i="25"/>
  <c r="AO12" i="20" l="1"/>
  <c r="AG12" i="20"/>
  <c r="AH12" i="20"/>
  <c r="AJ12" i="20"/>
  <c r="AK12" i="20"/>
  <c r="AE12" i="20"/>
  <c r="AE14" i="20" s="1"/>
  <c r="C4" i="35" s="1"/>
  <c r="E6" i="55" s="1"/>
  <c r="E103" i="55" s="1"/>
  <c r="E113" i="55"/>
  <c r="F73" i="55"/>
  <c r="G97" i="55"/>
  <c r="X33" i="82"/>
  <c r="Z33" i="82"/>
  <c r="E64" i="82"/>
  <c r="E67" i="82" s="1"/>
  <c r="E30" i="82" s="1"/>
  <c r="E4" i="84"/>
  <c r="Y33" i="82"/>
  <c r="V33" i="82"/>
  <c r="AC33" i="82"/>
  <c r="W33" i="82"/>
  <c r="AB33" i="82"/>
  <c r="AA33" i="82"/>
  <c r="F89" i="55"/>
  <c r="H97" i="55"/>
  <c r="F113" i="55"/>
  <c r="E93" i="55"/>
  <c r="F93" i="55"/>
  <c r="J93" i="55"/>
  <c r="K126" i="55"/>
  <c r="K93" i="55"/>
  <c r="H128" i="55"/>
  <c r="I128" i="55"/>
  <c r="H95" i="55"/>
  <c r="I95" i="55"/>
  <c r="E96" i="55"/>
  <c r="F97" i="55"/>
  <c r="G106" i="55"/>
  <c r="G73" i="55"/>
  <c r="H106" i="55"/>
  <c r="H73" i="55"/>
  <c r="G112" i="55"/>
  <c r="G79" i="55"/>
  <c r="K73" i="55"/>
  <c r="F75" i="55"/>
  <c r="E108" i="55"/>
  <c r="G104" i="55"/>
  <c r="J112" i="55"/>
  <c r="I5" i="84"/>
  <c r="AE68" i="82"/>
  <c r="Q41" i="82"/>
  <c r="K3" i="84"/>
  <c r="K4" i="84"/>
  <c r="D64" i="82"/>
  <c r="D67" i="82" s="1"/>
  <c r="D30" i="82" s="1"/>
  <c r="O41" i="82"/>
  <c r="AD65" i="82"/>
  <c r="F41" i="82"/>
  <c r="K64" i="82"/>
  <c r="K67" i="82" s="1"/>
  <c r="K30" i="82" s="1"/>
  <c r="G64" i="82"/>
  <c r="G67" i="82" s="1"/>
  <c r="AB64" i="82"/>
  <c r="AB67" i="82" s="1"/>
  <c r="AB30" i="82" s="1"/>
  <c r="R41" i="82"/>
  <c r="I41" i="82"/>
  <c r="Z64" i="82"/>
  <c r="Z67" i="82" s="1"/>
  <c r="Z30" i="82" s="1"/>
  <c r="J41" i="82"/>
  <c r="AC64" i="82"/>
  <c r="AC67" i="82" s="1"/>
  <c r="AC30" i="82" s="1"/>
  <c r="H41" i="82"/>
  <c r="M64" i="82"/>
  <c r="M67" i="82" s="1"/>
  <c r="M30" i="82" s="1"/>
  <c r="T64" i="82"/>
  <c r="T67" i="82" s="1"/>
  <c r="T30" i="82" s="1"/>
  <c r="N64" i="82"/>
  <c r="N67" i="82" s="1"/>
  <c r="N30" i="82" s="1"/>
  <c r="H64" i="82"/>
  <c r="H67" i="82" s="1"/>
  <c r="H30" i="82" s="1"/>
  <c r="K41" i="82"/>
  <c r="M41" i="82"/>
  <c r="G41" i="82"/>
  <c r="P41" i="82"/>
  <c r="E41" i="82"/>
  <c r="I64" i="82"/>
  <c r="I67" i="82" s="1"/>
  <c r="V64" i="82"/>
  <c r="V67" i="82" s="1"/>
  <c r="V30" i="82" s="1"/>
  <c r="W64" i="82"/>
  <c r="W67" i="82" s="1"/>
  <c r="W30" i="82" s="1"/>
  <c r="AF25" i="82"/>
  <c r="AA66" i="82"/>
  <c r="AA64" i="82" s="1"/>
  <c r="AA67" i="82" s="1"/>
  <c r="AA30" i="82" s="1"/>
  <c r="AD25" i="82"/>
  <c r="AD66" i="82" s="1"/>
  <c r="AK51" i="82"/>
  <c r="AL51" i="82" s="1"/>
  <c r="AH25" i="82"/>
  <c r="S41" i="82"/>
  <c r="O66" i="82"/>
  <c r="O64" i="82" s="1"/>
  <c r="O67" i="82" s="1"/>
  <c r="O30" i="82" s="1"/>
  <c r="AI25" i="82"/>
  <c r="X66" i="82"/>
  <c r="X64" i="82" s="1"/>
  <c r="X67" i="82" s="1"/>
  <c r="X30" i="82" s="1"/>
  <c r="N41" i="82"/>
  <c r="AE25" i="82"/>
  <c r="AG25" i="82"/>
  <c r="L66" i="82"/>
  <c r="L64" i="82" s="1"/>
  <c r="L67" i="82" s="1"/>
  <c r="L30" i="82" s="1"/>
  <c r="Y66" i="82"/>
  <c r="Y64" i="82" s="1"/>
  <c r="Y67" i="82" s="1"/>
  <c r="Y30" i="82" s="1"/>
  <c r="R64" i="82"/>
  <c r="R67" i="82" s="1"/>
  <c r="R30" i="82" s="1"/>
  <c r="U64" i="82"/>
  <c r="U67" i="82" s="1"/>
  <c r="U30" i="82" s="1"/>
  <c r="P64" i="82"/>
  <c r="P67" i="82" s="1"/>
  <c r="P30" i="82" s="1"/>
  <c r="L41" i="82"/>
  <c r="Q64" i="82"/>
  <c r="Q67" i="82" s="1"/>
  <c r="Q30" i="82" s="1"/>
  <c r="S64" i="82"/>
  <c r="S67" i="82" s="1"/>
  <c r="S30" i="82" s="1"/>
  <c r="D30" i="59"/>
  <c r="I89" i="55"/>
  <c r="E89" i="55"/>
  <c r="U13" i="59"/>
  <c r="X13" i="59"/>
  <c r="G66" i="59"/>
  <c r="N30" i="59"/>
  <c r="G5" i="50" s="1"/>
  <c r="V13" i="59"/>
  <c r="AD13" i="59"/>
  <c r="R30" i="59"/>
  <c r="K5" i="50" s="1"/>
  <c r="Z13" i="59"/>
  <c r="AB13" i="59"/>
  <c r="P30" i="59"/>
  <c r="I5" i="50" s="1"/>
  <c r="S30" i="59"/>
  <c r="L5" i="50" s="1"/>
  <c r="Y13" i="59"/>
  <c r="AA13" i="59"/>
  <c r="AC13" i="59"/>
  <c r="S54" i="59"/>
  <c r="W13" i="59"/>
  <c r="AD94" i="80"/>
  <c r="AF94" i="80"/>
  <c r="AE94" i="80"/>
  <c r="AH94" i="80"/>
  <c r="AI94" i="80"/>
  <c r="P54" i="59"/>
  <c r="AD73" i="59"/>
  <c r="AA51" i="59"/>
  <c r="AA26" i="59" s="1"/>
  <c r="T54" i="59"/>
  <c r="V51" i="59"/>
  <c r="V26" i="59" s="1"/>
  <c r="J54" i="59"/>
  <c r="X51" i="59"/>
  <c r="X26" i="59" s="1"/>
  <c r="G81" i="55"/>
  <c r="G114" i="55"/>
  <c r="H81" i="55"/>
  <c r="H114" i="55"/>
  <c r="F81" i="55"/>
  <c r="F114" i="55"/>
  <c r="I114" i="55"/>
  <c r="I81" i="55"/>
  <c r="U56" i="59"/>
  <c r="L96" i="59"/>
  <c r="T51" i="59"/>
  <c r="T26" i="59" s="1"/>
  <c r="U54" i="59"/>
  <c r="M96" i="59"/>
  <c r="I51" i="59"/>
  <c r="I26" i="59" s="1"/>
  <c r="I66" i="59" s="1"/>
  <c r="W54" i="59"/>
  <c r="V54" i="59"/>
  <c r="J51" i="59"/>
  <c r="J26" i="59" s="1"/>
  <c r="J66" i="59" s="1"/>
  <c r="X54" i="59"/>
  <c r="Y51" i="59"/>
  <c r="Y26" i="59" s="1"/>
  <c r="Y54" i="59"/>
  <c r="K51" i="59"/>
  <c r="K26" i="59" s="1"/>
  <c r="K66" i="59" s="1"/>
  <c r="U51" i="59"/>
  <c r="U26" i="59" s="1"/>
  <c r="L54" i="59"/>
  <c r="Z54" i="59"/>
  <c r="AD54" i="59"/>
  <c r="L51" i="59"/>
  <c r="L26" i="59" s="1"/>
  <c r="L66" i="59" s="1"/>
  <c r="AA54" i="59"/>
  <c r="H66" i="59"/>
  <c r="W51" i="59"/>
  <c r="W26" i="59" s="1"/>
  <c r="AB14" i="59"/>
  <c r="I82" i="55"/>
  <c r="Z51" i="59"/>
  <c r="Z26" i="59" s="1"/>
  <c r="K82" i="55"/>
  <c r="K54" i="59"/>
  <c r="E30" i="59"/>
  <c r="H12" i="49"/>
  <c r="G12" i="49"/>
  <c r="Q12" i="49"/>
  <c r="P12" i="49"/>
  <c r="T12" i="49"/>
  <c r="U12" i="49"/>
  <c r="U28" i="49" s="1"/>
  <c r="U29" i="49" s="1"/>
  <c r="U26" i="49"/>
  <c r="T26" i="49"/>
  <c r="T45" i="75" s="1"/>
  <c r="T46" i="75" s="1"/>
  <c r="V12" i="49"/>
  <c r="Y12" i="49"/>
  <c r="Y28" i="49" s="1"/>
  <c r="Y29" i="49" s="1"/>
  <c r="Z12" i="49"/>
  <c r="Z28" i="49" s="1"/>
  <c r="Z29" i="49" s="1"/>
  <c r="N12" i="49"/>
  <c r="N28" i="49" s="1"/>
  <c r="N29" i="49" s="1"/>
  <c r="K12" i="49"/>
  <c r="K28" i="49" s="1"/>
  <c r="L12" i="49"/>
  <c r="AD12" i="49"/>
  <c r="AD28" i="49" s="1"/>
  <c r="V16" i="74"/>
  <c r="W16" i="74" s="1"/>
  <c r="X16" i="74" s="1"/>
  <c r="Y16" i="74" s="1"/>
  <c r="Z16" i="74" s="1"/>
  <c r="AA16" i="74" s="1"/>
  <c r="AB16" i="74" s="1"/>
  <c r="AC16" i="74" s="1"/>
  <c r="V17" i="74"/>
  <c r="W17" i="74" s="1"/>
  <c r="X17" i="74" s="1"/>
  <c r="Y17" i="74" s="1"/>
  <c r="Z17" i="74" s="1"/>
  <c r="AA17" i="74" s="1"/>
  <c r="AB17" i="74" s="1"/>
  <c r="AC17" i="74" s="1"/>
  <c r="J122" i="55"/>
  <c r="J89" i="55"/>
  <c r="G115" i="55"/>
  <c r="G82" i="55"/>
  <c r="K20" i="25"/>
  <c r="E78" i="55"/>
  <c r="E111" i="55"/>
  <c r="K81" i="55"/>
  <c r="K114" i="55"/>
  <c r="K79" i="55"/>
  <c r="K112" i="55"/>
  <c r="V12" i="74"/>
  <c r="F71" i="55"/>
  <c r="F104" i="55"/>
  <c r="L14" i="75"/>
  <c r="K69" i="38"/>
  <c r="K66" i="38"/>
  <c r="I113" i="55"/>
  <c r="I80" i="55"/>
  <c r="H126" i="55"/>
  <c r="H94" i="55"/>
  <c r="M13" i="74"/>
  <c r="M20" i="74" s="1"/>
  <c r="M19" i="74" s="1"/>
  <c r="J113" i="55"/>
  <c r="J80" i="55"/>
  <c r="E79" i="55"/>
  <c r="E129" i="55"/>
  <c r="J21" i="25"/>
  <c r="J20" i="25" s="1"/>
  <c r="H14" i="75"/>
  <c r="H14" i="59"/>
  <c r="C62" i="26"/>
  <c r="C49" i="26"/>
  <c r="E95" i="55"/>
  <c r="E127" i="55"/>
  <c r="I75" i="55"/>
  <c r="H80" i="55"/>
  <c r="K89" i="55"/>
  <c r="AC94" i="80"/>
  <c r="D20" i="74"/>
  <c r="D19" i="74" s="1"/>
  <c r="R13" i="74"/>
  <c r="R20" i="74" s="1"/>
  <c r="R19" i="74" s="1"/>
  <c r="D44" i="26"/>
  <c r="AO12" i="26"/>
  <c r="J108" i="55"/>
  <c r="J75" i="55"/>
  <c r="G14" i="75"/>
  <c r="G14" i="59"/>
  <c r="R14" i="75"/>
  <c r="R98" i="75" s="1"/>
  <c r="R14" i="59"/>
  <c r="E71" i="55"/>
  <c r="E104" i="55"/>
  <c r="V15" i="74"/>
  <c r="W15" i="74" s="1"/>
  <c r="X15" i="74" s="1"/>
  <c r="Y15" i="74" s="1"/>
  <c r="Z15" i="74" s="1"/>
  <c r="AA15" i="74" s="1"/>
  <c r="AB15" i="74" s="1"/>
  <c r="AC15" i="74" s="1"/>
  <c r="F112" i="55"/>
  <c r="F79" i="55"/>
  <c r="K104" i="55"/>
  <c r="K71" i="55"/>
  <c r="H115" i="55"/>
  <c r="H82" i="55"/>
  <c r="G80" i="55"/>
  <c r="Z14" i="75"/>
  <c r="Z15" i="59"/>
  <c r="Z14" i="59" s="1"/>
  <c r="Q19" i="74"/>
  <c r="AO19" i="26"/>
  <c r="J115" i="55"/>
  <c r="J82" i="55"/>
  <c r="H71" i="55"/>
  <c r="K75" i="55"/>
  <c r="K80" i="55"/>
  <c r="O21" i="25"/>
  <c r="P14" i="25"/>
  <c r="S13" i="74"/>
  <c r="I106" i="55"/>
  <c r="I73" i="55"/>
  <c r="G93" i="55"/>
  <c r="G125" i="55"/>
  <c r="I71" i="55"/>
  <c r="H112" i="55"/>
  <c r="I125" i="55"/>
  <c r="P21" i="25"/>
  <c r="AD15" i="59"/>
  <c r="AQ13" i="26"/>
  <c r="G122" i="55"/>
  <c r="G89" i="55"/>
  <c r="J106" i="55"/>
  <c r="J73" i="55"/>
  <c r="J71" i="55"/>
  <c r="I112" i="55"/>
  <c r="Q14" i="59"/>
  <c r="Q65" i="59" s="1"/>
  <c r="Q20" i="25"/>
  <c r="Q14" i="75" s="1"/>
  <c r="U20" i="74"/>
  <c r="V20" i="74" s="1"/>
  <c r="W20" i="74" s="1"/>
  <c r="X20" i="74" s="1"/>
  <c r="Y20" i="74" s="1"/>
  <c r="Z20" i="74" s="1"/>
  <c r="AA20" i="74" s="1"/>
  <c r="AB20" i="74" s="1"/>
  <c r="AC20" i="74" s="1"/>
  <c r="U19" i="74"/>
  <c r="J75" i="26"/>
  <c r="AO14" i="26"/>
  <c r="G108" i="55"/>
  <c r="G75" i="55"/>
  <c r="AG94" i="80"/>
  <c r="R20" i="25"/>
  <c r="AF13" i="25"/>
  <c r="AE15" i="25"/>
  <c r="AE14" i="25" s="1"/>
  <c r="AE11" i="25" s="1"/>
  <c r="AE20" i="25" s="1"/>
  <c r="W16" i="26"/>
  <c r="W77" i="26" s="1"/>
  <c r="F128" i="55"/>
  <c r="F96" i="55"/>
  <c r="U20" i="25"/>
  <c r="G128" i="55"/>
  <c r="G96" i="55"/>
  <c r="L19" i="74"/>
  <c r="K21" i="25"/>
  <c r="D14" i="75"/>
  <c r="D14" i="59"/>
  <c r="I19" i="74"/>
  <c r="S20" i="74"/>
  <c r="S19" i="74" s="1"/>
  <c r="G20" i="74"/>
  <c r="G19" i="74" s="1"/>
  <c r="N45" i="75"/>
  <c r="N46" i="75" s="1"/>
  <c r="N38" i="59"/>
  <c r="N39" i="59" s="1"/>
  <c r="AB45" i="75"/>
  <c r="AB38" i="59"/>
  <c r="AB28" i="49"/>
  <c r="AB29" i="49" s="1"/>
  <c r="J81" i="55"/>
  <c r="J114" i="55"/>
  <c r="P20" i="74"/>
  <c r="P19" i="74" s="1"/>
  <c r="H108" i="55"/>
  <c r="H75" i="55"/>
  <c r="F82" i="55"/>
  <c r="G127" i="55"/>
  <c r="U14" i="25"/>
  <c r="U21" i="25" s="1"/>
  <c r="I21" i="25"/>
  <c r="I20" i="25" s="1"/>
  <c r="J20" i="74"/>
  <c r="J19" i="74" s="1"/>
  <c r="T20" i="74"/>
  <c r="T19" i="74" s="1"/>
  <c r="K11" i="26"/>
  <c r="K20" i="26" s="1"/>
  <c r="K78" i="26" s="1"/>
  <c r="K73" i="26" s="1"/>
  <c r="O45" i="75"/>
  <c r="O46" i="75" s="1"/>
  <c r="O38" i="59"/>
  <c r="O39" i="59" s="1"/>
  <c r="P28" i="49"/>
  <c r="P29" i="49" s="1"/>
  <c r="I97" i="55"/>
  <c r="L20" i="25"/>
  <c r="L14" i="59" s="1"/>
  <c r="AA14" i="75"/>
  <c r="AA15" i="59"/>
  <c r="AA14" i="59" s="1"/>
  <c r="H13" i="74"/>
  <c r="L73" i="26"/>
  <c r="R32" i="26"/>
  <c r="R16" i="26" s="1"/>
  <c r="R77" i="26" s="1"/>
  <c r="O34" i="20"/>
  <c r="N34" i="20"/>
  <c r="N35" i="20"/>
  <c r="AC34" i="20"/>
  <c r="AB34" i="20"/>
  <c r="AL35" i="20"/>
  <c r="AM35" i="20" s="1"/>
  <c r="AN35" i="20" s="1"/>
  <c r="H89" i="55"/>
  <c r="H125" i="55"/>
  <c r="F127" i="55"/>
  <c r="K20" i="74"/>
  <c r="K19" i="74" s="1"/>
  <c r="T32" i="26"/>
  <c r="C51" i="26"/>
  <c r="M54" i="59"/>
  <c r="M51" i="59"/>
  <c r="M26" i="59" s="1"/>
  <c r="AC14" i="75"/>
  <c r="AC15" i="59"/>
  <c r="AC14" i="59" s="1"/>
  <c r="AC65" i="59" s="1"/>
  <c r="M14" i="25"/>
  <c r="M21" i="25" s="1"/>
  <c r="E45" i="26"/>
  <c r="AL12" i="20"/>
  <c r="AZ12" i="20"/>
  <c r="N14" i="25"/>
  <c r="N21" i="25" s="1"/>
  <c r="AB14" i="25"/>
  <c r="W17" i="20"/>
  <c r="V17" i="20"/>
  <c r="AC14" i="25"/>
  <c r="P20" i="25"/>
  <c r="J81" i="26"/>
  <c r="D45" i="26"/>
  <c r="U31" i="26"/>
  <c r="T31" i="26"/>
  <c r="R31" i="26"/>
  <c r="P31" i="26"/>
  <c r="P16" i="26" s="1"/>
  <c r="P77" i="26" s="1"/>
  <c r="N31" i="26"/>
  <c r="M31" i="26"/>
  <c r="M16" i="26" s="1"/>
  <c r="AA18" i="20"/>
  <c r="AD48" i="30"/>
  <c r="H13" i="30"/>
  <c r="H12" i="30" s="1"/>
  <c r="K15" i="30"/>
  <c r="AC45" i="75"/>
  <c r="AC38" i="59"/>
  <c r="V32" i="26"/>
  <c r="U32" i="26"/>
  <c r="U16" i="26" s="1"/>
  <c r="U77" i="26" s="1"/>
  <c r="S32" i="26"/>
  <c r="S16" i="26" s="1"/>
  <c r="S77" i="26" s="1"/>
  <c r="Q32" i="26"/>
  <c r="Q16" i="26" s="1"/>
  <c r="Q77" i="26" s="1"/>
  <c r="O32" i="26"/>
  <c r="O16" i="26" s="1"/>
  <c r="O77" i="26" s="1"/>
  <c r="N32" i="26"/>
  <c r="N16" i="26" s="1"/>
  <c r="N77" i="26" s="1"/>
  <c r="S13" i="33"/>
  <c r="Q13" i="33"/>
  <c r="R13" i="33"/>
  <c r="P13" i="33"/>
  <c r="E14" i="75"/>
  <c r="E14" i="59"/>
  <c r="S21" i="25"/>
  <c r="S31" i="26"/>
  <c r="I46" i="30"/>
  <c r="I12" i="30"/>
  <c r="O30" i="30"/>
  <c r="O29" i="30" s="1"/>
  <c r="N30" i="30"/>
  <c r="N29" i="30" s="1"/>
  <c r="X45" i="75"/>
  <c r="F14" i="75"/>
  <c r="F14" i="59"/>
  <c r="F65" i="59" s="1"/>
  <c r="T21" i="25"/>
  <c r="T20" i="25" s="1"/>
  <c r="AO29" i="26"/>
  <c r="V31" i="26"/>
  <c r="W31" i="26"/>
  <c r="E20" i="25"/>
  <c r="O19" i="74"/>
  <c r="X31" i="26"/>
  <c r="X16" i="26" s="1"/>
  <c r="X77" i="26" s="1"/>
  <c r="L46" i="30"/>
  <c r="L12" i="30"/>
  <c r="M26" i="49"/>
  <c r="M12" i="49"/>
  <c r="M28" i="49" s="1"/>
  <c r="AA45" i="75"/>
  <c r="AA28" i="49"/>
  <c r="AA29" i="49" s="1"/>
  <c r="AA38" i="59"/>
  <c r="X38" i="59"/>
  <c r="C47" i="26"/>
  <c r="AA94" i="26"/>
  <c r="J12" i="30"/>
  <c r="AA13" i="33"/>
  <c r="Z13" i="33"/>
  <c r="Y13" i="33"/>
  <c r="X13" i="33"/>
  <c r="N54" i="59"/>
  <c r="N51" i="59"/>
  <c r="N26" i="59" s="1"/>
  <c r="AB54" i="59"/>
  <c r="AB51" i="59"/>
  <c r="AB26" i="59" s="1"/>
  <c r="M30" i="26"/>
  <c r="AO30" i="26" s="1"/>
  <c r="AM94" i="26"/>
  <c r="AM56" i="20" s="1"/>
  <c r="AB94" i="26"/>
  <c r="AT12" i="20"/>
  <c r="Y17" i="20"/>
  <c r="K12" i="30"/>
  <c r="O30" i="26"/>
  <c r="AF94" i="26"/>
  <c r="V15" i="20"/>
  <c r="V18" i="20" s="1"/>
  <c r="U34" i="20"/>
  <c r="S45" i="75"/>
  <c r="S46" i="75" s="1"/>
  <c r="S38" i="59"/>
  <c r="S39" i="59" s="1"/>
  <c r="AG94" i="26"/>
  <c r="W15" i="20"/>
  <c r="H58" i="20"/>
  <c r="N17" i="75"/>
  <c r="N17" i="59"/>
  <c r="E25" i="33"/>
  <c r="AB17" i="75"/>
  <c r="AB17" i="59"/>
  <c r="I22" i="33"/>
  <c r="C43" i="26"/>
  <c r="AN94" i="26"/>
  <c r="AN56" i="20" s="1"/>
  <c r="X15" i="20"/>
  <c r="X18" i="20" s="1"/>
  <c r="V35" i="20"/>
  <c r="V34" i="20"/>
  <c r="AE12" i="30"/>
  <c r="AE15" i="30"/>
  <c r="AE13" i="30"/>
  <c r="H39" i="59"/>
  <c r="AD18" i="20"/>
  <c r="W35" i="20"/>
  <c r="W34" i="20"/>
  <c r="P46" i="30"/>
  <c r="AF15" i="30"/>
  <c r="AF13" i="30"/>
  <c r="AG17" i="30"/>
  <c r="S30" i="26"/>
  <c r="E44" i="26"/>
  <c r="T94" i="26"/>
  <c r="Z15" i="20"/>
  <c r="Z18" i="20" s="1"/>
  <c r="M15" i="30"/>
  <c r="M13" i="30"/>
  <c r="M12" i="30" s="1"/>
  <c r="I12" i="49"/>
  <c r="I28" i="49" s="1"/>
  <c r="I26" i="49"/>
  <c r="J12" i="49"/>
  <c r="J28" i="49" s="1"/>
  <c r="X12" i="49"/>
  <c r="X28" i="49" s="1"/>
  <c r="X29" i="49" s="1"/>
  <c r="F50" i="49"/>
  <c r="G50" i="49" s="1"/>
  <c r="H50" i="49" s="1"/>
  <c r="I50" i="49" s="1"/>
  <c r="AF12" i="20"/>
  <c r="BH12" i="20"/>
  <c r="Y35" i="20"/>
  <c r="Y34" i="20"/>
  <c r="J26" i="49"/>
  <c r="W45" i="75"/>
  <c r="W28" i="49"/>
  <c r="W29" i="49" s="1"/>
  <c r="V94" i="26"/>
  <c r="AI12" i="20"/>
  <c r="Z34" i="20"/>
  <c r="AC15" i="30"/>
  <c r="K26" i="49"/>
  <c r="AD15" i="30"/>
  <c r="Y45" i="75"/>
  <c r="Y38" i="59"/>
  <c r="T34" i="20"/>
  <c r="O35" i="20"/>
  <c r="I56" i="20"/>
  <c r="I58" i="20" s="1"/>
  <c r="I20" i="20" s="1"/>
  <c r="L45" i="75"/>
  <c r="L46" i="75" s="1"/>
  <c r="L38" i="59"/>
  <c r="L39" i="59" s="1"/>
  <c r="Z45" i="75"/>
  <c r="Z38" i="59"/>
  <c r="O54" i="59"/>
  <c r="O51" i="59"/>
  <c r="O26" i="59" s="1"/>
  <c r="AC54" i="59"/>
  <c r="AC51" i="59"/>
  <c r="AC26" i="59" s="1"/>
  <c r="AE94" i="26"/>
  <c r="K46" i="30"/>
  <c r="O12" i="49"/>
  <c r="O28" i="49" s="1"/>
  <c r="O29" i="49" s="1"/>
  <c r="AC12" i="49"/>
  <c r="D45" i="75"/>
  <c r="D46" i="75" s="1"/>
  <c r="D38" i="59"/>
  <c r="D39" i="59" s="1"/>
  <c r="Q56" i="59"/>
  <c r="O32" i="38"/>
  <c r="Q32" i="38" s="1"/>
  <c r="S33" i="38"/>
  <c r="E45" i="75"/>
  <c r="E46" i="75" s="1"/>
  <c r="E38" i="59"/>
  <c r="E39" i="59" s="1"/>
  <c r="R54" i="59"/>
  <c r="R51" i="59"/>
  <c r="R26" i="59" s="1"/>
  <c r="AE56" i="70"/>
  <c r="P45" i="75"/>
  <c r="P38" i="59"/>
  <c r="P39" i="59" s="1"/>
  <c r="AD38" i="59"/>
  <c r="AM13" i="33"/>
  <c r="AL13" i="33"/>
  <c r="AK13" i="33"/>
  <c r="AJ13" i="33"/>
  <c r="AH94" i="26"/>
  <c r="AC13" i="30"/>
  <c r="AC12" i="30" s="1"/>
  <c r="Q45" i="75"/>
  <c r="Q46" i="75" s="1"/>
  <c r="Q38" i="59"/>
  <c r="Q39" i="59" s="1"/>
  <c r="D12" i="49"/>
  <c r="D28" i="49" s="1"/>
  <c r="D29" i="49" s="1"/>
  <c r="R12" i="49"/>
  <c r="R28" i="49" s="1"/>
  <c r="R29" i="49" s="1"/>
  <c r="AF13" i="33"/>
  <c r="AF10" i="33" s="1"/>
  <c r="U94" i="26"/>
  <c r="AI94" i="26"/>
  <c r="E12" i="49"/>
  <c r="E28" i="49" s="1"/>
  <c r="E29" i="49" s="1"/>
  <c r="S12" i="49"/>
  <c r="S28" i="49" s="1"/>
  <c r="S29" i="49" s="1"/>
  <c r="I17" i="75"/>
  <c r="I17" i="59"/>
  <c r="W17" i="75"/>
  <c r="W17" i="59"/>
  <c r="AJ94" i="26"/>
  <c r="J17" i="75"/>
  <c r="J17" i="59"/>
  <c r="X17" i="75"/>
  <c r="G131" i="75"/>
  <c r="G132" i="75" s="1"/>
  <c r="G134" i="75"/>
  <c r="X17" i="59"/>
  <c r="W13" i="33"/>
  <c r="V13" i="33"/>
  <c r="T13" i="33"/>
  <c r="F66" i="59"/>
  <c r="F30" i="59"/>
  <c r="M45" i="78"/>
  <c r="N45" i="78" s="1"/>
  <c r="L45" i="78"/>
  <c r="W94" i="26"/>
  <c r="AK94" i="26"/>
  <c r="F45" i="75"/>
  <c r="F46" i="75" s="1"/>
  <c r="F38" i="59"/>
  <c r="F39" i="59" s="1"/>
  <c r="K17" i="75"/>
  <c r="K17" i="59"/>
  <c r="Y17" i="75"/>
  <c r="Y17" i="59"/>
  <c r="H22" i="33"/>
  <c r="H99" i="75"/>
  <c r="H28" i="75"/>
  <c r="G26" i="49"/>
  <c r="G28" i="49"/>
  <c r="U45" i="75"/>
  <c r="U38" i="59"/>
  <c r="R45" i="75"/>
  <c r="R46" i="75" s="1"/>
  <c r="R38" i="59"/>
  <c r="R39" i="59" s="1"/>
  <c r="AH13" i="33"/>
  <c r="AG13" i="33"/>
  <c r="H45" i="75"/>
  <c r="H46" i="75" s="1"/>
  <c r="V45" i="75"/>
  <c r="Q28" i="49"/>
  <c r="Q29" i="49" s="1"/>
  <c r="L17" i="75"/>
  <c r="D131" i="75"/>
  <c r="D132" i="75" s="1"/>
  <c r="D134" i="75"/>
  <c r="D17" i="59"/>
  <c r="R17" i="59"/>
  <c r="L56" i="38"/>
  <c r="L55" i="38"/>
  <c r="N48" i="38" s="1"/>
  <c r="L22" i="75"/>
  <c r="L36" i="75"/>
  <c r="E17" i="59"/>
  <c r="S17" i="59"/>
  <c r="G17" i="59"/>
  <c r="U17" i="59"/>
  <c r="E131" i="75"/>
  <c r="E132" i="75" s="1"/>
  <c r="P17" i="75"/>
  <c r="E134" i="75"/>
  <c r="H17" i="59"/>
  <c r="V17" i="59"/>
  <c r="G30" i="59"/>
  <c r="AF71" i="59"/>
  <c r="AF73" i="59" s="1"/>
  <c r="AF72" i="59" s="1"/>
  <c r="AD78" i="70"/>
  <c r="AJ79" i="70"/>
  <c r="AJ49" i="70"/>
  <c r="H28" i="49"/>
  <c r="H29" i="49" s="1"/>
  <c r="P51" i="59"/>
  <c r="P26" i="59" s="1"/>
  <c r="AD51" i="59"/>
  <c r="Q51" i="59"/>
  <c r="Q26" i="59" s="1"/>
  <c r="AC71" i="59"/>
  <c r="AC73" i="59" s="1"/>
  <c r="L94" i="59"/>
  <c r="L95" i="59" s="1"/>
  <c r="M43" i="78"/>
  <c r="N43" i="78" s="1"/>
  <c r="L43" i="78"/>
  <c r="M16" i="38"/>
  <c r="N16" i="38" s="1"/>
  <c r="K52" i="78"/>
  <c r="F131" i="75"/>
  <c r="F132" i="75" s="1"/>
  <c r="F134" i="75"/>
  <c r="T17" i="75"/>
  <c r="E22" i="33"/>
  <c r="L17" i="59"/>
  <c r="Z17" i="59"/>
  <c r="S51" i="59"/>
  <c r="S26" i="59" s="1"/>
  <c r="Q54" i="59"/>
  <c r="AB13" i="33"/>
  <c r="F22" i="33"/>
  <c r="C25" i="33"/>
  <c r="M17" i="59"/>
  <c r="AA17" i="59"/>
  <c r="AE55" i="70"/>
  <c r="AF55" i="70" s="1"/>
  <c r="AG55" i="70" s="1"/>
  <c r="AH55" i="70" s="1"/>
  <c r="AI55" i="70" s="1"/>
  <c r="AJ55" i="70" s="1"/>
  <c r="AK55" i="70" s="1"/>
  <c r="AL55" i="70" s="1"/>
  <c r="AM55" i="70" s="1"/>
  <c r="AN55" i="70" s="1"/>
  <c r="G22" i="33"/>
  <c r="D25" i="33"/>
  <c r="Y77" i="70"/>
  <c r="Z46" i="70"/>
  <c r="AM77" i="70"/>
  <c r="AE78" i="70"/>
  <c r="AF48" i="70"/>
  <c r="W79" i="70"/>
  <c r="AK79" i="70"/>
  <c r="AK49" i="70"/>
  <c r="Y105" i="75"/>
  <c r="Y104" i="75"/>
  <c r="Y106" i="75" s="1"/>
  <c r="I65" i="38"/>
  <c r="M36" i="75"/>
  <c r="M22" i="75"/>
  <c r="M56" i="38"/>
  <c r="M55" i="38"/>
  <c r="Y46" i="70"/>
  <c r="U5" i="21"/>
  <c r="AE24" i="59" s="1"/>
  <c r="T5" i="21"/>
  <c r="AD24" i="59" s="1"/>
  <c r="R5" i="21"/>
  <c r="S5" i="21"/>
  <c r="M35" i="78"/>
  <c r="N35" i="78" s="1"/>
  <c r="L16" i="38"/>
  <c r="AC46" i="70"/>
  <c r="AD77" i="70"/>
  <c r="AC77" i="70"/>
  <c r="U78" i="70"/>
  <c r="V78" i="70"/>
  <c r="AI78" i="70"/>
  <c r="AJ48" i="70"/>
  <c r="AI48" i="70"/>
  <c r="AJ78" i="70"/>
  <c r="N17" i="38"/>
  <c r="Q42" i="38"/>
  <c r="M48" i="38"/>
  <c r="K56" i="38"/>
  <c r="L41" i="78"/>
  <c r="L52" i="78" s="1"/>
  <c r="W57" i="70"/>
  <c r="X57" i="70" s="1"/>
  <c r="Y57" i="70" s="1"/>
  <c r="Z57" i="70" s="1"/>
  <c r="AA57" i="70" s="1"/>
  <c r="AB57" i="70" s="1"/>
  <c r="AC57" i="70" s="1"/>
  <c r="AD57" i="70" s="1"/>
  <c r="AE57" i="70" s="1"/>
  <c r="AF57" i="70" s="1"/>
  <c r="AG57" i="70" s="1"/>
  <c r="AH57" i="70" s="1"/>
  <c r="AI57" i="70" s="1"/>
  <c r="AJ57" i="70" s="1"/>
  <c r="L17" i="38"/>
  <c r="S18" i="38"/>
  <c r="R18" i="75"/>
  <c r="Q18" i="75"/>
  <c r="V40" i="75"/>
  <c r="I191" i="65"/>
  <c r="E101" i="75"/>
  <c r="E39" i="75" s="1"/>
  <c r="Q44" i="38"/>
  <c r="F101" i="75"/>
  <c r="F39" i="75" s="1"/>
  <c r="I34" i="75"/>
  <c r="I99" i="75" s="1"/>
  <c r="I24" i="75"/>
  <c r="I28" i="75" s="1"/>
  <c r="G101" i="75"/>
  <c r="G39" i="75" s="1"/>
  <c r="D101" i="75"/>
  <c r="D39" i="75" s="1"/>
  <c r="P46" i="75"/>
  <c r="P48" i="75" s="1"/>
  <c r="N34" i="75"/>
  <c r="N24" i="75"/>
  <c r="N28" i="75" s="1"/>
  <c r="N22" i="38"/>
  <c r="M22" i="38"/>
  <c r="Q27" i="38"/>
  <c r="O14" i="40"/>
  <c r="O16" i="40" s="1"/>
  <c r="O21" i="75"/>
  <c r="R14" i="40"/>
  <c r="R16" i="40"/>
  <c r="J15" i="40"/>
  <c r="J17" i="40"/>
  <c r="Z77" i="70"/>
  <c r="AN77" i="70"/>
  <c r="AF78" i="70"/>
  <c r="X79" i="70"/>
  <c r="AL79" i="70"/>
  <c r="AL49" i="70"/>
  <c r="K70" i="38"/>
  <c r="Q85" i="75"/>
  <c r="S87" i="75"/>
  <c r="M12" i="38"/>
  <c r="N12" i="38" s="1"/>
  <c r="M18" i="38"/>
  <c r="V44" i="21"/>
  <c r="U44" i="21"/>
  <c r="E21" i="21"/>
  <c r="AB79" i="70"/>
  <c r="T85" i="75"/>
  <c r="R85" i="75"/>
  <c r="U87" i="75"/>
  <c r="U85" i="75"/>
  <c r="N13" i="38"/>
  <c r="M13" i="38"/>
  <c r="L13" i="38"/>
  <c r="C82" i="21"/>
  <c r="M3" i="21"/>
  <c r="F7" i="5"/>
  <c r="C16" i="5"/>
  <c r="J3" i="21"/>
  <c r="T87" i="75"/>
  <c r="Q87" i="75"/>
  <c r="O87" i="75"/>
  <c r="K87" i="75"/>
  <c r="V85" i="75"/>
  <c r="E13" i="21"/>
  <c r="E14" i="21" s="1"/>
  <c r="D13" i="21"/>
  <c r="D14" i="21" s="1"/>
  <c r="C13" i="21"/>
  <c r="J87" i="75"/>
  <c r="P40" i="38"/>
  <c r="R40" i="38" s="1"/>
  <c r="T41" i="38"/>
  <c r="V41" i="21"/>
  <c r="U41" i="21"/>
  <c r="T41" i="21"/>
  <c r="S41" i="21"/>
  <c r="R41" i="21"/>
  <c r="Q41" i="21"/>
  <c r="P41" i="21"/>
  <c r="R27" i="75"/>
  <c r="M87" i="75"/>
  <c r="N15" i="38"/>
  <c r="M25" i="38"/>
  <c r="O25" i="38" s="1"/>
  <c r="P30" i="38"/>
  <c r="T49" i="21"/>
  <c r="Q17" i="6"/>
  <c r="S48" i="21" s="1"/>
  <c r="J85" i="75"/>
  <c r="V87" i="75"/>
  <c r="O30" i="38"/>
  <c r="K21" i="75"/>
  <c r="K38" i="75" s="1"/>
  <c r="N16" i="40"/>
  <c r="Q17" i="40"/>
  <c r="Q14" i="40"/>
  <c r="Q15" i="40" s="1"/>
  <c r="K85" i="75"/>
  <c r="L87" i="75"/>
  <c r="L85" i="75"/>
  <c r="M21" i="38"/>
  <c r="N21" i="38" s="1"/>
  <c r="C5" i="21"/>
  <c r="E5" i="21"/>
  <c r="R33" i="75"/>
  <c r="R38" i="75" s="1"/>
  <c r="R23" i="75"/>
  <c r="U38" i="21"/>
  <c r="T38" i="21"/>
  <c r="S38" i="21"/>
  <c r="R38" i="21"/>
  <c r="Q38" i="21"/>
  <c r="P38" i="21"/>
  <c r="O38" i="21"/>
  <c r="N38" i="21"/>
  <c r="M38" i="21"/>
  <c r="V38" i="21"/>
  <c r="J69" i="38"/>
  <c r="J66" i="38"/>
  <c r="M15" i="40"/>
  <c r="K3" i="21"/>
  <c r="W3" i="21" s="1"/>
  <c r="D74" i="21"/>
  <c r="Q30" i="21"/>
  <c r="O30" i="21"/>
  <c r="M30" i="21"/>
  <c r="L30" i="21"/>
  <c r="J30" i="21"/>
  <c r="I30" i="21"/>
  <c r="V30" i="21"/>
  <c r="H30" i="21"/>
  <c r="U30" i="21"/>
  <c r="G30" i="21"/>
  <c r="T30" i="21"/>
  <c r="F30" i="21"/>
  <c r="E30" i="21"/>
  <c r="M85" i="75"/>
  <c r="F99" i="75"/>
  <c r="Q16" i="40"/>
  <c r="T17" i="40"/>
  <c r="M48" i="21"/>
  <c r="L48" i="21"/>
  <c r="H8" i="21"/>
  <c r="K48" i="21"/>
  <c r="J48" i="21"/>
  <c r="I48" i="21"/>
  <c r="V48" i="21"/>
  <c r="H48" i="21"/>
  <c r="G48" i="21"/>
  <c r="G47" i="21" s="1"/>
  <c r="T48" i="21"/>
  <c r="F48" i="21"/>
  <c r="F47" i="21" s="1"/>
  <c r="P83" i="26" s="1"/>
  <c r="E48" i="21"/>
  <c r="E47" i="21" s="1"/>
  <c r="O83" i="26" s="1"/>
  <c r="R48" i="21"/>
  <c r="D48" i="21"/>
  <c r="D47" i="21" s="1"/>
  <c r="N83" i="26" s="1"/>
  <c r="Q48" i="21"/>
  <c r="P48" i="21"/>
  <c r="O48" i="21"/>
  <c r="N48" i="21"/>
  <c r="I5" i="21"/>
  <c r="H5" i="21"/>
  <c r="G5" i="21"/>
  <c r="F5" i="21"/>
  <c r="L3" i="21"/>
  <c r="K33" i="21"/>
  <c r="J33" i="21"/>
  <c r="I33" i="21"/>
  <c r="V33" i="21"/>
  <c r="H33" i="21"/>
  <c r="U33" i="21"/>
  <c r="S33" i="21"/>
  <c r="P33" i="21"/>
  <c r="M33" i="21"/>
  <c r="L33" i="21"/>
  <c r="AG48" i="70"/>
  <c r="O85" i="75"/>
  <c r="N56" i="38"/>
  <c r="S16" i="40"/>
  <c r="N3" i="21"/>
  <c r="AM49" i="70"/>
  <c r="P85" i="75"/>
  <c r="Q31" i="38"/>
  <c r="O56" i="38"/>
  <c r="O3" i="21"/>
  <c r="C21" i="21"/>
  <c r="M39" i="30" s="1"/>
  <c r="C76" i="21"/>
  <c r="P13" i="21"/>
  <c r="P14" i="21" s="1"/>
  <c r="O13" i="21"/>
  <c r="O14" i="21" s="1"/>
  <c r="N13" i="21"/>
  <c r="M13" i="21"/>
  <c r="M14" i="21" s="1"/>
  <c r="L13" i="21"/>
  <c r="L14" i="21" s="1"/>
  <c r="K13" i="21"/>
  <c r="K14" i="21" s="1"/>
  <c r="J13" i="21"/>
  <c r="V13" i="21"/>
  <c r="V14" i="21" s="1"/>
  <c r="V15" i="21" s="1"/>
  <c r="U13" i="21"/>
  <c r="U14" i="21" s="1"/>
  <c r="U15" i="21" s="1"/>
  <c r="T13" i="21"/>
  <c r="T14" i="21" s="1"/>
  <c r="S13" i="21"/>
  <c r="S14" i="21" s="1"/>
  <c r="R13" i="21"/>
  <c r="Q13" i="21"/>
  <c r="Q14" i="21" s="1"/>
  <c r="M16" i="5"/>
  <c r="G81" i="21"/>
  <c r="L69" i="38"/>
  <c r="K14" i="40"/>
  <c r="K34" i="21"/>
  <c r="J34" i="21"/>
  <c r="I34" i="21"/>
  <c r="V34" i="21"/>
  <c r="U34" i="21"/>
  <c r="S34" i="21"/>
  <c r="R34" i="21"/>
  <c r="Q34" i="21"/>
  <c r="P34" i="21"/>
  <c r="O34" i="21"/>
  <c r="N34" i="21"/>
  <c r="M34" i="21"/>
  <c r="L34" i="21"/>
  <c r="T4" i="21"/>
  <c r="AD25" i="59" s="1"/>
  <c r="AD30" i="59" s="1"/>
  <c r="S4" i="21"/>
  <c r="R4" i="21"/>
  <c r="U4" i="21"/>
  <c r="AE25" i="59" s="1"/>
  <c r="AE30" i="59" s="1"/>
  <c r="Q3" i="21"/>
  <c r="S85" i="75"/>
  <c r="L14" i="38"/>
  <c r="N14" i="38" s="1"/>
  <c r="P37" i="38"/>
  <c r="T15" i="40"/>
  <c r="L14" i="40"/>
  <c r="L15" i="40" s="1"/>
  <c r="T14" i="40"/>
  <c r="T16" i="40" s="1"/>
  <c r="C78" i="21"/>
  <c r="I10" i="21"/>
  <c r="S37" i="26" s="1"/>
  <c r="S17" i="26" s="1"/>
  <c r="H10" i="21"/>
  <c r="R37" i="26" s="1"/>
  <c r="R17" i="26" s="1"/>
  <c r="G10" i="21"/>
  <c r="Q37" i="26" s="1"/>
  <c r="Q17" i="26" s="1"/>
  <c r="F10" i="21"/>
  <c r="Q5" i="21"/>
  <c r="O5" i="21"/>
  <c r="N5" i="21"/>
  <c r="R3" i="21"/>
  <c r="D81" i="21"/>
  <c r="M14" i="38"/>
  <c r="N26" i="38"/>
  <c r="O26" i="38" s="1"/>
  <c r="Q37" i="38"/>
  <c r="R37" i="38" s="1"/>
  <c r="J70" i="38"/>
  <c r="J16" i="40"/>
  <c r="M17" i="40"/>
  <c r="J16" i="5"/>
  <c r="C9" i="21"/>
  <c r="T6" i="21"/>
  <c r="AD45" i="30" s="1"/>
  <c r="S6" i="21"/>
  <c r="AC45" i="30" s="1"/>
  <c r="V6" i="50" s="1"/>
  <c r="R6" i="21"/>
  <c r="U6" i="21"/>
  <c r="AE45" i="30" s="1"/>
  <c r="I21" i="21"/>
  <c r="L11" i="38"/>
  <c r="N14" i="40"/>
  <c r="N17" i="40" s="1"/>
  <c r="I13" i="21"/>
  <c r="I14" i="21" s="1"/>
  <c r="H13" i="21"/>
  <c r="H14" i="21" s="1"/>
  <c r="G13" i="21"/>
  <c r="G14" i="21" s="1"/>
  <c r="F13" i="21"/>
  <c r="Q4" i="21"/>
  <c r="P4" i="21"/>
  <c r="O4" i="21"/>
  <c r="N4" i="21"/>
  <c r="T3" i="21"/>
  <c r="D12" i="21"/>
  <c r="W12" i="21" s="1"/>
  <c r="L21" i="21"/>
  <c r="L70" i="38"/>
  <c r="O17" i="40"/>
  <c r="L16" i="5"/>
  <c r="C11" i="21"/>
  <c r="L19" i="21"/>
  <c r="V37" i="30" s="1"/>
  <c r="V20" i="30" s="1"/>
  <c r="V13" i="30" s="1"/>
  <c r="V12" i="30" s="1"/>
  <c r="K19" i="21"/>
  <c r="U37" i="30" s="1"/>
  <c r="E7" i="5"/>
  <c r="B16" i="5"/>
  <c r="M19" i="21"/>
  <c r="W37" i="30" s="1"/>
  <c r="W20" i="30" s="1"/>
  <c r="U3" i="21"/>
  <c r="E4" i="21"/>
  <c r="E12" i="21"/>
  <c r="E10" i="21"/>
  <c r="O37" i="26" s="1"/>
  <c r="O17" i="26" s="1"/>
  <c r="S17" i="40"/>
  <c r="G4" i="21"/>
  <c r="G6" i="21"/>
  <c r="D76" i="21" s="1"/>
  <c r="N7" i="21"/>
  <c r="F77" i="21" s="1"/>
  <c r="Q9" i="21"/>
  <c r="J10" i="21"/>
  <c r="J12" i="21"/>
  <c r="K23" i="21"/>
  <c r="U41" i="30" s="1"/>
  <c r="H6" i="21"/>
  <c r="O7" i="21"/>
  <c r="D9" i="21"/>
  <c r="R9" i="21"/>
  <c r="K10" i="21"/>
  <c r="U37" i="26" s="1"/>
  <c r="U17" i="26" s="1"/>
  <c r="D11" i="21"/>
  <c r="K12" i="21"/>
  <c r="K18" i="21"/>
  <c r="L23" i="21"/>
  <c r="V41" i="30" s="1"/>
  <c r="V24" i="30" s="1"/>
  <c r="K24" i="21"/>
  <c r="L12" i="21"/>
  <c r="L18" i="21"/>
  <c r="C20" i="21"/>
  <c r="M38" i="30" s="1"/>
  <c r="F21" i="21"/>
  <c r="L24" i="21"/>
  <c r="D16" i="5"/>
  <c r="J6" i="21"/>
  <c r="J23" i="21" s="1"/>
  <c r="T41" i="30" s="1"/>
  <c r="T24" i="30" s="1"/>
  <c r="C7" i="21"/>
  <c r="F9" i="21"/>
  <c r="T9" i="21"/>
  <c r="AD35" i="26" s="1"/>
  <c r="M18" i="21"/>
  <c r="D5" i="21"/>
  <c r="K6" i="21"/>
  <c r="D7" i="21"/>
  <c r="R7" i="21"/>
  <c r="G9" i="21"/>
  <c r="N10" i="21"/>
  <c r="N12" i="21"/>
  <c r="F82" i="21" s="1"/>
  <c r="C19" i="21"/>
  <c r="M37" i="30" s="1"/>
  <c r="E20" i="21"/>
  <c r="O38" i="30" s="1"/>
  <c r="O23" i="21"/>
  <c r="N24" i="21"/>
  <c r="F20" i="21"/>
  <c r="P38" i="30" s="1"/>
  <c r="O24" i="21"/>
  <c r="M6" i="21"/>
  <c r="M23" i="21" s="1"/>
  <c r="W41" i="30" s="1"/>
  <c r="W24" i="30" s="1"/>
  <c r="F7" i="21"/>
  <c r="T7" i="21"/>
  <c r="P10" i="21"/>
  <c r="Z37" i="26" s="1"/>
  <c r="Z17" i="26" s="1"/>
  <c r="Z20" i="26" s="1"/>
  <c r="Z78" i="26" s="1"/>
  <c r="P12" i="21"/>
  <c r="E19" i="21"/>
  <c r="O37" i="30" s="1"/>
  <c r="C23" i="21"/>
  <c r="M41" i="30" s="1"/>
  <c r="Q23" i="21"/>
  <c r="P24" i="21"/>
  <c r="V16" i="6"/>
  <c r="N6" i="21"/>
  <c r="N19" i="21" s="1"/>
  <c r="G7" i="21"/>
  <c r="J9" i="21"/>
  <c r="C18" i="21"/>
  <c r="F19" i="21"/>
  <c r="P37" i="30" s="1"/>
  <c r="H20" i="21"/>
  <c r="R38" i="30" s="1"/>
  <c r="C24" i="21"/>
  <c r="M42" i="30" s="1"/>
  <c r="Q24" i="21"/>
  <c r="I16" i="5"/>
  <c r="O6" i="21"/>
  <c r="Y45" i="30" s="1"/>
  <c r="R6" i="50" s="1"/>
  <c r="H7" i="21"/>
  <c r="K9" i="21"/>
  <c r="D10" i="21"/>
  <c r="N37" i="26" s="1"/>
  <c r="R10" i="21"/>
  <c r="R12" i="21"/>
  <c r="D18" i="21"/>
  <c r="I20" i="21"/>
  <c r="S38" i="30" s="1"/>
  <c r="E23" i="21"/>
  <c r="O41" i="30" s="1"/>
  <c r="R17" i="6"/>
  <c r="P6" i="21"/>
  <c r="Z45" i="30" s="1"/>
  <c r="S6" i="50" s="1"/>
  <c r="L9" i="21"/>
  <c r="S10" i="21"/>
  <c r="AC37" i="26" s="1"/>
  <c r="AC17" i="26" s="1"/>
  <c r="AC20" i="26" s="1"/>
  <c r="AC78" i="26" s="1"/>
  <c r="S12" i="21"/>
  <c r="E18" i="21"/>
  <c r="H19" i="21"/>
  <c r="R37" i="30" s="1"/>
  <c r="F23" i="21"/>
  <c r="P41" i="30" s="1"/>
  <c r="P24" i="30" s="1"/>
  <c r="P15" i="30" s="1"/>
  <c r="E24" i="21"/>
  <c r="O42" i="30" s="1"/>
  <c r="S17" i="6"/>
  <c r="U48" i="21" s="1"/>
  <c r="C4" i="21"/>
  <c r="J7" i="21"/>
  <c r="T10" i="21"/>
  <c r="AD37" i="26" s="1"/>
  <c r="AD17" i="26" s="1"/>
  <c r="F12" i="21"/>
  <c r="T12" i="21"/>
  <c r="F18" i="21"/>
  <c r="I19" i="21"/>
  <c r="S37" i="30" s="1"/>
  <c r="K20" i="21"/>
  <c r="U38" i="30" s="1"/>
  <c r="AD75" i="30" s="1"/>
  <c r="G23" i="21"/>
  <c r="Q41" i="30" s="1"/>
  <c r="Q24" i="30" s="1"/>
  <c r="Q15" i="30" s="1"/>
  <c r="F24" i="21"/>
  <c r="D6" i="21"/>
  <c r="K7" i="21"/>
  <c r="N9" i="21"/>
  <c r="G12" i="21"/>
  <c r="L20" i="21"/>
  <c r="V38" i="30" s="1"/>
  <c r="H23" i="21"/>
  <c r="R41" i="30" s="1"/>
  <c r="R24" i="30" s="1"/>
  <c r="R13" i="30" s="1"/>
  <c r="R12" i="30" s="1"/>
  <c r="L7" i="21"/>
  <c r="O9" i="21"/>
  <c r="H12" i="21"/>
  <c r="H18" i="21"/>
  <c r="M20" i="21"/>
  <c r="W38" i="30" s="1"/>
  <c r="I23" i="21"/>
  <c r="S41" i="30" s="1"/>
  <c r="S24" i="30" s="1"/>
  <c r="S15" i="30" s="1"/>
  <c r="H24" i="21"/>
  <c r="I18" i="21"/>
  <c r="AF14" i="20" l="1"/>
  <c r="D4" i="35" s="1"/>
  <c r="F6" i="55" s="1"/>
  <c r="E70" i="55"/>
  <c r="AG14" i="20"/>
  <c r="E4" i="35" s="1"/>
  <c r="G6" i="55" s="1"/>
  <c r="AD64" i="82"/>
  <c r="AD67" i="82" s="1"/>
  <c r="E75" i="55"/>
  <c r="AM30" i="80"/>
  <c r="L85" i="82"/>
  <c r="L86" i="82" s="1"/>
  <c r="AF71" i="82"/>
  <c r="AF69" i="82" s="1"/>
  <c r="AF68" i="82" s="1"/>
  <c r="AE18" i="82"/>
  <c r="F7" i="84" s="1"/>
  <c r="G7" i="84" s="1"/>
  <c r="I7" i="84" s="1"/>
  <c r="AE66" i="82"/>
  <c r="U39" i="82"/>
  <c r="V39" i="82" s="1"/>
  <c r="W39" i="82" s="1"/>
  <c r="X39" i="82" s="1"/>
  <c r="Y39" i="82" s="1"/>
  <c r="Z39" i="82" s="1"/>
  <c r="AA39" i="82" s="1"/>
  <c r="AB39" i="82" s="1"/>
  <c r="AC39" i="82" s="1"/>
  <c r="AD39" i="82" s="1"/>
  <c r="AE39" i="82" s="1"/>
  <c r="AF39" i="82" s="1"/>
  <c r="AG39" i="82" s="1"/>
  <c r="AH39" i="82" s="1"/>
  <c r="AI39" i="82" s="1"/>
  <c r="AJ39" i="82" s="1"/>
  <c r="AK39" i="82" s="1"/>
  <c r="AL39" i="82" s="1"/>
  <c r="AM39" i="82" s="1"/>
  <c r="AN39" i="82" s="1"/>
  <c r="G30" i="82"/>
  <c r="I30" i="82"/>
  <c r="AK25" i="82"/>
  <c r="AL25" i="82"/>
  <c r="AM51" i="82"/>
  <c r="D68" i="59"/>
  <c r="D32" i="59" s="1"/>
  <c r="E68" i="59"/>
  <c r="E32" i="59" s="1"/>
  <c r="H68" i="59"/>
  <c r="H32" i="59" s="1"/>
  <c r="G68" i="59"/>
  <c r="G32" i="59" s="1"/>
  <c r="AB65" i="59"/>
  <c r="E41" i="59"/>
  <c r="L65" i="59"/>
  <c r="L64" i="59" s="1"/>
  <c r="L67" i="59" s="1"/>
  <c r="AD14" i="59"/>
  <c r="AD65" i="59" s="1"/>
  <c r="F68" i="59"/>
  <c r="F32" i="59" s="1"/>
  <c r="F64" i="59"/>
  <c r="F67" i="59" s="1"/>
  <c r="P41" i="59"/>
  <c r="F17" i="49"/>
  <c r="F18" i="49" s="1"/>
  <c r="D17" i="49"/>
  <c r="D18" i="49" s="1"/>
  <c r="V28" i="49"/>
  <c r="V29" i="49" s="1"/>
  <c r="T28" i="49"/>
  <c r="T29" i="49" s="1"/>
  <c r="T38" i="59"/>
  <c r="T39" i="59" s="1"/>
  <c r="G17" i="49"/>
  <c r="G18" i="49" s="1"/>
  <c r="H17" i="49"/>
  <c r="H18" i="49" s="1"/>
  <c r="Q48" i="75"/>
  <c r="S41" i="59"/>
  <c r="L28" i="49"/>
  <c r="L29" i="49" s="1"/>
  <c r="O41" i="59"/>
  <c r="F41" i="59"/>
  <c r="F48" i="75"/>
  <c r="AD29" i="49"/>
  <c r="AG71" i="59"/>
  <c r="AG73" i="59" s="1"/>
  <c r="AG72" i="59" s="1"/>
  <c r="N14" i="75"/>
  <c r="N14" i="59"/>
  <c r="N65" i="59" s="1"/>
  <c r="N20" i="25"/>
  <c r="M77" i="26"/>
  <c r="AH14" i="20"/>
  <c r="F4" i="35" s="1"/>
  <c r="H6" i="55" s="1"/>
  <c r="X37" i="30"/>
  <c r="X20" i="30" s="1"/>
  <c r="T13" i="30"/>
  <c r="T12" i="30" s="1"/>
  <c r="T15" i="30"/>
  <c r="AM41" i="80"/>
  <c r="U47" i="21"/>
  <c r="AE83" i="26" s="1"/>
  <c r="AG10" i="33"/>
  <c r="AF17" i="59"/>
  <c r="K57" i="20"/>
  <c r="K58" i="20" s="1"/>
  <c r="D2" i="50"/>
  <c r="Q98" i="75"/>
  <c r="Q27" i="75"/>
  <c r="Q41" i="59"/>
  <c r="E17" i="49"/>
  <c r="E18" i="49" s="1"/>
  <c r="R65" i="59"/>
  <c r="H27" i="75"/>
  <c r="H26" i="75" s="1"/>
  <c r="H29" i="75" s="1"/>
  <c r="H98" i="75"/>
  <c r="H97" i="75" s="1"/>
  <c r="H100" i="75" s="1"/>
  <c r="L27" i="75"/>
  <c r="L98" i="75"/>
  <c r="L97" i="75" s="1"/>
  <c r="L100" i="75" s="1"/>
  <c r="I25" i="21"/>
  <c r="S36" i="30"/>
  <c r="G82" i="21"/>
  <c r="P23" i="21"/>
  <c r="M24" i="21"/>
  <c r="V36" i="30"/>
  <c r="J18" i="21"/>
  <c r="F74" i="21"/>
  <c r="X33" i="75"/>
  <c r="X38" i="75" s="1"/>
  <c r="X25" i="59"/>
  <c r="X30" i="59" s="1"/>
  <c r="Q5" i="50" s="1"/>
  <c r="X23" i="75"/>
  <c r="I22" i="21"/>
  <c r="S40" i="30" s="1"/>
  <c r="S39" i="30"/>
  <c r="L17" i="40"/>
  <c r="M15" i="21"/>
  <c r="W36" i="26"/>
  <c r="W33" i="26" s="1"/>
  <c r="T33" i="21"/>
  <c r="P47" i="21"/>
  <c r="Z83" i="26" s="1"/>
  <c r="D15" i="21"/>
  <c r="N36" i="26"/>
  <c r="I67" i="38"/>
  <c r="O48" i="38"/>
  <c r="AJ51" i="70"/>
  <c r="AJ16" i="70"/>
  <c r="AJ25" i="70" s="1"/>
  <c r="H4" i="71" s="1"/>
  <c r="J30" i="55"/>
  <c r="G45" i="75"/>
  <c r="G46" i="75" s="1"/>
  <c r="G48" i="75" s="1"/>
  <c r="G38" i="59"/>
  <c r="G39" i="59" s="1"/>
  <c r="G41" i="59" s="1"/>
  <c r="G29" i="49"/>
  <c r="T56" i="20"/>
  <c r="M9" i="50"/>
  <c r="S48" i="75"/>
  <c r="F98" i="75"/>
  <c r="F97" i="75" s="1"/>
  <c r="F100" i="75" s="1"/>
  <c r="F109" i="75" s="1"/>
  <c r="F37" i="75" s="1"/>
  <c r="F27" i="75"/>
  <c r="F26" i="75" s="1"/>
  <c r="F29" i="75" s="1"/>
  <c r="M20" i="25"/>
  <c r="M14" i="75" s="1"/>
  <c r="F75" i="21"/>
  <c r="X32" i="75"/>
  <c r="X24" i="59"/>
  <c r="P15" i="21"/>
  <c r="Z36" i="26"/>
  <c r="Z33" i="26" s="1"/>
  <c r="C75" i="21"/>
  <c r="M32" i="75"/>
  <c r="M24" i="59"/>
  <c r="W15" i="30"/>
  <c r="K24" i="75"/>
  <c r="K28" i="75" s="1"/>
  <c r="K34" i="75"/>
  <c r="K99" i="75" s="1"/>
  <c r="C83" i="21"/>
  <c r="C14" i="21"/>
  <c r="W13" i="21"/>
  <c r="E114" i="55"/>
  <c r="E81" i="55"/>
  <c r="AF14" i="70"/>
  <c r="AF24" i="70" s="1"/>
  <c r="D3" i="71" s="1"/>
  <c r="F29" i="55"/>
  <c r="E73" i="55"/>
  <c r="E106" i="55"/>
  <c r="K17" i="40"/>
  <c r="K16" i="40"/>
  <c r="F83" i="21"/>
  <c r="N14" i="21"/>
  <c r="Q47" i="21"/>
  <c r="AA83" i="26" s="1"/>
  <c r="Q52" i="21"/>
  <c r="D78" i="21"/>
  <c r="P52" i="21"/>
  <c r="O52" i="21"/>
  <c r="O47" i="21" s="1"/>
  <c r="Y83" i="26" s="1"/>
  <c r="N52" i="21"/>
  <c r="M52" i="21"/>
  <c r="L52" i="21"/>
  <c r="K52" i="21"/>
  <c r="K47" i="21" s="1"/>
  <c r="U83" i="26" s="1"/>
  <c r="J52" i="21"/>
  <c r="I52" i="21"/>
  <c r="V52" i="21"/>
  <c r="H52" i="21"/>
  <c r="U52" i="21"/>
  <c r="T52" i="21"/>
  <c r="S52" i="21"/>
  <c r="S47" i="21" s="1"/>
  <c r="AC83" i="26" s="1"/>
  <c r="R52" i="21"/>
  <c r="R47" i="21" s="1"/>
  <c r="AB83" i="26" s="1"/>
  <c r="E15" i="21"/>
  <c r="O36" i="26"/>
  <c r="O33" i="26" s="1"/>
  <c r="S44" i="21"/>
  <c r="R15" i="30"/>
  <c r="G65" i="59"/>
  <c r="G64" i="59" s="1"/>
  <c r="N36" i="21"/>
  <c r="M36" i="21"/>
  <c r="L36" i="21"/>
  <c r="K36" i="21"/>
  <c r="V36" i="21"/>
  <c r="U36" i="21"/>
  <c r="T36" i="21"/>
  <c r="S36" i="21"/>
  <c r="R36" i="21"/>
  <c r="Q36" i="21"/>
  <c r="P36" i="21"/>
  <c r="O36" i="21"/>
  <c r="U35" i="26"/>
  <c r="AA33" i="75"/>
  <c r="AA38" i="75" s="1"/>
  <c r="AA23" i="75"/>
  <c r="AA25" i="59"/>
  <c r="AA30" i="59" s="1"/>
  <c r="T5" i="50" s="1"/>
  <c r="R36" i="30"/>
  <c r="Q25" i="21"/>
  <c r="AA43" i="30" s="1"/>
  <c r="AA41" i="30"/>
  <c r="AA24" i="30" s="1"/>
  <c r="U36" i="30"/>
  <c r="AD73" i="30" s="1"/>
  <c r="V39" i="21"/>
  <c r="U39" i="21"/>
  <c r="T39" i="21"/>
  <c r="S39" i="21"/>
  <c r="F79" i="21"/>
  <c r="R39" i="21"/>
  <c r="Q39" i="21"/>
  <c r="P39" i="21"/>
  <c r="O39" i="21"/>
  <c r="N39" i="21"/>
  <c r="X35" i="26"/>
  <c r="N36" i="30"/>
  <c r="L35" i="21"/>
  <c r="K35" i="21"/>
  <c r="J35" i="21"/>
  <c r="V35" i="21"/>
  <c r="U35" i="21"/>
  <c r="T35" i="21"/>
  <c r="S35" i="21"/>
  <c r="R35" i="21"/>
  <c r="E79" i="21"/>
  <c r="Q35" i="21"/>
  <c r="P35" i="21"/>
  <c r="O35" i="21"/>
  <c r="N35" i="21"/>
  <c r="M35" i="21"/>
  <c r="T35" i="26"/>
  <c r="N32" i="75"/>
  <c r="N99" i="75" s="1"/>
  <c r="N24" i="59"/>
  <c r="AD78" i="30"/>
  <c r="U24" i="30"/>
  <c r="AD61" i="30" s="1"/>
  <c r="W5" i="50"/>
  <c r="L15" i="21"/>
  <c r="V36" i="26"/>
  <c r="J47" i="21"/>
  <c r="T83" i="26" s="1"/>
  <c r="E22" i="21"/>
  <c r="O40" i="30" s="1"/>
  <c r="O39" i="30"/>
  <c r="AE12" i="49"/>
  <c r="V15" i="30"/>
  <c r="D21" i="21"/>
  <c r="N45" i="30"/>
  <c r="J20" i="21"/>
  <c r="T38" i="30" s="1"/>
  <c r="G80" i="21"/>
  <c r="AB37" i="26"/>
  <c r="AB17" i="26" s="1"/>
  <c r="F76" i="21"/>
  <c r="X45" i="30"/>
  <c r="N23" i="21"/>
  <c r="X41" i="30" s="1"/>
  <c r="X24" i="30" s="1"/>
  <c r="E82" i="21"/>
  <c r="M4" i="21"/>
  <c r="K4" i="21"/>
  <c r="J4" i="21"/>
  <c r="L4" i="21"/>
  <c r="E16" i="5"/>
  <c r="Y33" i="75"/>
  <c r="Y38" i="75" s="1"/>
  <c r="Y23" i="75"/>
  <c r="Y25" i="59"/>
  <c r="Y30" i="59" s="1"/>
  <c r="R5" i="50" s="1"/>
  <c r="N17" i="26"/>
  <c r="D19" i="21"/>
  <c r="N37" i="30" s="1"/>
  <c r="D20" i="21"/>
  <c r="N38" i="30" s="1"/>
  <c r="E80" i="21"/>
  <c r="T37" i="26"/>
  <c r="T17" i="26" s="1"/>
  <c r="J19" i="21"/>
  <c r="T37" i="30" s="1"/>
  <c r="Z33" i="75"/>
  <c r="Z23" i="75"/>
  <c r="Z25" i="59"/>
  <c r="G76" i="21"/>
  <c r="AB45" i="30"/>
  <c r="O15" i="21"/>
  <c r="Y36" i="26"/>
  <c r="O24" i="75"/>
  <c r="O34" i="75"/>
  <c r="L47" i="21"/>
  <c r="V83" i="26" s="1"/>
  <c r="J73" i="38"/>
  <c r="J71" i="38"/>
  <c r="O32" i="75"/>
  <c r="O24" i="59"/>
  <c r="T44" i="21"/>
  <c r="M46" i="38"/>
  <c r="M47" i="38" s="1"/>
  <c r="V14" i="40"/>
  <c r="AE14" i="70"/>
  <c r="AE24" i="70" s="1"/>
  <c r="C3" i="71" s="1"/>
  <c r="E29" i="55"/>
  <c r="I36" i="20"/>
  <c r="E65" i="59"/>
  <c r="E64" i="59" s="1"/>
  <c r="O48" i="75"/>
  <c r="G27" i="75"/>
  <c r="G26" i="75" s="1"/>
  <c r="G29" i="75" s="1"/>
  <c r="G98" i="75"/>
  <c r="G97" i="75" s="1"/>
  <c r="G100" i="75" s="1"/>
  <c r="G109" i="75" s="1"/>
  <c r="G37" i="75" s="1"/>
  <c r="G41" i="75" s="1"/>
  <c r="AE56" i="20"/>
  <c r="AB56" i="20"/>
  <c r="U9" i="50"/>
  <c r="M45" i="75"/>
  <c r="M46" i="75" s="1"/>
  <c r="M48" i="75" s="1"/>
  <c r="M29" i="49"/>
  <c r="M38" i="59"/>
  <c r="M39" i="59" s="1"/>
  <c r="M41" i="59" s="1"/>
  <c r="E98" i="75"/>
  <c r="E97" i="75" s="1"/>
  <c r="E100" i="75" s="1"/>
  <c r="E109" i="75" s="1"/>
  <c r="E37" i="75" s="1"/>
  <c r="E41" i="75" s="1"/>
  <c r="E27" i="75"/>
  <c r="E26" i="75" s="1"/>
  <c r="E29" i="75" s="1"/>
  <c r="J73" i="26"/>
  <c r="J57" i="20" s="1"/>
  <c r="J58" i="20" s="1"/>
  <c r="E25" i="21"/>
  <c r="O36" i="30"/>
  <c r="S42" i="21"/>
  <c r="R42" i="21"/>
  <c r="Q42" i="21"/>
  <c r="V42" i="21"/>
  <c r="U42" i="21"/>
  <c r="T42" i="21"/>
  <c r="AA35" i="26"/>
  <c r="O25" i="21"/>
  <c r="Y43" i="30" s="1"/>
  <c r="Y41" i="30"/>
  <c r="Y24" i="30" s="1"/>
  <c r="D41" i="75"/>
  <c r="R28" i="75"/>
  <c r="V56" i="20"/>
  <c r="O9" i="50"/>
  <c r="L57" i="20"/>
  <c r="L58" i="20" s="1"/>
  <c r="E2" i="50"/>
  <c r="D65" i="59"/>
  <c r="D64" i="59" s="1"/>
  <c r="D67" i="59" s="1"/>
  <c r="AO32" i="26"/>
  <c r="AK56" i="20"/>
  <c r="H20" i="20"/>
  <c r="H36" i="20"/>
  <c r="D98" i="75"/>
  <c r="D97" i="75" s="1"/>
  <c r="D100" i="75" s="1"/>
  <c r="D109" i="75" s="1"/>
  <c r="D37" i="75" s="1"/>
  <c r="D27" i="75"/>
  <c r="D26" i="75" s="1"/>
  <c r="D29" i="75" s="1"/>
  <c r="AD74" i="30"/>
  <c r="U20" i="30"/>
  <c r="M47" i="21"/>
  <c r="W83" i="26" s="1"/>
  <c r="Q28" i="75"/>
  <c r="AG14" i="70"/>
  <c r="AG24" i="70" s="1"/>
  <c r="E3" i="71" s="1"/>
  <c r="G29" i="55"/>
  <c r="U34" i="75"/>
  <c r="U24" i="75"/>
  <c r="R17" i="40"/>
  <c r="R15" i="40"/>
  <c r="S19" i="38"/>
  <c r="L18" i="38"/>
  <c r="N18" i="38" s="1"/>
  <c r="R40" i="21"/>
  <c r="Q40" i="21"/>
  <c r="P40" i="21"/>
  <c r="O40" i="21"/>
  <c r="V40" i="21"/>
  <c r="U40" i="21"/>
  <c r="T40" i="21"/>
  <c r="S40" i="21"/>
  <c r="Y35" i="26"/>
  <c r="P36" i="30"/>
  <c r="Q37" i="21"/>
  <c r="P37" i="21"/>
  <c r="O37" i="21"/>
  <c r="N37" i="21"/>
  <c r="M37" i="21"/>
  <c r="L37" i="21"/>
  <c r="V37" i="21"/>
  <c r="U37" i="21"/>
  <c r="T37" i="21"/>
  <c r="S37" i="21"/>
  <c r="R37" i="21"/>
  <c r="V35" i="26"/>
  <c r="G20" i="21"/>
  <c r="Q38" i="30" s="1"/>
  <c r="W7" i="21"/>
  <c r="C77" i="21"/>
  <c r="Q33" i="75"/>
  <c r="Q38" i="75" s="1"/>
  <c r="Q23" i="75"/>
  <c r="Q25" i="59"/>
  <c r="Q30" i="59" s="1"/>
  <c r="J5" i="50" s="1"/>
  <c r="H15" i="21"/>
  <c r="R36" i="26"/>
  <c r="R33" i="26" s="1"/>
  <c r="D80" i="21"/>
  <c r="P37" i="26"/>
  <c r="P17" i="26" s="1"/>
  <c r="G83" i="21"/>
  <c r="R14" i="21"/>
  <c r="N15" i="40"/>
  <c r="K30" i="21"/>
  <c r="K15" i="40"/>
  <c r="Q30" i="38"/>
  <c r="AI14" i="70"/>
  <c r="AI24" i="70" s="1"/>
  <c r="G3" i="71" s="1"/>
  <c r="I29" i="55"/>
  <c r="R41" i="59"/>
  <c r="W56" i="20"/>
  <c r="P9" i="50"/>
  <c r="AH56" i="20"/>
  <c r="E48" i="75"/>
  <c r="K45" i="75"/>
  <c r="K46" i="75" s="1"/>
  <c r="K38" i="59"/>
  <c r="K39" i="59" s="1"/>
  <c r="K29" i="49"/>
  <c r="AG15" i="30"/>
  <c r="AG13" i="30"/>
  <c r="AH17" i="30"/>
  <c r="Y18" i="20"/>
  <c r="T9" i="50"/>
  <c r="AA56" i="20"/>
  <c r="Z46" i="30"/>
  <c r="V16" i="26"/>
  <c r="V77" i="26" s="1"/>
  <c r="AO31" i="26"/>
  <c r="AA65" i="59"/>
  <c r="K14" i="75"/>
  <c r="K14" i="59"/>
  <c r="K65" i="59" s="1"/>
  <c r="K64" i="59" s="1"/>
  <c r="K67" i="59" s="1"/>
  <c r="F14" i="21"/>
  <c r="D83" i="21"/>
  <c r="I70" i="38"/>
  <c r="S15" i="21"/>
  <c r="AC36" i="26"/>
  <c r="AC33" i="26" s="1"/>
  <c r="P41" i="38"/>
  <c r="R41" i="38" s="1"/>
  <c r="T42" i="38"/>
  <c r="R34" i="75"/>
  <c r="R24" i="75"/>
  <c r="F41" i="75"/>
  <c r="AJ14" i="70"/>
  <c r="AJ24" i="70" s="1"/>
  <c r="H3" i="71" s="1"/>
  <c r="J29" i="55"/>
  <c r="Z105" i="75"/>
  <c r="Z104" i="75"/>
  <c r="Z106" i="75" s="1"/>
  <c r="J14" i="75"/>
  <c r="J14" i="59"/>
  <c r="J65" i="59" s="1"/>
  <c r="J64" i="59" s="1"/>
  <c r="J67" i="59" s="1"/>
  <c r="V14" i="74"/>
  <c r="V13" i="74" s="1"/>
  <c r="V11" i="74" s="1"/>
  <c r="V19" i="74" s="1"/>
  <c r="W12" i="74"/>
  <c r="AF56" i="70"/>
  <c r="AE16" i="20"/>
  <c r="Y46" i="30"/>
  <c r="G24" i="21"/>
  <c r="D82" i="21"/>
  <c r="V43" i="21"/>
  <c r="G79" i="21"/>
  <c r="U43" i="21"/>
  <c r="T43" i="21"/>
  <c r="S43" i="21"/>
  <c r="R43" i="21"/>
  <c r="AB35" i="26"/>
  <c r="W6" i="21"/>
  <c r="C80" i="21"/>
  <c r="T15" i="21"/>
  <c r="AD36" i="26"/>
  <c r="AD33" i="26" s="1"/>
  <c r="N33" i="21"/>
  <c r="D75" i="21"/>
  <c r="P32" i="75"/>
  <c r="P24" i="59"/>
  <c r="Q83" i="26"/>
  <c r="AE51" i="59"/>
  <c r="AD26" i="59"/>
  <c r="R48" i="75"/>
  <c r="AC46" i="30"/>
  <c r="S13" i="30"/>
  <c r="S12" i="30" s="1"/>
  <c r="AE11" i="30"/>
  <c r="AE46" i="30" s="1"/>
  <c r="AF12" i="30"/>
  <c r="W18" i="20"/>
  <c r="AF56" i="20"/>
  <c r="M28" i="26"/>
  <c r="AC28" i="49"/>
  <c r="AC29" i="49" s="1"/>
  <c r="I14" i="75"/>
  <c r="I14" i="59"/>
  <c r="I68" i="59" s="1"/>
  <c r="Z65" i="59"/>
  <c r="K71" i="38"/>
  <c r="K73" i="38"/>
  <c r="U51" i="21"/>
  <c r="U50" i="21"/>
  <c r="F80" i="21"/>
  <c r="X37" i="26"/>
  <c r="X17" i="26" s="1"/>
  <c r="L16" i="40"/>
  <c r="M34" i="75"/>
  <c r="M24" i="75"/>
  <c r="T34" i="75"/>
  <c r="T24" i="75"/>
  <c r="H101" i="75"/>
  <c r="O15" i="40"/>
  <c r="AK57" i="70"/>
  <c r="AL57" i="70" s="1"/>
  <c r="AM57" i="70" s="1"/>
  <c r="AN57" i="70" s="1"/>
  <c r="D24" i="21"/>
  <c r="N42" i="30" s="1"/>
  <c r="D23" i="21"/>
  <c r="N41" i="30" s="1"/>
  <c r="L32" i="21"/>
  <c r="K32" i="21"/>
  <c r="J32" i="21"/>
  <c r="I32" i="21"/>
  <c r="V32" i="21"/>
  <c r="H32" i="21"/>
  <c r="U32" i="21"/>
  <c r="G32" i="21"/>
  <c r="T32" i="21"/>
  <c r="S32" i="21"/>
  <c r="R32" i="21"/>
  <c r="Q32" i="21"/>
  <c r="P32" i="21"/>
  <c r="O32" i="21"/>
  <c r="N32" i="21"/>
  <c r="M32" i="21"/>
  <c r="Q35" i="26"/>
  <c r="U29" i="21"/>
  <c r="G29" i="21"/>
  <c r="T29" i="21"/>
  <c r="F29" i="21"/>
  <c r="F28" i="21" s="1"/>
  <c r="S29" i="21"/>
  <c r="S28" i="21" s="1"/>
  <c r="AC81" i="26" s="1"/>
  <c r="AC73" i="26" s="1"/>
  <c r="E29" i="21"/>
  <c r="E28" i="21" s="1"/>
  <c r="R29" i="21"/>
  <c r="D29" i="21"/>
  <c r="D28" i="21" s="1"/>
  <c r="Q29" i="21"/>
  <c r="Q28" i="21" s="1"/>
  <c r="AA81" i="26" s="1"/>
  <c r="P29" i="21"/>
  <c r="O29" i="21"/>
  <c r="N29" i="21"/>
  <c r="M29" i="21"/>
  <c r="L29" i="21"/>
  <c r="K29" i="21"/>
  <c r="J29" i="21"/>
  <c r="I29" i="21"/>
  <c r="V29" i="21"/>
  <c r="H29" i="21"/>
  <c r="H28" i="21" s="1"/>
  <c r="N35" i="26"/>
  <c r="W10" i="21"/>
  <c r="T34" i="21"/>
  <c r="O33" i="21"/>
  <c r="Q32" i="75"/>
  <c r="Q99" i="75" s="1"/>
  <c r="Q24" i="59"/>
  <c r="R30" i="21"/>
  <c r="N30" i="21"/>
  <c r="AL16" i="70"/>
  <c r="AL25" i="70" s="1"/>
  <c r="J4" i="71" s="1"/>
  <c r="AL51" i="70"/>
  <c r="C17" i="49"/>
  <c r="C18" i="49" s="1"/>
  <c r="AJ56" i="20"/>
  <c r="AI56" i="20"/>
  <c r="S34" i="38"/>
  <c r="O33" i="38"/>
  <c r="Q33" i="38" s="1"/>
  <c r="Q13" i="30"/>
  <c r="Q12" i="30" s="1"/>
  <c r="P13" i="30"/>
  <c r="P12" i="30" s="1"/>
  <c r="U14" i="75"/>
  <c r="U14" i="59"/>
  <c r="U65" i="59" s="1"/>
  <c r="V21" i="25"/>
  <c r="AG13" i="25"/>
  <c r="AF15" i="25"/>
  <c r="AF14" i="25" s="1"/>
  <c r="AF11" i="25"/>
  <c r="AF20" i="25" s="1"/>
  <c r="W13" i="30"/>
  <c r="W12" i="30" s="1"/>
  <c r="W36" i="30"/>
  <c r="V34" i="75"/>
  <c r="V24" i="75"/>
  <c r="W85" i="75"/>
  <c r="AD13" i="26"/>
  <c r="AD20" i="26" s="1"/>
  <c r="Y32" i="75"/>
  <c r="Y24" i="59"/>
  <c r="S34" i="75"/>
  <c r="S24" i="75"/>
  <c r="S28" i="75" s="1"/>
  <c r="I15" i="21"/>
  <c r="S36" i="26"/>
  <c r="S33" i="26" s="1"/>
  <c r="E77" i="21"/>
  <c r="O24" i="30"/>
  <c r="G77" i="21"/>
  <c r="H47" i="21"/>
  <c r="R83" i="26" s="1"/>
  <c r="Q34" i="75"/>
  <c r="Q24" i="75"/>
  <c r="T50" i="21"/>
  <c r="T47" i="21" s="1"/>
  <c r="AD83" i="26" s="1"/>
  <c r="V17" i="6"/>
  <c r="T51" i="21"/>
  <c r="W6" i="50"/>
  <c r="N31" i="21"/>
  <c r="M31" i="21"/>
  <c r="L31" i="21"/>
  <c r="K31" i="21"/>
  <c r="J31" i="21"/>
  <c r="I31" i="21"/>
  <c r="V31" i="21"/>
  <c r="H31" i="21"/>
  <c r="U31" i="21"/>
  <c r="G31" i="21"/>
  <c r="T31" i="21"/>
  <c r="F31" i="21"/>
  <c r="S31" i="21"/>
  <c r="D79" i="21"/>
  <c r="R31" i="21"/>
  <c r="Q31" i="21"/>
  <c r="P31" i="21"/>
  <c r="O31" i="21"/>
  <c r="P35" i="26"/>
  <c r="G21" i="21"/>
  <c r="Q45" i="30"/>
  <c r="C81" i="21"/>
  <c r="W11" i="21"/>
  <c r="G15" i="21"/>
  <c r="Q36" i="26"/>
  <c r="W9" i="21"/>
  <c r="C79" i="21"/>
  <c r="AA32" i="75"/>
  <c r="AA24" i="59"/>
  <c r="Q15" i="21"/>
  <c r="AA36" i="26"/>
  <c r="J21" i="21"/>
  <c r="E76" i="21"/>
  <c r="T45" i="30"/>
  <c r="R32" i="75"/>
  <c r="R99" i="75" s="1"/>
  <c r="R97" i="75" s="1"/>
  <c r="R100" i="75" s="1"/>
  <c r="R24" i="59"/>
  <c r="AK51" i="70"/>
  <c r="AK16" i="70"/>
  <c r="AK25" i="70" s="1"/>
  <c r="I4" i="71" s="1"/>
  <c r="K30" i="55"/>
  <c r="U56" i="20"/>
  <c r="N9" i="50"/>
  <c r="D77" i="21"/>
  <c r="H21" i="21"/>
  <c r="R45" i="30"/>
  <c r="O33" i="75"/>
  <c r="O38" i="75" s="1"/>
  <c r="O23" i="75"/>
  <c r="O28" i="75" s="1"/>
  <c r="O25" i="59"/>
  <c r="O30" i="59" s="1"/>
  <c r="H5" i="50" s="1"/>
  <c r="L22" i="21"/>
  <c r="V40" i="30" s="1"/>
  <c r="V39" i="30"/>
  <c r="W8" i="21"/>
  <c r="G74" i="21"/>
  <c r="AB33" i="75"/>
  <c r="AB38" i="75" s="1"/>
  <c r="AB23" i="75"/>
  <c r="AB25" i="59"/>
  <c r="AB30" i="59" s="1"/>
  <c r="U5" i="50" s="1"/>
  <c r="E83" i="21"/>
  <c r="J14" i="21"/>
  <c r="P34" i="75"/>
  <c r="P24" i="75"/>
  <c r="P28" i="75" s="1"/>
  <c r="Q33" i="21"/>
  <c r="S32" i="75"/>
  <c r="S24" i="59"/>
  <c r="V47" i="21"/>
  <c r="AF83" i="26" s="1"/>
  <c r="AG83" i="26" s="1"/>
  <c r="AH83" i="26" s="1"/>
  <c r="AI83" i="26" s="1"/>
  <c r="AJ83" i="26" s="1"/>
  <c r="AK83" i="26" s="1"/>
  <c r="AL83" i="26" s="1"/>
  <c r="AM83" i="26" s="1"/>
  <c r="AN83" i="26" s="1"/>
  <c r="S30" i="21"/>
  <c r="P30" i="21"/>
  <c r="L24" i="75"/>
  <c r="L28" i="75" s="1"/>
  <c r="L34" i="75"/>
  <c r="L99" i="75" s="1"/>
  <c r="J24" i="75"/>
  <c r="J28" i="75" s="1"/>
  <c r="J34" i="75"/>
  <c r="J99" i="75" s="1"/>
  <c r="R26" i="75"/>
  <c r="R29" i="75" s="1"/>
  <c r="M5" i="21"/>
  <c r="L5" i="21"/>
  <c r="K5" i="21"/>
  <c r="J5" i="21"/>
  <c r="F16" i="5"/>
  <c r="H48" i="75"/>
  <c r="G75" i="21"/>
  <c r="AB32" i="75"/>
  <c r="AB24" i="59"/>
  <c r="L97" i="59"/>
  <c r="AF12" i="49"/>
  <c r="S20" i="25"/>
  <c r="S14" i="59" s="1"/>
  <c r="S65" i="59" s="1"/>
  <c r="T16" i="26"/>
  <c r="T77" i="26" s="1"/>
  <c r="P14" i="75"/>
  <c r="P14" i="59"/>
  <c r="P65" i="59" s="1"/>
  <c r="AC32" i="75"/>
  <c r="AC24" i="59"/>
  <c r="J45" i="75"/>
  <c r="J46" i="75" s="1"/>
  <c r="J38" i="59"/>
  <c r="J39" i="59" s="1"/>
  <c r="J29" i="49"/>
  <c r="I45" i="75"/>
  <c r="I46" i="75" s="1"/>
  <c r="I48" i="75" s="1"/>
  <c r="I29" i="49"/>
  <c r="I38" i="59"/>
  <c r="I39" i="59" s="1"/>
  <c r="I41" i="59" s="1"/>
  <c r="AG56" i="20"/>
  <c r="G18" i="21"/>
  <c r="C74" i="21"/>
  <c r="W4" i="21"/>
  <c r="M23" i="75"/>
  <c r="M28" i="75" s="1"/>
  <c r="M33" i="75"/>
  <c r="M38" i="75" s="1"/>
  <c r="M25" i="59"/>
  <c r="M30" i="59" s="1"/>
  <c r="F5" i="50" s="1"/>
  <c r="V51" i="21"/>
  <c r="V50" i="21"/>
  <c r="G19" i="21"/>
  <c r="Q37" i="30" s="1"/>
  <c r="C25" i="21"/>
  <c r="M43" i="30" s="1"/>
  <c r="M36" i="30"/>
  <c r="M21" i="21"/>
  <c r="W45" i="30"/>
  <c r="K21" i="21"/>
  <c r="U45" i="30"/>
  <c r="F22" i="21"/>
  <c r="P40" i="30" s="1"/>
  <c r="P39" i="30"/>
  <c r="J24" i="21"/>
  <c r="N11" i="38"/>
  <c r="AC33" i="75"/>
  <c r="AC38" i="75" s="1"/>
  <c r="AC23" i="75"/>
  <c r="AC25" i="59"/>
  <c r="AC30" i="59" s="1"/>
  <c r="V5" i="50" s="1"/>
  <c r="K15" i="21"/>
  <c r="U36" i="26"/>
  <c r="AM16" i="70"/>
  <c r="AM25" i="70" s="1"/>
  <c r="AM51" i="70"/>
  <c r="R33" i="21"/>
  <c r="N47" i="21"/>
  <c r="X83" i="26" s="1"/>
  <c r="I47" i="21"/>
  <c r="S83" i="26" s="1"/>
  <c r="W40" i="75"/>
  <c r="W31" i="59"/>
  <c r="AD66" i="59"/>
  <c r="W4" i="50"/>
  <c r="T14" i="75"/>
  <c r="T14" i="59"/>
  <c r="O20" i="25"/>
  <c r="O14" i="75" s="1"/>
  <c r="H65" i="59"/>
  <c r="H64" i="59" s="1"/>
  <c r="AI14" i="20" l="1"/>
  <c r="G4" i="35" s="1"/>
  <c r="I6" i="55" s="1"/>
  <c r="AG71" i="82"/>
  <c r="AG69" i="82" s="1"/>
  <c r="AG68" i="82" s="1"/>
  <c r="AF18" i="82"/>
  <c r="L88" i="82"/>
  <c r="AF66" i="82"/>
  <c r="AD30" i="82"/>
  <c r="AE67" i="82"/>
  <c r="AF67" i="82" s="1"/>
  <c r="AG67" i="82" s="1"/>
  <c r="AH67" i="82" s="1"/>
  <c r="AI67" i="82" s="1"/>
  <c r="AJ67" i="82" s="1"/>
  <c r="AK67" i="82" s="1"/>
  <c r="AL67" i="82" s="1"/>
  <c r="AM67" i="82" s="1"/>
  <c r="AN67" i="82" s="1"/>
  <c r="E107" i="55"/>
  <c r="AM36" i="80"/>
  <c r="H67" i="59"/>
  <c r="H76" i="59" s="1"/>
  <c r="H29" i="59" s="1"/>
  <c r="H33" i="59" s="1"/>
  <c r="G67" i="59"/>
  <c r="G76" i="59" s="1"/>
  <c r="G29" i="59" s="1"/>
  <c r="G33" i="59" s="1"/>
  <c r="E76" i="59"/>
  <c r="E29" i="59" s="1"/>
  <c r="E33" i="59" s="1"/>
  <c r="E67" i="59"/>
  <c r="V70" i="59"/>
  <c r="V69" i="59" s="1"/>
  <c r="W70" i="59"/>
  <c r="U70" i="59"/>
  <c r="U69" i="59" s="1"/>
  <c r="AN51" i="82"/>
  <c r="AN25" i="82" s="1"/>
  <c r="AM25" i="82"/>
  <c r="F76" i="59"/>
  <c r="F29" i="59" s="1"/>
  <c r="F33" i="59" s="1"/>
  <c r="AD64" i="59"/>
  <c r="AD67" i="59" s="1"/>
  <c r="K41" i="59"/>
  <c r="N41" i="59"/>
  <c r="H41" i="59"/>
  <c r="U39" i="59" s="1"/>
  <c r="V39" i="59" s="1"/>
  <c r="W39" i="59" s="1"/>
  <c r="X39" i="59" s="1"/>
  <c r="Y39" i="59" s="1"/>
  <c r="Z39" i="59" s="1"/>
  <c r="AA39" i="59" s="1"/>
  <c r="AB39" i="59" s="1"/>
  <c r="AC39" i="59" s="1"/>
  <c r="AD39" i="59" s="1"/>
  <c r="E19" i="49"/>
  <c r="D19" i="49"/>
  <c r="J48" i="75"/>
  <c r="F19" i="49"/>
  <c r="G19" i="49"/>
  <c r="I17" i="49"/>
  <c r="I18" i="49" s="1"/>
  <c r="I19" i="49" s="1"/>
  <c r="H19" i="49"/>
  <c r="AE26" i="49" s="1"/>
  <c r="AG12" i="49"/>
  <c r="N48" i="75"/>
  <c r="U46" i="75"/>
  <c r="V46" i="75" s="1"/>
  <c r="W46" i="75" s="1"/>
  <c r="X46" i="75" s="1"/>
  <c r="Y46" i="75" s="1"/>
  <c r="Z46" i="75" s="1"/>
  <c r="AA46" i="75" s="1"/>
  <c r="AB46" i="75" s="1"/>
  <c r="AC46" i="75" s="1"/>
  <c r="M98" i="75"/>
  <c r="M27" i="75"/>
  <c r="M26" i="75" s="1"/>
  <c r="M29" i="75" s="1"/>
  <c r="O98" i="75"/>
  <c r="O27" i="75"/>
  <c r="O26" i="75" s="1"/>
  <c r="O29" i="75" s="1"/>
  <c r="AC57" i="20"/>
  <c r="AC58" i="20" s="1"/>
  <c r="V2" i="50"/>
  <c r="S14" i="75"/>
  <c r="J22" i="21"/>
  <c r="T40" i="30" s="1"/>
  <c r="T39" i="30"/>
  <c r="W34" i="75"/>
  <c r="W24" i="75"/>
  <c r="X85" i="75"/>
  <c r="R4" i="50"/>
  <c r="Y66" i="59"/>
  <c r="S99" i="75"/>
  <c r="J6" i="50"/>
  <c r="Q46" i="30"/>
  <c r="J94" i="55"/>
  <c r="J126" i="55"/>
  <c r="F15" i="21"/>
  <c r="D85" i="21" s="1"/>
  <c r="D84" i="21"/>
  <c r="P36" i="26"/>
  <c r="G84" i="21"/>
  <c r="R15" i="21"/>
  <c r="G85" i="21" s="1"/>
  <c r="AB36" i="26"/>
  <c r="AB33" i="26" s="1"/>
  <c r="K102" i="55"/>
  <c r="K69" i="55"/>
  <c r="C84" i="21"/>
  <c r="W14" i="21"/>
  <c r="C15" i="21"/>
  <c r="E74" i="55"/>
  <c r="N25" i="21"/>
  <c r="X43" i="30" s="1"/>
  <c r="K6" i="50"/>
  <c r="R46" i="30"/>
  <c r="D22" i="21"/>
  <c r="N40" i="30" s="1"/>
  <c r="N39" i="30"/>
  <c r="J127" i="55"/>
  <c r="J95" i="55"/>
  <c r="K4" i="50"/>
  <c r="R66" i="59"/>
  <c r="R64" i="59" s="1"/>
  <c r="R67" i="59" s="1"/>
  <c r="AG15" i="25"/>
  <c r="AG14" i="25" s="1"/>
  <c r="AG11" i="25" s="1"/>
  <c r="AG20" i="25" s="1"/>
  <c r="AH13" i="25"/>
  <c r="AH13" i="30"/>
  <c r="AI17" i="30"/>
  <c r="V33" i="26"/>
  <c r="V13" i="26"/>
  <c r="E126" i="55"/>
  <c r="E94" i="55"/>
  <c r="AO37" i="26"/>
  <c r="AP16" i="26" s="1"/>
  <c r="O14" i="59"/>
  <c r="O65" i="59" s="1"/>
  <c r="M6" i="50"/>
  <c r="T46" i="30"/>
  <c r="R28" i="21"/>
  <c r="AB81" i="26" s="1"/>
  <c r="J41" i="59"/>
  <c r="E75" i="21"/>
  <c r="G22" i="21"/>
  <c r="Q40" i="30" s="1"/>
  <c r="Q39" i="30"/>
  <c r="U27" i="75"/>
  <c r="U26" i="75" s="1"/>
  <c r="U29" i="75" s="1"/>
  <c r="U98" i="75"/>
  <c r="AO35" i="26"/>
  <c r="AP13" i="26" s="1"/>
  <c r="N33" i="26"/>
  <c r="V103" i="75"/>
  <c r="U103" i="75"/>
  <c r="U102" i="75" s="1"/>
  <c r="H39" i="75"/>
  <c r="G87" i="21"/>
  <c r="E69" i="55"/>
  <c r="E102" i="55"/>
  <c r="G6" i="50"/>
  <c r="N46" i="30"/>
  <c r="U33" i="26"/>
  <c r="U13" i="26"/>
  <c r="P25" i="21"/>
  <c r="Z43" i="30" s="1"/>
  <c r="Z41" i="30"/>
  <c r="Z24" i="30" s="1"/>
  <c r="AH10" i="33"/>
  <c r="AG17" i="59"/>
  <c r="N98" i="75"/>
  <c r="N97" i="75" s="1"/>
  <c r="N100" i="75" s="1"/>
  <c r="N27" i="75"/>
  <c r="N26" i="75" s="1"/>
  <c r="N29" i="75" s="1"/>
  <c r="G103" i="55"/>
  <c r="G70" i="55"/>
  <c r="N15" i="21"/>
  <c r="F85" i="21" s="1"/>
  <c r="F84" i="21"/>
  <c r="X36" i="26"/>
  <c r="X33" i="26" s="1"/>
  <c r="W32" i="75"/>
  <c r="W99" i="75" s="1"/>
  <c r="W24" i="59"/>
  <c r="J15" i="21"/>
  <c r="E85" i="21" s="1"/>
  <c r="E87" i="21" s="1"/>
  <c r="E84" i="21"/>
  <c r="T36" i="26"/>
  <c r="T33" i="26" s="1"/>
  <c r="E115" i="55"/>
  <c r="E82" i="55"/>
  <c r="I28" i="21"/>
  <c r="T28" i="21"/>
  <c r="AD81" i="26" s="1"/>
  <c r="I98" i="75"/>
  <c r="I97" i="75" s="1"/>
  <c r="I100" i="75" s="1"/>
  <c r="I109" i="75" s="1"/>
  <c r="I37" i="75" s="1"/>
  <c r="I27" i="75"/>
  <c r="I26" i="75" s="1"/>
  <c r="I29" i="75" s="1"/>
  <c r="I101" i="75"/>
  <c r="W11" i="74"/>
  <c r="W19" i="74" s="1"/>
  <c r="W14" i="74"/>
  <c r="W13" i="74" s="1"/>
  <c r="X12" i="74"/>
  <c r="K98" i="75"/>
  <c r="K97" i="75" s="1"/>
  <c r="K100" i="75" s="1"/>
  <c r="K27" i="75"/>
  <c r="K26" i="75" s="1"/>
  <c r="K29" i="75" s="1"/>
  <c r="E121" i="55"/>
  <c r="E88" i="55"/>
  <c r="Z30" i="59"/>
  <c r="S5" i="50" s="1"/>
  <c r="Z66" i="59"/>
  <c r="Z64" i="59" s="1"/>
  <c r="Z67" i="59" s="1"/>
  <c r="V33" i="75"/>
  <c r="V38" i="75" s="1"/>
  <c r="V25" i="59"/>
  <c r="V30" i="59" s="1"/>
  <c r="O5" i="50" s="1"/>
  <c r="V23" i="75"/>
  <c r="V28" i="75" s="1"/>
  <c r="N66" i="59"/>
  <c r="N64" i="59" s="1"/>
  <c r="N67" i="59" s="1"/>
  <c r="G4" i="50"/>
  <c r="F87" i="21"/>
  <c r="AJ52" i="70"/>
  <c r="AJ18" i="70"/>
  <c r="AJ26" i="70" s="1"/>
  <c r="H5" i="71" s="1"/>
  <c r="J31" i="55"/>
  <c r="S43" i="30"/>
  <c r="I26" i="21"/>
  <c r="L41" i="59"/>
  <c r="AO16" i="26"/>
  <c r="AH71" i="59"/>
  <c r="AH73" i="59" s="1"/>
  <c r="AH72" i="59" s="1"/>
  <c r="AD82" i="30"/>
  <c r="N6" i="50"/>
  <c r="U46" i="30"/>
  <c r="AD83" i="30" s="1"/>
  <c r="K28" i="21"/>
  <c r="U28" i="21"/>
  <c r="AE81" i="26" s="1"/>
  <c r="M76" i="26"/>
  <c r="M27" i="26"/>
  <c r="N28" i="26"/>
  <c r="M15" i="26"/>
  <c r="AB13" i="26"/>
  <c r="AB20" i="26" s="1"/>
  <c r="AB78" i="26" s="1"/>
  <c r="P42" i="38"/>
  <c r="R42" i="38" s="1"/>
  <c r="T43" i="38"/>
  <c r="H69" i="55"/>
  <c r="H102" i="55"/>
  <c r="Z38" i="75"/>
  <c r="U33" i="75"/>
  <c r="U38" i="75" s="1"/>
  <c r="U23" i="75"/>
  <c r="U28" i="75" s="1"/>
  <c r="U25" i="59"/>
  <c r="U30" i="59" s="1"/>
  <c r="N5" i="50" s="1"/>
  <c r="M99" i="75"/>
  <c r="I69" i="38"/>
  <c r="I66" i="38"/>
  <c r="L26" i="75"/>
  <c r="L29" i="75" s="1"/>
  <c r="V4" i="50"/>
  <c r="AC66" i="59"/>
  <c r="AC64" i="59" s="1"/>
  <c r="AC67" i="59" s="1"/>
  <c r="G28" i="21"/>
  <c r="E74" i="21"/>
  <c r="T33" i="75"/>
  <c r="T23" i="75"/>
  <c r="T28" i="75" s="1"/>
  <c r="T25" i="59"/>
  <c r="AA66" i="59"/>
  <c r="AA64" i="59" s="1"/>
  <c r="AA67" i="59" s="1"/>
  <c r="T4" i="50"/>
  <c r="AL52" i="70"/>
  <c r="AL20" i="70" s="1"/>
  <c r="AL27" i="70" s="1"/>
  <c r="J6" i="71" s="1"/>
  <c r="AL18" i="70"/>
  <c r="AL26" i="70" s="1"/>
  <c r="J5" i="71" s="1"/>
  <c r="J36" i="20"/>
  <c r="J20" i="20"/>
  <c r="AM52" i="70"/>
  <c r="AM20" i="70" s="1"/>
  <c r="AM27" i="70" s="1"/>
  <c r="AM18" i="70"/>
  <c r="AM26" i="70" s="1"/>
  <c r="K22" i="21"/>
  <c r="U40" i="30" s="1"/>
  <c r="AD77" i="30" s="1"/>
  <c r="U39" i="30"/>
  <c r="AD76" i="30" s="1"/>
  <c r="Q36" i="30"/>
  <c r="O15" i="30"/>
  <c r="O13" i="30"/>
  <c r="O12" i="30" s="1"/>
  <c r="L28" i="21"/>
  <c r="Q33" i="26"/>
  <c r="I126" i="55"/>
  <c r="I94" i="55"/>
  <c r="AD57" i="30"/>
  <c r="U13" i="30"/>
  <c r="U15" i="30"/>
  <c r="AD52" i="30" s="1"/>
  <c r="H4" i="50"/>
  <c r="O66" i="59"/>
  <c r="W33" i="75"/>
  <c r="W38" i="75" s="1"/>
  <c r="W23" i="75"/>
  <c r="W28" i="75" s="1"/>
  <c r="W26" i="75" s="1"/>
  <c r="W25" i="59"/>
  <c r="W30" i="59" s="1"/>
  <c r="P5" i="50" s="1"/>
  <c r="K25" i="21"/>
  <c r="W5" i="21"/>
  <c r="H109" i="75"/>
  <c r="H37" i="75" s="1"/>
  <c r="Q26" i="75"/>
  <c r="Q29" i="75" s="1"/>
  <c r="T98" i="75"/>
  <c r="T27" i="75"/>
  <c r="T26" i="75" s="1"/>
  <c r="T29" i="75" s="1"/>
  <c r="V32" i="75"/>
  <c r="V99" i="75" s="1"/>
  <c r="V24" i="59"/>
  <c r="I65" i="59"/>
  <c r="I64" i="59" s="1"/>
  <c r="I67" i="59" s="1"/>
  <c r="I32" i="59"/>
  <c r="F4" i="50"/>
  <c r="M66" i="59"/>
  <c r="P6" i="50"/>
  <c r="W46" i="30"/>
  <c r="K127" i="55"/>
  <c r="K95" i="55"/>
  <c r="M28" i="21"/>
  <c r="F69" i="55"/>
  <c r="F102" i="55"/>
  <c r="AF51" i="59"/>
  <c r="AE26" i="59"/>
  <c r="O99" i="75"/>
  <c r="D25" i="21"/>
  <c r="AA15" i="30"/>
  <c r="AA13" i="30"/>
  <c r="AA12" i="30" s="1"/>
  <c r="Q97" i="75"/>
  <c r="Q100" i="75" s="1"/>
  <c r="W69" i="59"/>
  <c r="X70" i="59"/>
  <c r="V28" i="21"/>
  <c r="AF81" i="26" s="1"/>
  <c r="AG81" i="26" s="1"/>
  <c r="AH81" i="26" s="1"/>
  <c r="AI81" i="26" s="1"/>
  <c r="AJ81" i="26" s="1"/>
  <c r="AK81" i="26" s="1"/>
  <c r="AL81" i="26" s="1"/>
  <c r="AM81" i="26" s="1"/>
  <c r="AN81" i="26" s="1"/>
  <c r="AG56" i="70"/>
  <c r="AF16" i="20"/>
  <c r="K48" i="75"/>
  <c r="J28" i="21"/>
  <c r="J98" i="75"/>
  <c r="J97" i="75" s="1"/>
  <c r="J100" i="75" s="1"/>
  <c r="J27" i="75"/>
  <c r="J26" i="75" s="1"/>
  <c r="J29" i="75" s="1"/>
  <c r="L19" i="38"/>
  <c r="S20" i="38"/>
  <c r="L20" i="38" s="1"/>
  <c r="N20" i="38" s="1"/>
  <c r="G69" i="55"/>
  <c r="G102" i="55"/>
  <c r="U4" i="50"/>
  <c r="AB66" i="59"/>
  <c r="AB64" i="59" s="1"/>
  <c r="AB67" i="59" s="1"/>
  <c r="N28" i="21"/>
  <c r="Y13" i="30"/>
  <c r="Y12" i="30" s="1"/>
  <c r="Y15" i="30"/>
  <c r="AJ14" i="20"/>
  <c r="H4" i="35" s="1"/>
  <c r="J6" i="55" s="1"/>
  <c r="X13" i="26"/>
  <c r="F126" i="55"/>
  <c r="F94" i="55"/>
  <c r="U32" i="75"/>
  <c r="U24" i="59"/>
  <c r="U6" i="50"/>
  <c r="AB46" i="30"/>
  <c r="P33" i="26"/>
  <c r="S35" i="38"/>
  <c r="O34" i="38"/>
  <c r="Q34" i="38" s="1"/>
  <c r="O43" i="30"/>
  <c r="E26" i="21"/>
  <c r="AK52" i="70"/>
  <c r="AK18" i="70"/>
  <c r="AK26" i="70" s="1"/>
  <c r="I5" i="71" s="1"/>
  <c r="K31" i="55"/>
  <c r="AF14" i="59"/>
  <c r="J4" i="50"/>
  <c r="Q66" i="59"/>
  <c r="Q64" i="59" s="1"/>
  <c r="Q67" i="59" s="1"/>
  <c r="O28" i="21"/>
  <c r="AA105" i="75"/>
  <c r="AA104" i="75"/>
  <c r="AA106" i="75" s="1"/>
  <c r="L20" i="20"/>
  <c r="L36" i="20"/>
  <c r="X46" i="30"/>
  <c r="Q6" i="50"/>
  <c r="K36" i="20"/>
  <c r="K20" i="20"/>
  <c r="H22" i="21"/>
  <c r="R40" i="30" s="1"/>
  <c r="R39" i="30"/>
  <c r="M22" i="21"/>
  <c r="W40" i="30" s="1"/>
  <c r="W39" i="30"/>
  <c r="P98" i="75"/>
  <c r="P27" i="75"/>
  <c r="P26" i="75" s="1"/>
  <c r="P29" i="75" s="1"/>
  <c r="I69" i="55"/>
  <c r="I102" i="55"/>
  <c r="P28" i="21"/>
  <c r="Z81" i="26" s="1"/>
  <c r="Z73" i="26" s="1"/>
  <c r="AF11" i="30"/>
  <c r="AF46" i="30" s="1"/>
  <c r="AG12" i="30"/>
  <c r="W47" i="21"/>
  <c r="F25" i="21"/>
  <c r="AA13" i="26"/>
  <c r="AA20" i="26" s="1"/>
  <c r="AA78" i="26" s="1"/>
  <c r="AA73" i="26" s="1"/>
  <c r="AA33" i="26"/>
  <c r="H25" i="21"/>
  <c r="AO36" i="26"/>
  <c r="AP14" i="26" s="1"/>
  <c r="J25" i="21"/>
  <c r="T36" i="30"/>
  <c r="M14" i="59"/>
  <c r="M65" i="59" s="1"/>
  <c r="L48" i="75"/>
  <c r="Q4" i="50"/>
  <c r="X66" i="59"/>
  <c r="F78" i="55"/>
  <c r="F111" i="55"/>
  <c r="AE17" i="20"/>
  <c r="AE15" i="20"/>
  <c r="AE18" i="20" s="1"/>
  <c r="J102" i="55"/>
  <c r="J69" i="55"/>
  <c r="E105" i="55"/>
  <c r="E72" i="55"/>
  <c r="I4" i="50"/>
  <c r="P66" i="59"/>
  <c r="P64" i="59" s="1"/>
  <c r="P67" i="59" s="1"/>
  <c r="Y33" i="26"/>
  <c r="Y13" i="26"/>
  <c r="L4" i="50"/>
  <c r="S66" i="59"/>
  <c r="S64" i="59" s="1"/>
  <c r="S67" i="59" s="1"/>
  <c r="V16" i="75"/>
  <c r="V14" i="75" s="1"/>
  <c r="V16" i="59"/>
  <c r="V14" i="59" s="1"/>
  <c r="V65" i="59" s="1"/>
  <c r="W21" i="25"/>
  <c r="P99" i="75"/>
  <c r="D87" i="21"/>
  <c r="G126" i="55"/>
  <c r="G94" i="55"/>
  <c r="F103" i="55"/>
  <c r="F70" i="55"/>
  <c r="AO17" i="26"/>
  <c r="L25" i="21"/>
  <c r="X13" i="30"/>
  <c r="X12" i="30" s="1"/>
  <c r="X15" i="30"/>
  <c r="C11" i="35" l="1"/>
  <c r="E13" i="55" s="1"/>
  <c r="AE38" i="82"/>
  <c r="AE30" i="82"/>
  <c r="AG18" i="82"/>
  <c r="AG66" i="82"/>
  <c r="AH71" i="82"/>
  <c r="AH69" i="82" s="1"/>
  <c r="AH68" i="82" s="1"/>
  <c r="AH18" i="82" s="1"/>
  <c r="AD32" i="82"/>
  <c r="AD34" i="82"/>
  <c r="AD35" i="82" s="1"/>
  <c r="E6" i="84"/>
  <c r="AE34" i="82"/>
  <c r="F6" i="84"/>
  <c r="AE12" i="82"/>
  <c r="AE33" i="82" s="1"/>
  <c r="AE32" i="82"/>
  <c r="AH66" i="82"/>
  <c r="AI71" i="82"/>
  <c r="AI69" i="82" s="1"/>
  <c r="AI68" i="82" s="1"/>
  <c r="AF30" i="82"/>
  <c r="M64" i="59"/>
  <c r="M67" i="59" s="1"/>
  <c r="AE38" i="59"/>
  <c r="AE28" i="49"/>
  <c r="C10" i="35" s="1"/>
  <c r="E12" i="55" s="1"/>
  <c r="AH12" i="49"/>
  <c r="AF26" i="49"/>
  <c r="AE39" i="59"/>
  <c r="AF39" i="59" s="1"/>
  <c r="AG14" i="59"/>
  <c r="V81" i="26"/>
  <c r="T43" i="30"/>
  <c r="J26" i="21"/>
  <c r="U43" i="30"/>
  <c r="AD80" i="30" s="1"/>
  <c r="K26" i="21"/>
  <c r="AI10" i="33"/>
  <c r="AH17" i="59"/>
  <c r="F105" i="55"/>
  <c r="F72" i="55"/>
  <c r="X14" i="74"/>
  <c r="X13" i="74" s="1"/>
  <c r="X11" i="74" s="1"/>
  <c r="X19" i="74" s="1"/>
  <c r="Y12" i="74"/>
  <c r="W14" i="75"/>
  <c r="W16" i="59"/>
  <c r="W14" i="59" s="1"/>
  <c r="W65" i="59" s="1"/>
  <c r="X21" i="25"/>
  <c r="F119" i="55"/>
  <c r="F86" i="55"/>
  <c r="AJ20" i="70"/>
  <c r="AJ27" i="70" s="1"/>
  <c r="H6" i="71" s="1"/>
  <c r="J32" i="55"/>
  <c r="Z13" i="30"/>
  <c r="Z12" i="30" s="1"/>
  <c r="Z15" i="30"/>
  <c r="AJ17" i="30"/>
  <c r="AI13" i="30"/>
  <c r="S36" i="38"/>
  <c r="O36" i="38" s="1"/>
  <c r="O35" i="38"/>
  <c r="Q35" i="38" s="1"/>
  <c r="P4" i="50"/>
  <c r="W66" i="59"/>
  <c r="V27" i="75"/>
  <c r="V26" i="75" s="1"/>
  <c r="V29" i="75" s="1"/>
  <c r="V98" i="75"/>
  <c r="V97" i="75" s="1"/>
  <c r="V100" i="75" s="1"/>
  <c r="V42" i="75"/>
  <c r="F74" i="55"/>
  <c r="F107" i="55"/>
  <c r="I76" i="59"/>
  <c r="I29" i="59" s="1"/>
  <c r="I39" i="75"/>
  <c r="I41" i="75" s="1"/>
  <c r="J101" i="75"/>
  <c r="AH15" i="25"/>
  <c r="AH14" i="25" s="1"/>
  <c r="AH11" i="25" s="1"/>
  <c r="AH20" i="25" s="1"/>
  <c r="AI13" i="25"/>
  <c r="X81" i="26"/>
  <c r="AF20" i="26"/>
  <c r="AE78" i="26"/>
  <c r="AE73" i="26" s="1"/>
  <c r="AE11" i="26"/>
  <c r="W15" i="21"/>
  <c r="C85" i="21"/>
  <c r="C87" i="21" s="1"/>
  <c r="X34" i="75"/>
  <c r="X99" i="75" s="1"/>
  <c r="X24" i="75"/>
  <c r="X28" i="75" s="1"/>
  <c r="X26" i="75" s="1"/>
  <c r="Y85" i="75"/>
  <c r="AK14" i="20"/>
  <c r="I4" i="35" s="1"/>
  <c r="K6" i="55" s="1"/>
  <c r="P43" i="38"/>
  <c r="R43" i="38" s="1"/>
  <c r="T44" i="38"/>
  <c r="N4" i="50"/>
  <c r="U66" i="59"/>
  <c r="U64" i="59" s="1"/>
  <c r="U67" i="59" s="1"/>
  <c r="E119" i="55"/>
  <c r="E86" i="55"/>
  <c r="AC20" i="20"/>
  <c r="AC36" i="20"/>
  <c r="AE66" i="59"/>
  <c r="AA57" i="20"/>
  <c r="AA58" i="20" s="1"/>
  <c r="T2" i="50"/>
  <c r="O4" i="50"/>
  <c r="V66" i="59"/>
  <c r="V64" i="59" s="1"/>
  <c r="V67" i="59" s="1"/>
  <c r="AD57" i="20"/>
  <c r="AD58" i="20" s="1"/>
  <c r="W2" i="50"/>
  <c r="P97" i="75"/>
  <c r="P100" i="75" s="1"/>
  <c r="T30" i="59"/>
  <c r="M5" i="50" s="1"/>
  <c r="T66" i="59"/>
  <c r="T64" i="59" s="1"/>
  <c r="T67" i="59" s="1"/>
  <c r="J22" i="33"/>
  <c r="Y81" i="26"/>
  <c r="Y20" i="26"/>
  <c r="Y78" i="26" s="1"/>
  <c r="K96" i="55"/>
  <c r="K128" i="55"/>
  <c r="U99" i="75"/>
  <c r="U97" i="75" s="1"/>
  <c r="U100" i="75" s="1"/>
  <c r="N19" i="38"/>
  <c r="N46" i="38" s="1"/>
  <c r="N47" i="38" s="1"/>
  <c r="L46" i="38"/>
  <c r="L47" i="38" s="1"/>
  <c r="AD50" i="30"/>
  <c r="U12" i="30"/>
  <c r="AD49" i="30" s="1"/>
  <c r="G25" i="21"/>
  <c r="T38" i="75"/>
  <c r="T99" i="75"/>
  <c r="T97" i="75" s="1"/>
  <c r="T100" i="75" s="1"/>
  <c r="H41" i="75"/>
  <c r="AF17" i="20"/>
  <c r="AF15" i="20"/>
  <c r="AF18" i="20" s="1"/>
  <c r="Z57" i="20"/>
  <c r="Z58" i="20" s="1"/>
  <c r="S2" i="50"/>
  <c r="AH56" i="70"/>
  <c r="AG16" i="20"/>
  <c r="R43" i="30"/>
  <c r="H26" i="21"/>
  <c r="I33" i="59"/>
  <c r="J68" i="59"/>
  <c r="J32" i="59" s="1"/>
  <c r="I103" i="55"/>
  <c r="I70" i="55"/>
  <c r="X69" i="59"/>
  <c r="Y70" i="59"/>
  <c r="I71" i="38"/>
  <c r="I73" i="38"/>
  <c r="P43" i="30"/>
  <c r="F26" i="21"/>
  <c r="V43" i="30"/>
  <c r="L26" i="21"/>
  <c r="AB73" i="26"/>
  <c r="AI71" i="59"/>
  <c r="AI73" i="59" s="1"/>
  <c r="AI72" i="59" s="1"/>
  <c r="U81" i="26"/>
  <c r="AO13" i="26"/>
  <c r="O97" i="75"/>
  <c r="O100" i="75" s="1"/>
  <c r="AG51" i="59"/>
  <c r="AF26" i="59"/>
  <c r="AF66" i="59" s="1"/>
  <c r="AK20" i="70"/>
  <c r="AK27" i="70" s="1"/>
  <c r="I6" i="71" s="1"/>
  <c r="K32" i="55"/>
  <c r="J109" i="75"/>
  <c r="J37" i="75" s="1"/>
  <c r="D47" i="26"/>
  <c r="M20" i="26"/>
  <c r="M78" i="26" s="1"/>
  <c r="M73" i="26" s="1"/>
  <c r="V102" i="75"/>
  <c r="W103" i="75"/>
  <c r="O64" i="59"/>
  <c r="O67" i="59" s="1"/>
  <c r="H103" i="55"/>
  <c r="H70" i="55"/>
  <c r="AO33" i="26"/>
  <c r="S98" i="75"/>
  <c r="S97" i="75" s="1"/>
  <c r="S100" i="75" s="1"/>
  <c r="S27" i="75"/>
  <c r="S26" i="75" s="1"/>
  <c r="S29" i="75" s="1"/>
  <c r="N43" i="30"/>
  <c r="D26" i="21"/>
  <c r="F88" i="55"/>
  <c r="F121" i="55"/>
  <c r="N76" i="26"/>
  <c r="N73" i="26" s="1"/>
  <c r="N15" i="26"/>
  <c r="N20" i="26" s="1"/>
  <c r="N78" i="26" s="1"/>
  <c r="O28" i="26"/>
  <c r="N27" i="26"/>
  <c r="M97" i="75"/>
  <c r="M100" i="75" s="1"/>
  <c r="J96" i="55"/>
  <c r="J128" i="55"/>
  <c r="AH12" i="30"/>
  <c r="AG11" i="30"/>
  <c r="AG46" i="30" s="1"/>
  <c r="AB104" i="75"/>
  <c r="AB106" i="75" s="1"/>
  <c r="AB105" i="75" s="1"/>
  <c r="G78" i="55"/>
  <c r="G111" i="55"/>
  <c r="M25" i="21"/>
  <c r="AF28" i="49" l="1"/>
  <c r="D10" i="35" s="1"/>
  <c r="F12" i="55" s="1"/>
  <c r="D11" i="35"/>
  <c r="F13" i="55" s="1"/>
  <c r="AF38" i="82"/>
  <c r="E10" i="84"/>
  <c r="E11" i="84" s="1"/>
  <c r="K6" i="84"/>
  <c r="E8" i="84"/>
  <c r="E9" i="84" s="1"/>
  <c r="AM35" i="80"/>
  <c r="AF32" i="82"/>
  <c r="AF34" i="82"/>
  <c r="F3" i="84"/>
  <c r="L6" i="84"/>
  <c r="F10" i="84"/>
  <c r="G6" i="84"/>
  <c r="F8" i="84"/>
  <c r="AJ71" i="82"/>
  <c r="AJ69" i="82" s="1"/>
  <c r="AJ68" i="82" s="1"/>
  <c r="AI18" i="82"/>
  <c r="AG30" i="82"/>
  <c r="AI66" i="82"/>
  <c r="M85" i="82"/>
  <c r="M86" i="82" s="1"/>
  <c r="AE29" i="49"/>
  <c r="E117" i="55"/>
  <c r="AE10" i="26"/>
  <c r="AE9" i="26" s="1"/>
  <c r="AF38" i="59"/>
  <c r="AG26" i="49"/>
  <c r="AI12" i="49"/>
  <c r="AJ12" i="49" s="1"/>
  <c r="AK12" i="49" s="1"/>
  <c r="E110" i="55"/>
  <c r="E77" i="55"/>
  <c r="AJ71" i="59"/>
  <c r="AJ73" i="59" s="1"/>
  <c r="AJ72" i="59" s="1"/>
  <c r="M94" i="59"/>
  <c r="AH14" i="59"/>
  <c r="M57" i="20"/>
  <c r="M58" i="20" s="1"/>
  <c r="F2" i="50"/>
  <c r="AC104" i="75"/>
  <c r="AC106" i="75" s="1"/>
  <c r="AC105" i="75"/>
  <c r="G88" i="55"/>
  <c r="G121" i="55"/>
  <c r="AI12" i="30"/>
  <c r="AH11" i="30"/>
  <c r="AH46" i="30" s="1"/>
  <c r="AB57" i="20"/>
  <c r="AB58" i="20" s="1"/>
  <c r="U2" i="50"/>
  <c r="Y14" i="74"/>
  <c r="Y13" i="74" s="1"/>
  <c r="Y11" i="74"/>
  <c r="Y19" i="74" s="1"/>
  <c r="Z12" i="74"/>
  <c r="E76" i="55"/>
  <c r="E109" i="55"/>
  <c r="K68" i="59"/>
  <c r="K32" i="59" s="1"/>
  <c r="J76" i="59"/>
  <c r="J29" i="59" s="1"/>
  <c r="Y73" i="26"/>
  <c r="T45" i="38"/>
  <c r="P45" i="38" s="1"/>
  <c r="P44" i="38"/>
  <c r="R44" i="38" s="1"/>
  <c r="AG39" i="59"/>
  <c r="J129" i="55"/>
  <c r="J97" i="55"/>
  <c r="K129" i="55"/>
  <c r="K97" i="55"/>
  <c r="AL14" i="20"/>
  <c r="J4" i="35" s="1"/>
  <c r="Q43" i="30"/>
  <c r="G26" i="21"/>
  <c r="J70" i="55"/>
  <c r="J103" i="55"/>
  <c r="AA36" i="20"/>
  <c r="AA20" i="20"/>
  <c r="Z85" i="75"/>
  <c r="Y24" i="75"/>
  <c r="Y28" i="75" s="1"/>
  <c r="Y26" i="75" s="1"/>
  <c r="Y34" i="75"/>
  <c r="Y99" i="75" s="1"/>
  <c r="AH51" i="59"/>
  <c r="AG26" i="59"/>
  <c r="AG66" i="59" s="1"/>
  <c r="N57" i="20"/>
  <c r="N58" i="20" s="1"/>
  <c r="G2" i="50"/>
  <c r="AI15" i="25"/>
  <c r="AI14" i="25" s="1"/>
  <c r="AI11" i="25"/>
  <c r="AI20" i="25" s="1"/>
  <c r="AJ13" i="25"/>
  <c r="AG17" i="20"/>
  <c r="AG15" i="20"/>
  <c r="AG18" i="20" s="1"/>
  <c r="G105" i="55"/>
  <c r="G72" i="55"/>
  <c r="W102" i="75"/>
  <c r="X103" i="75"/>
  <c r="AI56" i="70"/>
  <c r="AH16" i="20"/>
  <c r="Q36" i="38"/>
  <c r="Q46" i="38" s="1"/>
  <c r="Q47" i="38" s="1"/>
  <c r="O46" i="38"/>
  <c r="O47" i="38" s="1"/>
  <c r="W43" i="30"/>
  <c r="M26" i="21"/>
  <c r="J39" i="75"/>
  <c r="J41" i="75" s="1"/>
  <c r="K101" i="75"/>
  <c r="H111" i="55"/>
  <c r="H78" i="55"/>
  <c r="O76" i="26"/>
  <c r="O15" i="26"/>
  <c r="P28" i="26"/>
  <c r="O27" i="26"/>
  <c r="Y69" i="59"/>
  <c r="Z70" i="59"/>
  <c r="Z20" i="20"/>
  <c r="Z36" i="20"/>
  <c r="X16" i="59"/>
  <c r="X20" i="25"/>
  <c r="X15" i="59" s="1"/>
  <c r="Y21" i="25"/>
  <c r="G74" i="55"/>
  <c r="G107" i="55"/>
  <c r="AE57" i="20"/>
  <c r="AE58" i="20" s="1"/>
  <c r="W64" i="59"/>
  <c r="W67" i="59" s="1"/>
  <c r="AJ10" i="33"/>
  <c r="AI17" i="59"/>
  <c r="E47" i="26"/>
  <c r="E43" i="26" s="1"/>
  <c r="D43" i="26"/>
  <c r="AF78" i="26"/>
  <c r="AF73" i="26" s="1"/>
  <c r="AF11" i="26"/>
  <c r="AG20" i="26"/>
  <c r="AK17" i="30"/>
  <c r="AJ13" i="30"/>
  <c r="AG28" i="49" l="1"/>
  <c r="E10" i="35" s="1"/>
  <c r="G12" i="55" s="1"/>
  <c r="E11" i="35"/>
  <c r="G13" i="55" s="1"/>
  <c r="AG38" i="82"/>
  <c r="AJ18" i="82"/>
  <c r="F4" i="84"/>
  <c r="AE35" i="82"/>
  <c r="AG32" i="82"/>
  <c r="AG34" i="82"/>
  <c r="G10" i="84"/>
  <c r="I6" i="84"/>
  <c r="I8" i="84" s="1"/>
  <c r="G8" i="84"/>
  <c r="G4" i="84"/>
  <c r="F11" i="84"/>
  <c r="L4" i="84"/>
  <c r="F9" i="84"/>
  <c r="G3" i="84"/>
  <c r="L3" i="84"/>
  <c r="E84" i="55"/>
  <c r="AJ66" i="82"/>
  <c r="AK71" i="82"/>
  <c r="AK69" i="82" s="1"/>
  <c r="AK68" i="82" s="1"/>
  <c r="M88" i="82"/>
  <c r="AH30" i="82"/>
  <c r="J33" i="59"/>
  <c r="J17" i="49"/>
  <c r="J18" i="49" s="1"/>
  <c r="AL12" i="49"/>
  <c r="AM12" i="49" s="1"/>
  <c r="AN12" i="49" s="1"/>
  <c r="F110" i="55"/>
  <c r="F77" i="55"/>
  <c r="AH26" i="49"/>
  <c r="AG38" i="59"/>
  <c r="AF10" i="26"/>
  <c r="AF9" i="26" s="1"/>
  <c r="AF29" i="49"/>
  <c r="AK71" i="59"/>
  <c r="AK73" i="59" s="1"/>
  <c r="AK72" i="59" s="1"/>
  <c r="K39" i="75"/>
  <c r="L101" i="75"/>
  <c r="K109" i="75"/>
  <c r="K37" i="75" s="1"/>
  <c r="AJ56" i="70"/>
  <c r="AI16" i="20"/>
  <c r="AM40" i="80"/>
  <c r="N36" i="20"/>
  <c r="N20" i="20"/>
  <c r="AH20" i="26"/>
  <c r="AG78" i="26"/>
  <c r="AG73" i="26" s="1"/>
  <c r="AG11" i="26"/>
  <c r="E101" i="55"/>
  <c r="E68" i="55"/>
  <c r="AD104" i="75"/>
  <c r="AD106" i="75" s="1"/>
  <c r="AD105" i="75" s="1"/>
  <c r="Z11" i="74"/>
  <c r="Z19" i="74" s="1"/>
  <c r="AA12" i="74"/>
  <c r="Z14" i="74"/>
  <c r="Z13" i="74" s="1"/>
  <c r="AH17" i="20"/>
  <c r="AH15" i="20"/>
  <c r="AH18" i="20" s="1"/>
  <c r="X102" i="75"/>
  <c r="Y103" i="75"/>
  <c r="Q28" i="26"/>
  <c r="P15" i="26"/>
  <c r="P20" i="26" s="1"/>
  <c r="P78" i="26" s="1"/>
  <c r="P27" i="26"/>
  <c r="P76" i="26"/>
  <c r="AF57" i="20"/>
  <c r="AF58" i="20" s="1"/>
  <c r="O20" i="26"/>
  <c r="O78" i="26" s="1"/>
  <c r="O73" i="26" s="1"/>
  <c r="AI51" i="59"/>
  <c r="AH26" i="59"/>
  <c r="AH66" i="59" s="1"/>
  <c r="G119" i="55"/>
  <c r="G86" i="55"/>
  <c r="AA70" i="59"/>
  <c r="Z69" i="59"/>
  <c r="F117" i="55"/>
  <c r="F84" i="55"/>
  <c r="M36" i="20"/>
  <c r="M20" i="20"/>
  <c r="H74" i="55"/>
  <c r="H107" i="55"/>
  <c r="Y14" i="75"/>
  <c r="Y16" i="59"/>
  <c r="Y20" i="25"/>
  <c r="Y15" i="59" s="1"/>
  <c r="X14" i="59"/>
  <c r="X65" i="59" s="1"/>
  <c r="X64" i="59" s="1"/>
  <c r="X67" i="59" s="1"/>
  <c r="AA85" i="75"/>
  <c r="Z34" i="75"/>
  <c r="Z99" i="75" s="1"/>
  <c r="Z24" i="75"/>
  <c r="H88" i="55"/>
  <c r="H121" i="55"/>
  <c r="R45" i="38"/>
  <c r="R46" i="38" s="1"/>
  <c r="R47" i="38" s="1"/>
  <c r="P46" i="38"/>
  <c r="P47" i="38" s="1"/>
  <c r="M95" i="59"/>
  <c r="M97" i="59"/>
  <c r="AH39" i="59"/>
  <c r="I111" i="55"/>
  <c r="I78" i="55"/>
  <c r="X14" i="75"/>
  <c r="AJ15" i="25"/>
  <c r="AJ14" i="25" s="1"/>
  <c r="AJ11" i="25"/>
  <c r="AJ20" i="25" s="1"/>
  <c r="AK13" i="25"/>
  <c r="Y57" i="20"/>
  <c r="Y58" i="20" s="1"/>
  <c r="R2" i="50"/>
  <c r="AB20" i="20"/>
  <c r="AB36" i="20"/>
  <c r="AI14" i="59"/>
  <c r="AM14" i="20"/>
  <c r="H86" i="55"/>
  <c r="H119" i="55"/>
  <c r="H72" i="55"/>
  <c r="H105" i="55"/>
  <c r="AL17" i="30"/>
  <c r="AK13" i="30"/>
  <c r="AJ17" i="59"/>
  <c r="AK10" i="33"/>
  <c r="K70" i="55"/>
  <c r="K103" i="55"/>
  <c r="L68" i="59"/>
  <c r="L32" i="59" s="1"/>
  <c r="K76" i="59"/>
  <c r="K29" i="59" s="1"/>
  <c r="AJ12" i="30"/>
  <c r="AI11" i="30"/>
  <c r="AI46" i="30" s="1"/>
  <c r="AH28" i="49" l="1"/>
  <c r="F10" i="35" s="1"/>
  <c r="H12" i="55" s="1"/>
  <c r="F11" i="35"/>
  <c r="H13" i="55" s="1"/>
  <c r="AH38" i="82"/>
  <c r="AK18" i="82"/>
  <c r="G11" i="84"/>
  <c r="I4" i="84"/>
  <c r="AH32" i="82"/>
  <c r="AH34" i="82"/>
  <c r="I3" i="84"/>
  <c r="I9" i="84" s="1"/>
  <c r="G9" i="84"/>
  <c r="AK66" i="82"/>
  <c r="AL71" i="82"/>
  <c r="AL69" i="82" s="1"/>
  <c r="AL68" i="82" s="1"/>
  <c r="AI30" i="82"/>
  <c r="F76" i="55"/>
  <c r="F109" i="55"/>
  <c r="G110" i="55"/>
  <c r="G77" i="55"/>
  <c r="AG29" i="49"/>
  <c r="AG10" i="26"/>
  <c r="AG9" i="26" s="1"/>
  <c r="AH38" i="59"/>
  <c r="AI26" i="49"/>
  <c r="J19" i="49"/>
  <c r="K19" i="49"/>
  <c r="O57" i="20"/>
  <c r="O58" i="20" s="1"/>
  <c r="H2" i="50"/>
  <c r="AE104" i="75"/>
  <c r="AE106" i="75" s="1"/>
  <c r="AE105" i="75" s="1"/>
  <c r="AL71" i="59"/>
  <c r="AL73" i="59" s="1"/>
  <c r="AL72" i="59" s="1"/>
  <c r="AK12" i="30"/>
  <c r="AJ11" i="30"/>
  <c r="AJ46" i="30" s="1"/>
  <c r="F101" i="55"/>
  <c r="F68" i="55"/>
  <c r="AH11" i="26"/>
  <c r="AH78" i="26"/>
  <c r="AH73" i="26" s="1"/>
  <c r="AI20" i="26"/>
  <c r="AM17" i="30"/>
  <c r="AL13" i="30"/>
  <c r="AJ14" i="59"/>
  <c r="K33" i="59"/>
  <c r="D3" i="50" s="1"/>
  <c r="AA34" i="75"/>
  <c r="AA99" i="75" s="1"/>
  <c r="AA24" i="75"/>
  <c r="AB85" i="75"/>
  <c r="M68" i="59"/>
  <c r="M32" i="59" s="1"/>
  <c r="L76" i="59"/>
  <c r="L29" i="59" s="1"/>
  <c r="P73" i="26"/>
  <c r="AI17" i="20"/>
  <c r="AI15" i="20"/>
  <c r="AI18" i="20" s="1"/>
  <c r="I86" i="55"/>
  <c r="I119" i="55"/>
  <c r="AK56" i="70"/>
  <c r="AJ16" i="20"/>
  <c r="AL13" i="25"/>
  <c r="AK11" i="25"/>
  <c r="AK20" i="25" s="1"/>
  <c r="AK15" i="25"/>
  <c r="AK14" i="25" s="1"/>
  <c r="I74" i="55"/>
  <c r="I107" i="55"/>
  <c r="Q15" i="26"/>
  <c r="Q20" i="26" s="1"/>
  <c r="Q78" i="26" s="1"/>
  <c r="Q76" i="26"/>
  <c r="Q73" i="26" s="1"/>
  <c r="R28" i="26"/>
  <c r="Q27" i="26"/>
  <c r="L39" i="75"/>
  <c r="M101" i="75"/>
  <c r="L109" i="75"/>
  <c r="L37" i="75" s="1"/>
  <c r="K41" i="75"/>
  <c r="Z28" i="75"/>
  <c r="Z26" i="75" s="1"/>
  <c r="AB12" i="74"/>
  <c r="AA14" i="74"/>
  <c r="AA13" i="74" s="1"/>
  <c r="AA11" i="74" s="1"/>
  <c r="AA19" i="74" s="1"/>
  <c r="AN14" i="20"/>
  <c r="J111" i="55"/>
  <c r="J78" i="55"/>
  <c r="AA69" i="59"/>
  <c r="AB70" i="59"/>
  <c r="AK17" i="59"/>
  <c r="AL10" i="33"/>
  <c r="Z103" i="75"/>
  <c r="Y102" i="75"/>
  <c r="I72" i="55"/>
  <c r="I105" i="55"/>
  <c r="AG57" i="20"/>
  <c r="AG58" i="20" s="1"/>
  <c r="AI39" i="59"/>
  <c r="G117" i="55"/>
  <c r="G84" i="55"/>
  <c r="Y20" i="20"/>
  <c r="Y36" i="20"/>
  <c r="Y14" i="59"/>
  <c r="Y65" i="59" s="1"/>
  <c r="Y64" i="59" s="1"/>
  <c r="Y67" i="59" s="1"/>
  <c r="I88" i="55"/>
  <c r="I121" i="55"/>
  <c r="AI26" i="59"/>
  <c r="AI66" i="59" s="1"/>
  <c r="AJ51" i="59"/>
  <c r="AI28" i="49" l="1"/>
  <c r="G10" i="35" s="1"/>
  <c r="I12" i="55" s="1"/>
  <c r="G11" i="35"/>
  <c r="I13" i="55" s="1"/>
  <c r="AI38" i="82"/>
  <c r="AL18" i="82"/>
  <c r="AI32" i="82"/>
  <c r="AI34" i="82"/>
  <c r="AL66" i="82"/>
  <c r="AM71" i="82"/>
  <c r="AM69" i="82" s="1"/>
  <c r="AM68" i="82" s="1"/>
  <c r="AJ30" i="82"/>
  <c r="AH29" i="49"/>
  <c r="AH10" i="26"/>
  <c r="AH9" i="26" s="1"/>
  <c r="H110" i="55"/>
  <c r="H77" i="55"/>
  <c r="AJ26" i="49"/>
  <c r="AI38" i="59"/>
  <c r="G76" i="55"/>
  <c r="G109" i="55"/>
  <c r="AF105" i="75"/>
  <c r="AF104" i="75"/>
  <c r="AF106" i="75" s="1"/>
  <c r="AJ39" i="59"/>
  <c r="AA103" i="75"/>
  <c r="Z102" i="75"/>
  <c r="AC12" i="74"/>
  <c r="AB14" i="74"/>
  <c r="AB13" i="74" s="1"/>
  <c r="AB11" i="74" s="1"/>
  <c r="AB19" i="74" s="1"/>
  <c r="AH57" i="20"/>
  <c r="AH58" i="20" s="1"/>
  <c r="L41" i="75"/>
  <c r="AA28" i="75"/>
  <c r="AA26" i="75" s="1"/>
  <c r="AC70" i="59"/>
  <c r="AB69" i="59"/>
  <c r="N68" i="59"/>
  <c r="N32" i="59" s="1"/>
  <c r="M76" i="59"/>
  <c r="M29" i="59" s="1"/>
  <c r="Q57" i="20"/>
  <c r="Q58" i="20" s="1"/>
  <c r="J2" i="50"/>
  <c r="L33" i="59"/>
  <c r="E3" i="50" s="1"/>
  <c r="AK14" i="59"/>
  <c r="AC85" i="75"/>
  <c r="AB34" i="75"/>
  <c r="AB99" i="75" s="1"/>
  <c r="AB24" i="75"/>
  <c r="J72" i="55"/>
  <c r="J105" i="55"/>
  <c r="AJ17" i="20"/>
  <c r="AJ15" i="20"/>
  <c r="AJ18" i="20" s="1"/>
  <c r="H117" i="55"/>
  <c r="H84" i="55"/>
  <c r="AL56" i="70"/>
  <c r="AK16" i="20"/>
  <c r="AM71" i="59"/>
  <c r="AM73" i="59" s="1"/>
  <c r="AM72" i="59" s="1"/>
  <c r="J74" i="55"/>
  <c r="J107" i="55"/>
  <c r="AL12" i="30"/>
  <c r="AK11" i="30"/>
  <c r="AK46" i="30" s="1"/>
  <c r="AJ26" i="59"/>
  <c r="AJ66" i="59" s="1"/>
  <c r="AK51" i="59"/>
  <c r="G101" i="55"/>
  <c r="G68" i="55"/>
  <c r="K111" i="55"/>
  <c r="K78" i="55"/>
  <c r="AM13" i="25"/>
  <c r="AL11" i="25"/>
  <c r="AL20" i="25" s="1"/>
  <c r="AL14" i="59" s="1"/>
  <c r="AL15" i="25"/>
  <c r="AL14" i="25" s="1"/>
  <c r="J88" i="55"/>
  <c r="J121" i="55"/>
  <c r="AL17" i="59"/>
  <c r="AM10" i="33"/>
  <c r="K22" i="33"/>
  <c r="M39" i="75"/>
  <c r="N101" i="75"/>
  <c r="M109" i="75"/>
  <c r="M37" i="75" s="1"/>
  <c r="R15" i="26"/>
  <c r="S28" i="26"/>
  <c r="R27" i="26"/>
  <c r="R76" i="26"/>
  <c r="P57" i="20"/>
  <c r="P58" i="20" s="1"/>
  <c r="I2" i="50"/>
  <c r="AN17" i="30"/>
  <c r="AN13" i="30" s="1"/>
  <c r="AM13" i="30"/>
  <c r="AI78" i="26"/>
  <c r="AI73" i="26" s="1"/>
  <c r="AI11" i="26"/>
  <c r="AJ20" i="26"/>
  <c r="O20" i="20"/>
  <c r="O36" i="20"/>
  <c r="AJ28" i="49" l="1"/>
  <c r="H10" i="35" s="1"/>
  <c r="J12" i="55" s="1"/>
  <c r="H11" i="35"/>
  <c r="J13" i="55" s="1"/>
  <c r="AJ38" i="82"/>
  <c r="E87" i="55"/>
  <c r="E120" i="55"/>
  <c r="AM18" i="82"/>
  <c r="AJ32" i="82"/>
  <c r="AJ34" i="82"/>
  <c r="AM66" i="82"/>
  <c r="AN71" i="82"/>
  <c r="AN69" i="82" s="1"/>
  <c r="AN68" i="82" s="1"/>
  <c r="AK30" i="82"/>
  <c r="N85" i="82"/>
  <c r="M33" i="59"/>
  <c r="F3" i="50" s="1"/>
  <c r="AI29" i="49"/>
  <c r="AI10" i="26"/>
  <c r="AI9" i="26" s="1"/>
  <c r="AK26" i="49"/>
  <c r="AJ38" i="59"/>
  <c r="I77" i="55"/>
  <c r="I110" i="55"/>
  <c r="H76" i="55"/>
  <c r="H109" i="55"/>
  <c r="AN71" i="59"/>
  <c r="AN73" i="59" s="1"/>
  <c r="AN72" i="59" s="1"/>
  <c r="N94" i="59"/>
  <c r="M41" i="75"/>
  <c r="AJ78" i="26"/>
  <c r="AJ73" i="26" s="1"/>
  <c r="AK20" i="26"/>
  <c r="AJ11" i="26"/>
  <c r="E85" i="55"/>
  <c r="E118" i="55"/>
  <c r="AD85" i="75"/>
  <c r="AE85" i="75" s="1"/>
  <c r="AF85" i="75" s="1"/>
  <c r="AG85" i="75" s="1"/>
  <c r="AC24" i="75"/>
  <c r="AC34" i="75"/>
  <c r="AC99" i="75" s="1"/>
  <c r="AC14" i="74"/>
  <c r="AC13" i="74" s="1"/>
  <c r="AC11" i="74" s="1"/>
  <c r="AC19" i="74" s="1"/>
  <c r="J86" i="55"/>
  <c r="J119" i="55"/>
  <c r="K88" i="55"/>
  <c r="K121" i="55"/>
  <c r="AM56" i="70"/>
  <c r="AL16" i="20"/>
  <c r="N39" i="75"/>
  <c r="O101" i="75"/>
  <c r="N109" i="75"/>
  <c r="N37" i="75" s="1"/>
  <c r="AK26" i="59"/>
  <c r="AK66" i="59" s="1"/>
  <c r="AL51" i="59"/>
  <c r="AI57" i="20"/>
  <c r="AI58" i="20" s="1"/>
  <c r="Q20" i="20"/>
  <c r="Q36" i="20"/>
  <c r="AM17" i="59"/>
  <c r="AN10" i="33"/>
  <c r="AN17" i="59" s="1"/>
  <c r="AA102" i="75"/>
  <c r="AB103" i="75"/>
  <c r="P20" i="20"/>
  <c r="P36" i="20"/>
  <c r="I117" i="55"/>
  <c r="I84" i="55"/>
  <c r="K72" i="55"/>
  <c r="K105" i="55"/>
  <c r="R73" i="26"/>
  <c r="O68" i="59"/>
  <c r="O32" i="59" s="1"/>
  <c r="N76" i="59"/>
  <c r="N29" i="59" s="1"/>
  <c r="AK39" i="59"/>
  <c r="K74" i="55"/>
  <c r="K107" i="55"/>
  <c r="AM12" i="30"/>
  <c r="AL11" i="30"/>
  <c r="AL46" i="30" s="1"/>
  <c r="H101" i="55"/>
  <c r="H68" i="55"/>
  <c r="AB28" i="75"/>
  <c r="AB26" i="75" s="1"/>
  <c r="AD70" i="59"/>
  <c r="AC69" i="59"/>
  <c r="S76" i="26"/>
  <c r="S27" i="26"/>
  <c r="S15" i="26"/>
  <c r="S20" i="26" s="1"/>
  <c r="S78" i="26" s="1"/>
  <c r="T28" i="26"/>
  <c r="AN13" i="25"/>
  <c r="AM11" i="25"/>
  <c r="AM20" i="25" s="1"/>
  <c r="AM14" i="59" s="1"/>
  <c r="AM15" i="25"/>
  <c r="AM14" i="25" s="1"/>
  <c r="R20" i="26"/>
  <c r="R78" i="26" s="1"/>
  <c r="AK17" i="20"/>
  <c r="AK15" i="20"/>
  <c r="AK18" i="20" s="1"/>
  <c r="AK28" i="49" l="1"/>
  <c r="I10" i="35" s="1"/>
  <c r="K12" i="55" s="1"/>
  <c r="I11" i="35"/>
  <c r="K13" i="55" s="1"/>
  <c r="AK38" i="82"/>
  <c r="F87" i="55"/>
  <c r="F120" i="55"/>
  <c r="AK32" i="82"/>
  <c r="AK34" i="82"/>
  <c r="AN66" i="82"/>
  <c r="AN18" i="82"/>
  <c r="AL30" i="82"/>
  <c r="N86" i="82"/>
  <c r="N88" i="82"/>
  <c r="AL26" i="49"/>
  <c r="AK38" i="59"/>
  <c r="J77" i="55"/>
  <c r="J110" i="55"/>
  <c r="AJ29" i="49"/>
  <c r="AJ10" i="26"/>
  <c r="AJ9" i="26" s="1"/>
  <c r="I109" i="55"/>
  <c r="I76" i="55"/>
  <c r="G85" i="55"/>
  <c r="G118" i="55"/>
  <c r="O39" i="75"/>
  <c r="P101" i="75"/>
  <c r="O109" i="75"/>
  <c r="O37" i="75" s="1"/>
  <c r="AL26" i="59"/>
  <c r="AM51" i="59"/>
  <c r="AN15" i="25"/>
  <c r="AN14" i="25" s="1"/>
  <c r="AN11" i="25"/>
  <c r="AN20" i="25" s="1"/>
  <c r="AN14" i="59" s="1"/>
  <c r="J84" i="55"/>
  <c r="J117" i="55"/>
  <c r="N41" i="75"/>
  <c r="F85" i="55"/>
  <c r="F118" i="55"/>
  <c r="AL17" i="20"/>
  <c r="AL15" i="20"/>
  <c r="AL18" i="20" s="1"/>
  <c r="AN56" i="70"/>
  <c r="AN16" i="20" s="1"/>
  <c r="AM16" i="20"/>
  <c r="AJ57" i="20"/>
  <c r="AJ58" i="20" s="1"/>
  <c r="AM11" i="30"/>
  <c r="AM46" i="30" s="1"/>
  <c r="AN12" i="30"/>
  <c r="AN11" i="30" s="1"/>
  <c r="AN46" i="30" s="1"/>
  <c r="P68" i="59"/>
  <c r="P32" i="59" s="1"/>
  <c r="O76" i="59"/>
  <c r="O29" i="59" s="1"/>
  <c r="AC28" i="75"/>
  <c r="AC26" i="75" s="1"/>
  <c r="U28" i="26"/>
  <c r="T76" i="26"/>
  <c r="T27" i="26"/>
  <c r="T15" i="26"/>
  <c r="T20" i="26" s="1"/>
  <c r="T78" i="26" s="1"/>
  <c r="S73" i="26"/>
  <c r="N33" i="59"/>
  <c r="G3" i="50" s="1"/>
  <c r="AE70" i="59"/>
  <c r="AD69" i="59"/>
  <c r="N97" i="59"/>
  <c r="N95" i="59"/>
  <c r="AL39" i="59"/>
  <c r="AM39" i="59" s="1"/>
  <c r="AN39" i="59" s="1"/>
  <c r="AL20" i="26"/>
  <c r="AK78" i="26"/>
  <c r="AK73" i="26" s="1"/>
  <c r="AK11" i="26"/>
  <c r="K86" i="55"/>
  <c r="K119" i="55"/>
  <c r="AB102" i="75"/>
  <c r="AC103" i="75"/>
  <c r="R57" i="20"/>
  <c r="R58" i="20" s="1"/>
  <c r="K2" i="50"/>
  <c r="I101" i="55"/>
  <c r="I68" i="55"/>
  <c r="AL28" i="49" l="1"/>
  <c r="J10" i="35" s="1"/>
  <c r="J11" i="35"/>
  <c r="AL38" i="82"/>
  <c r="G120" i="55"/>
  <c r="G87" i="55"/>
  <c r="AL32" i="82"/>
  <c r="AL34" i="82"/>
  <c r="AN30" i="82"/>
  <c r="AN32" i="82" s="1"/>
  <c r="AM30" i="82"/>
  <c r="AM32" i="82" s="1"/>
  <c r="J76" i="55"/>
  <c r="J109" i="55"/>
  <c r="K77" i="55"/>
  <c r="K110" i="55"/>
  <c r="AM26" i="49"/>
  <c r="AL38" i="59"/>
  <c r="AK10" i="26"/>
  <c r="AK9" i="26" s="1"/>
  <c r="AK29" i="49"/>
  <c r="V28" i="26"/>
  <c r="U27" i="26"/>
  <c r="U76" i="26"/>
  <c r="U73" i="26" s="1"/>
  <c r="U15" i="26"/>
  <c r="U20" i="26" s="1"/>
  <c r="U78" i="26" s="1"/>
  <c r="AK57" i="20"/>
  <c r="AK58" i="20" s="1"/>
  <c r="AL78" i="26"/>
  <c r="AL73" i="26" s="1"/>
  <c r="AL57" i="20" s="1"/>
  <c r="AL58" i="20" s="1"/>
  <c r="AM20" i="26"/>
  <c r="AL11" i="26"/>
  <c r="AN17" i="20"/>
  <c r="AN15" i="20"/>
  <c r="O41" i="75"/>
  <c r="D135" i="75"/>
  <c r="K84" i="55"/>
  <c r="K117" i="55"/>
  <c r="AM17" i="20"/>
  <c r="AM15" i="20"/>
  <c r="AM18" i="20" s="1"/>
  <c r="H118" i="55"/>
  <c r="H85" i="55"/>
  <c r="J101" i="55"/>
  <c r="J68" i="55"/>
  <c r="R20" i="20"/>
  <c r="R36" i="20"/>
  <c r="T73" i="26"/>
  <c r="AC102" i="75"/>
  <c r="AD103" i="75"/>
  <c r="Q68" i="59"/>
  <c r="Q32" i="59" s="1"/>
  <c r="P76" i="59"/>
  <c r="P29" i="59" s="1"/>
  <c r="AM26" i="59"/>
  <c r="AN51" i="59"/>
  <c r="AN26" i="59" s="1"/>
  <c r="AN66" i="59" s="1"/>
  <c r="AF70" i="59"/>
  <c r="AE69" i="59"/>
  <c r="O33" i="59"/>
  <c r="H3" i="50" s="1"/>
  <c r="S57" i="20"/>
  <c r="S58" i="20" s="1"/>
  <c r="L2" i="50"/>
  <c r="AL66" i="59"/>
  <c r="Q101" i="75"/>
  <c r="P39" i="75"/>
  <c r="P109" i="75"/>
  <c r="P37" i="75" s="1"/>
  <c r="AM28" i="49" l="1"/>
  <c r="AM38" i="82"/>
  <c r="H120" i="55"/>
  <c r="H87" i="55"/>
  <c r="AN18" i="20"/>
  <c r="P33" i="59"/>
  <c r="I3" i="50" s="1"/>
  <c r="AM38" i="59"/>
  <c r="AN26" i="49"/>
  <c r="AL10" i="26"/>
  <c r="AL29" i="49"/>
  <c r="K109" i="55"/>
  <c r="K76" i="55"/>
  <c r="AL9" i="26"/>
  <c r="K101" i="55"/>
  <c r="K68" i="55"/>
  <c r="T57" i="20"/>
  <c r="T58" i="20" s="1"/>
  <c r="M2" i="50"/>
  <c r="AG70" i="59"/>
  <c r="AF69" i="59"/>
  <c r="AM78" i="26"/>
  <c r="AM73" i="26" s="1"/>
  <c r="AM57" i="20" s="1"/>
  <c r="AM58" i="20" s="1"/>
  <c r="AN20" i="26"/>
  <c r="AM11" i="26"/>
  <c r="AE103" i="75"/>
  <c r="AD102" i="75"/>
  <c r="U57" i="20"/>
  <c r="U58" i="20" s="1"/>
  <c r="N2" i="50"/>
  <c r="R68" i="59"/>
  <c r="R32" i="59" s="1"/>
  <c r="Q76" i="59"/>
  <c r="Q29" i="59" s="1"/>
  <c r="S20" i="20"/>
  <c r="S36" i="20"/>
  <c r="V76" i="26"/>
  <c r="V27" i="26"/>
  <c r="W28" i="26"/>
  <c r="V15" i="26"/>
  <c r="V20" i="26" s="1"/>
  <c r="V78" i="26" s="1"/>
  <c r="P41" i="75"/>
  <c r="AM66" i="59"/>
  <c r="I118" i="55"/>
  <c r="I85" i="55"/>
  <c r="R101" i="75"/>
  <c r="Q39" i="75"/>
  <c r="Q41" i="75" s="1"/>
  <c r="Q109" i="75"/>
  <c r="Q37" i="75" s="1"/>
  <c r="AN28" i="49" l="1"/>
  <c r="AN38" i="82"/>
  <c r="I87" i="55"/>
  <c r="I120" i="55"/>
  <c r="AN10" i="26"/>
  <c r="AN38" i="59"/>
  <c r="AM10" i="26"/>
  <c r="AM9" i="26" s="1"/>
  <c r="AM29" i="49"/>
  <c r="S101" i="75"/>
  <c r="R39" i="75"/>
  <c r="R41" i="75" s="1"/>
  <c r="R109" i="75"/>
  <c r="R37" i="75" s="1"/>
  <c r="AE102" i="75"/>
  <c r="AF103" i="75"/>
  <c r="AF102" i="75" s="1"/>
  <c r="AN78" i="26"/>
  <c r="AN73" i="26" s="1"/>
  <c r="AN57" i="20" s="1"/>
  <c r="AN58" i="20" s="1"/>
  <c r="AN11" i="26"/>
  <c r="AH70" i="59"/>
  <c r="AG69" i="59"/>
  <c r="Q33" i="59"/>
  <c r="J3" i="50" s="1"/>
  <c r="T36" i="20"/>
  <c r="T20" i="20"/>
  <c r="U20" i="20"/>
  <c r="U36" i="20"/>
  <c r="J118" i="55"/>
  <c r="J85" i="55"/>
  <c r="S68" i="59"/>
  <c r="S32" i="59" s="1"/>
  <c r="R76" i="59"/>
  <c r="R29" i="59" s="1"/>
  <c r="W76" i="26"/>
  <c r="X28" i="26"/>
  <c r="W27" i="26"/>
  <c r="W15" i="26"/>
  <c r="W20" i="26" s="1"/>
  <c r="W78" i="26" s="1"/>
  <c r="V73" i="26"/>
  <c r="AN9" i="26" l="1"/>
  <c r="J87" i="55"/>
  <c r="J120" i="55"/>
  <c r="R33" i="59"/>
  <c r="K3" i="50" s="1"/>
  <c r="AN29" i="49"/>
  <c r="T68" i="59"/>
  <c r="T32" i="59" s="1"/>
  <c r="S76" i="59"/>
  <c r="S29" i="59" s="1"/>
  <c r="AI70" i="59"/>
  <c r="AH69" i="59"/>
  <c r="W73" i="26"/>
  <c r="X76" i="26"/>
  <c r="X27" i="26"/>
  <c r="AO27" i="26" s="1"/>
  <c r="X15" i="26"/>
  <c r="AO28" i="26"/>
  <c r="AP15" i="26" s="1"/>
  <c r="V57" i="20"/>
  <c r="V58" i="20" s="1"/>
  <c r="O2" i="50"/>
  <c r="T101" i="75"/>
  <c r="S39" i="75"/>
  <c r="S109" i="75"/>
  <c r="S37" i="75" s="1"/>
  <c r="K120" i="55" l="1"/>
  <c r="K87" i="55"/>
  <c r="K118" i="55"/>
  <c r="K85" i="55"/>
  <c r="X20" i="26"/>
  <c r="X78" i="26" s="1"/>
  <c r="AO15" i="26"/>
  <c r="X73" i="26"/>
  <c r="W57" i="20"/>
  <c r="W58" i="20" s="1"/>
  <c r="P2" i="50"/>
  <c r="S41" i="75"/>
  <c r="E135" i="75"/>
  <c r="U101" i="75"/>
  <c r="T39" i="75"/>
  <c r="T109" i="75"/>
  <c r="T37" i="75" s="1"/>
  <c r="AJ70" i="59"/>
  <c r="AI69" i="59"/>
  <c r="V20" i="20"/>
  <c r="V36" i="20"/>
  <c r="S33" i="59"/>
  <c r="L3" i="50" s="1"/>
  <c r="U68" i="59"/>
  <c r="U32" i="59" s="1"/>
  <c r="T76" i="59"/>
  <c r="T29" i="59" s="1"/>
  <c r="T41" i="75" l="1"/>
  <c r="T33" i="59"/>
  <c r="M3" i="50" s="1"/>
  <c r="V68" i="59"/>
  <c r="V32" i="59" s="1"/>
  <c r="U76" i="59"/>
  <c r="U29" i="59" s="1"/>
  <c r="W20" i="20"/>
  <c r="W36" i="20"/>
  <c r="X57" i="20"/>
  <c r="X58" i="20" s="1"/>
  <c r="Q2" i="50"/>
  <c r="V101" i="75"/>
  <c r="U39" i="75"/>
  <c r="U109" i="75"/>
  <c r="U37" i="75" s="1"/>
  <c r="AK70" i="59"/>
  <c r="AJ69" i="59"/>
  <c r="U41" i="75" l="1"/>
  <c r="V39" i="75"/>
  <c r="W101" i="75"/>
  <c r="V109" i="75"/>
  <c r="X36" i="20"/>
  <c r="X20" i="20"/>
  <c r="U33" i="59"/>
  <c r="N3" i="50" s="1"/>
  <c r="W68" i="59"/>
  <c r="W32" i="59" s="1"/>
  <c r="V76" i="59"/>
  <c r="V29" i="59" s="1"/>
  <c r="AK69" i="59"/>
  <c r="AL70" i="59"/>
  <c r="V33" i="59" l="1"/>
  <c r="O3" i="50" s="1"/>
  <c r="AM70" i="59"/>
  <c r="AL69" i="59"/>
  <c r="X68" i="59"/>
  <c r="X32" i="59" s="1"/>
  <c r="W76" i="59"/>
  <c r="W29" i="59" s="1"/>
  <c r="W39" i="75"/>
  <c r="X101" i="75"/>
  <c r="V43" i="75"/>
  <c r="V41" i="75"/>
  <c r="V52" i="75"/>
  <c r="V37" i="75"/>
  <c r="W109" i="75"/>
  <c r="W33" i="59" l="1"/>
  <c r="P3" i="50" s="1"/>
  <c r="W37" i="75"/>
  <c r="W12" i="75" s="1"/>
  <c r="F133" i="75" s="1"/>
  <c r="F137" i="75" s="1"/>
  <c r="X109" i="75"/>
  <c r="W41" i="75"/>
  <c r="F135" i="75"/>
  <c r="Y68" i="59"/>
  <c r="Y32" i="59" s="1"/>
  <c r="X76" i="59"/>
  <c r="X29" i="59" s="1"/>
  <c r="X39" i="75"/>
  <c r="Y101" i="75"/>
  <c r="AN70" i="59"/>
  <c r="AN69" i="59" s="1"/>
  <c r="AM69" i="59"/>
  <c r="X33" i="59" l="1"/>
  <c r="Q3" i="50" s="1"/>
  <c r="Y39" i="75"/>
  <c r="Z101" i="75"/>
  <c r="Z68" i="59"/>
  <c r="Z32" i="59" s="1"/>
  <c r="Y76" i="59"/>
  <c r="Y29" i="59" s="1"/>
  <c r="X37" i="75"/>
  <c r="X12" i="75" s="1"/>
  <c r="Y109" i="75"/>
  <c r="Y33" i="59" l="1"/>
  <c r="R3" i="50" s="1"/>
  <c r="AA68" i="59"/>
  <c r="AA32" i="59" s="1"/>
  <c r="Z76" i="59"/>
  <c r="Z29" i="59" s="1"/>
  <c r="X41" i="75"/>
  <c r="Y37" i="75"/>
  <c r="Y12" i="75" s="1"/>
  <c r="Z109" i="75"/>
  <c r="Z39" i="75"/>
  <c r="AA101" i="75"/>
  <c r="Y41" i="75"/>
  <c r="AA109" i="75" l="1"/>
  <c r="Z37" i="75"/>
  <c r="Z12" i="75" s="1"/>
  <c r="Z41" i="75"/>
  <c r="G135" i="75"/>
  <c r="AA39" i="75"/>
  <c r="AB101" i="75"/>
  <c r="Z33" i="59"/>
  <c r="S3" i="50" s="1"/>
  <c r="AB68" i="59"/>
  <c r="AB32" i="59" s="1"/>
  <c r="AA76" i="59"/>
  <c r="AA29" i="59" s="1"/>
  <c r="AC68" i="59" l="1"/>
  <c r="AB76" i="59"/>
  <c r="AB29" i="59" s="1"/>
  <c r="AB39" i="75"/>
  <c r="AC101" i="75"/>
  <c r="AA33" i="59"/>
  <c r="T3" i="50" s="1"/>
  <c r="AB109" i="75"/>
  <c r="AA37" i="75"/>
  <c r="AA12" i="75" s="1"/>
  <c r="G133" i="75" s="1"/>
  <c r="G137" i="75" s="1"/>
  <c r="AA41" i="75"/>
  <c r="AD68" i="59" l="1"/>
  <c r="AD32" i="59" s="1"/>
  <c r="AC32" i="59"/>
  <c r="AD76" i="59"/>
  <c r="AD29" i="59" s="1"/>
  <c r="AB33" i="59"/>
  <c r="U3" i="50" s="1"/>
  <c r="AC39" i="75"/>
  <c r="AD101" i="75"/>
  <c r="AE101" i="75" s="1"/>
  <c r="AF101" i="75" s="1"/>
  <c r="AB41" i="75"/>
  <c r="AB37" i="75"/>
  <c r="AB12" i="75" s="1"/>
  <c r="AC109" i="75"/>
  <c r="AC76" i="59"/>
  <c r="AC29" i="59" s="1"/>
  <c r="AE68" i="59" l="1"/>
  <c r="AE32" i="59" s="1"/>
  <c r="AC33" i="59"/>
  <c r="V3" i="50" s="1"/>
  <c r="AD33" i="59"/>
  <c r="AC37" i="75"/>
  <c r="AC12" i="75" s="1"/>
  <c r="AD109" i="75"/>
  <c r="AE109" i="75" s="1"/>
  <c r="AF109" i="75" s="1"/>
  <c r="AC41" i="75" l="1"/>
  <c r="AE76" i="59"/>
  <c r="AE29" i="59" s="1"/>
  <c r="AE12" i="59" s="1"/>
  <c r="AF68" i="59"/>
  <c r="AF32" i="59" s="1"/>
  <c r="AE33" i="59" l="1"/>
  <c r="W3" i="50"/>
  <c r="AG68" i="59"/>
  <c r="AG32" i="59" s="1"/>
  <c r="AF76" i="59"/>
  <c r="AF29" i="59" l="1"/>
  <c r="AF12" i="59" s="1"/>
  <c r="AG76" i="59"/>
  <c r="AH68" i="59"/>
  <c r="AH32" i="59" s="1"/>
  <c r="AF33" i="59"/>
  <c r="AI68" i="59" l="1"/>
  <c r="AI32" i="59" s="1"/>
  <c r="AG29" i="59"/>
  <c r="AG12" i="59" s="1"/>
  <c r="AH76" i="59"/>
  <c r="AJ68" i="59" l="1"/>
  <c r="AJ32" i="59" s="1"/>
  <c r="AH29" i="59"/>
  <c r="AH12" i="59" s="1"/>
  <c r="AI76" i="59"/>
  <c r="AG33" i="59"/>
  <c r="AH33" i="59" l="1"/>
  <c r="AI29" i="59"/>
  <c r="AI12" i="59" s="1"/>
  <c r="AJ76" i="59"/>
  <c r="AK68" i="59"/>
  <c r="AK32" i="59" s="1"/>
  <c r="AI33" i="59" l="1"/>
  <c r="AL68" i="59"/>
  <c r="AL32" i="59" s="1"/>
  <c r="AJ29" i="59"/>
  <c r="AJ12" i="59" s="1"/>
  <c r="AK76" i="59"/>
  <c r="AL76" i="59" l="1"/>
  <c r="AK29" i="59"/>
  <c r="AK12" i="59" s="1"/>
  <c r="AM68" i="59"/>
  <c r="AM32" i="59" s="1"/>
  <c r="AJ33" i="59"/>
  <c r="AK33" i="59" l="1"/>
  <c r="AN68" i="59"/>
  <c r="AN32" i="59" s="1"/>
  <c r="AM76" i="59"/>
  <c r="AL29" i="59"/>
  <c r="AL12" i="59" s="1"/>
  <c r="AN76" i="59" l="1"/>
  <c r="AN29" i="59" s="1"/>
  <c r="AN12" i="59" s="1"/>
  <c r="AM29" i="59"/>
  <c r="AM12" i="59" s="1"/>
  <c r="AL33" i="59"/>
  <c r="AM33" i="59" l="1"/>
  <c r="AN33" i="59"/>
  <c r="D76" i="59"/>
  <c r="D29" i="59" s="1"/>
  <c r="D33" i="59" s="1"/>
  <c r="AF12" i="82"/>
  <c r="AF33" i="82" s="1"/>
  <c r="AH12" i="82"/>
  <c r="AH33" i="82" s="1"/>
  <c r="AH35" i="82" l="1"/>
  <c r="F17" i="35"/>
  <c r="H19" i="55" s="1"/>
  <c r="AF35" i="82"/>
  <c r="D17" i="35"/>
  <c r="F19" i="55" s="1"/>
  <c r="AH36" i="82"/>
  <c r="AF36" i="82"/>
  <c r="AG12" i="82"/>
  <c r="AG33" i="82" s="1"/>
  <c r="AI12" i="82"/>
  <c r="AI33" i="82" s="1"/>
  <c r="AG35" i="82" l="1"/>
  <c r="E17" i="35"/>
  <c r="G19" i="55" s="1"/>
  <c r="AI35" i="82"/>
  <c r="G17" i="35"/>
  <c r="I19" i="55" s="1"/>
  <c r="F116" i="55"/>
  <c r="F83" i="55"/>
  <c r="H83" i="55"/>
  <c r="H116" i="55"/>
  <c r="AE36" i="82"/>
  <c r="AI36" i="82"/>
  <c r="AG36" i="82"/>
  <c r="AJ12" i="82"/>
  <c r="AJ33" i="82" s="1"/>
  <c r="AJ35" i="82" l="1"/>
  <c r="H17" i="35"/>
  <c r="J19" i="55" s="1"/>
  <c r="I83" i="55"/>
  <c r="I116" i="55"/>
  <c r="G83" i="55"/>
  <c r="G116" i="55"/>
  <c r="E83" i="55"/>
  <c r="E116" i="55"/>
  <c r="AJ36" i="82"/>
  <c r="AK12" i="82"/>
  <c r="AK33" i="82" s="1"/>
  <c r="AK35" i="82" l="1"/>
  <c r="I17" i="35"/>
  <c r="K19" i="55" s="1"/>
  <c r="J116" i="55"/>
  <c r="J83" i="55"/>
  <c r="AK36" i="82"/>
  <c r="AL12" i="82"/>
  <c r="AL33" i="82" s="1"/>
  <c r="J17" i="35" s="1"/>
  <c r="AL35" i="82" l="1"/>
  <c r="K116" i="55"/>
  <c r="K83" i="55"/>
  <c r="AL36" i="82"/>
  <c r="AN12" i="82"/>
  <c r="AN33" i="82" s="1"/>
  <c r="AM12" i="82"/>
  <c r="AM33" i="8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tc={C38F3C01-0C60-4CFA-B700-C810A0051A24}</author>
  </authors>
  <commentList>
    <comment ref="A2" authorId="0" shapeId="0" xr:uid="{00000000-0006-0000-0900-000001000000}">
      <text>
        <t>[Threaded comment]
Your version of Excel allows you to read this threaded comment; however, any edits to it will get removed if the file is opened in a newer version of Excel. Learn more: https://go.microsoft.com/fwlink/?linkid=870924
Comment:
    https://www.bea.gov/data/income-saving/personal-income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tc={E01C7D51-1793-4A61-9FD5-357953FC571D}</author>
  </authors>
  <commentList>
    <comment ref="L10" authorId="0" shapeId="0" xr:uid="{00000000-0006-0000-0B00-000001000000}">
      <text>
        <t>[Threaded comment]
Your version of Excel allows you to read this threaded comment; however, any edits to it will get removed if the file is opened in a newer version of Excel. Learn more: https://go.microsoft.com/fwlink/?linkid=870924
Comment:
    Q10, Q11, and Q12 mpcs were changed from 0% to 3.0%</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tc={8BCD2D6E-E5B2-4670-B5B5-84790E4FF7D9}</author>
    <author>tc={D9A1C32B-382A-44CE-B60A-7CEFD093B9EC}</author>
    <author>tc={9A78D78B-9B91-4B19-B3C5-F387312A4076}</author>
    <author>tc={2738E40F-5E63-45A6-A7D0-04539F543CE4}</author>
  </authors>
  <commentList>
    <comment ref="W20" authorId="0" shapeId="0" xr:uid="{00000000-0006-0000-0C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3" authorId="1" shapeId="0" xr:uid="{00000000-0006-0000-0C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
Reply:
    This is now July 2023 CBO Ten Year Economic Projections, Quarterly Table, Row 68 from 2023 Q2 onwards
Reply:
    This is now February 2024 CBO Economic Projections, Quarterly Table, Row 68 from 2023 Q2 onward
Reply:
    This is now June 2024 CBO Economic Projections, Quarterly table row 68 from 2021 Q1 onward
Reply:
    This is now January 2025, CBO Economic Projections, Quarterly table, Row 68 from 2022 Q1 onward</t>
      </text>
    </comment>
    <comment ref="AG23" authorId="2" shapeId="0" xr:uid="{00000000-0006-0000-0C00-000003000000}">
      <text>
        <t>[Threaded comment]
Your version of Excel allows you to read this threaded comment; however, any edits to it will get removed if the file is opened in a newer version of Excel. Learn more: https://go.microsoft.com/fwlink/?linkid=870924
Comment:
    We decided to set this equal to the previous quarter estimate as a temporary measure.</t>
      </text>
    </comment>
    <comment ref="S24" authorId="3" shapeId="0" xr:uid="{00000000-0006-0000-0C00-000004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tc={D946413E-762D-4FFC-9209-11EBCBD51016}</author>
    <author>tc={E1041433-BA01-41BE-A250-949526A70696}</author>
    <author>tc={094D651B-B0D2-4E5E-BE0F-3F7EDDB28A27}</author>
  </authors>
  <commentList>
    <comment ref="W19" authorId="0" shapeId="0" xr:uid="{00000000-0006-0000-0D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2" authorId="1" shapeId="0" xr:uid="{00000000-0006-0000-0D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t>
      </text>
    </comment>
    <comment ref="S23" authorId="2" shapeId="0" xr:uid="{00000000-0006-0000-0D00-000003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tc={673F74FB-BA04-41E9-9E2C-E07872BBC47F}</author>
    <author>tc={F234B5B6-B19D-4AC0-9DB4-A48A2D200CCC}</author>
    <author>tc={8D2135C1-1504-4F9B-942F-01E6B6321912}</author>
    <author>tc={52B73EBC-59DE-4AFE-A4BC-5DCFD4E527B4}</author>
    <author>tc={BB2BD600-D27D-45BD-8287-F361E12EE9C4}</author>
    <author>tc={EC883E67-97AD-460D-B658-F12FDD429342}</author>
    <author>tc={57CD4897-BB4E-42F1-89BB-E63A5874F81B}</author>
    <author>tc={9D68663E-7375-4798-AF31-C3B40AF84CDB}</author>
    <author>tc={4D719FE1-A97C-46FC-9D71-7ECFBB4F6D87}</author>
    <author>tc={91C8DEB0-37FF-4A76-9EDD-8709F55CAF73}</author>
    <author>tc={ECD0E9C9-87A4-46F8-8BE1-5E2BEC9520B3}</author>
    <author>tc={E702D61C-4760-4164-BD3F-5AB302CA98ED}</author>
    <author>tc={776019CE-8128-450F-A25E-EF6C5707CFC6}</author>
    <author>tc={EF6EC7A7-A475-49DC-B77E-29BB35266C5E}</author>
  </authors>
  <commentList>
    <comment ref="AN9" authorId="0" shapeId="0" xr:uid="{00000000-0006-0000-0E00-000001000000}">
      <text>
        <t>[Threaded comment]
Your version of Excel allows you to read this threaded comment; however, any edits to it will get removed if the file is opened in a newer version of Excel. Learn more: https://go.microsoft.com/fwlink/?linkid=870924
Comment:
    These are Divs because we have not yet forcasted the FMAP in 2027. This pulls from the Medicaid sheet.</t>
      </text>
    </comment>
    <comment ref="J12" authorId="1" shapeId="0" xr:uid="{00000000-0006-0000-0E00-000002000000}">
      <text>
        <t>[Threaded comment]
Your version of Excel allows you to read this threaded comment; however, any edits to it will get removed if the file is opened in a newer version of Excel. Learn more: https://go.microsoft.com/fwlink/?linkid=870924
Comment:
    This series is continued in row 19, "Coronavirus Fiscal Recovery Fund." It is not a mistake that there are blanks here!!</t>
      </text>
    </comment>
    <comment ref="U13" authorId="2" shapeId="0" xr:uid="{00000000-0006-0000-0E00-000003000000}">
      <text>
        <t>[Threaded comment]
Your version of Excel allows you to read this threaded comment; however, any edits to it will get removed if the file is opened in a newer version of Excel. Learn more: https://go.microsoft.com/fwlink/?linkid=870924
Comment:
    Despite the fact that BEA has stopped reporting this as a separate line item, we've decided to still include it in our calculations because we believe that our assumptions about the ESF diminishing are close to the truth.</t>
      </text>
    </comment>
    <comment ref="S25" authorId="3" shapeId="0" xr:uid="{00000000-0006-0000-0E00-000004000000}">
      <text>
        <t>[Threaded comment]
Your version of Excel allows you to read this threaded comment; however, any edits to it will get removed if the file is opened in a newer version of Excel. Learn more: https://go.microsoft.com/fwlink/?linkid=870924
Comment:
    Add factor to match data</t>
      </text>
    </comment>
    <comment ref="C53" authorId="4" shapeId="0" xr:uid="{00000000-0006-0000-0E00-000005000000}">
      <text>
        <t>[Threaded comment]
Your version of Excel allows you to read this threaded comment; however, any edits to it will get removed if the file is opened in a newer version of Excel. Learn more: https://go.microsoft.com/fwlink/?linkid=870924
Comment:
    https://www.cbo.gov/system/files/2020-04/hr748.pdf</t>
      </text>
    </comment>
    <comment ref="C54" authorId="5" shapeId="0" xr:uid="{00000000-0006-0000-0E00-000006000000}">
      <text>
        <t>[Threaded comment]
Your version of Excel allows you to read this threaded comment; however, any edits to it will get removed if the file is opened in a newer version of Excel. Learn more: https://go.microsoft.com/fwlink/?linkid=870924
Comment:
    The total Education Stabilization Fund is 30 billion; we lower by 8 billion to account for parts of the fund that go to private universities (which we wouldn't classify as a grant to state and local governments).</t>
      </text>
    </comment>
    <comment ref="C55" authorId="6" shapeId="0" xr:uid="{00000000-0006-0000-0E00-000007000000}">
      <text>
        <t>[Threaded comment]
Your version of Excel allows you to read this threaded comment; however, any edits to it will get removed if the file is opened in a newer version of Excel. Learn more: https://go.microsoft.com/fwlink/?linkid=870924
Comment:
    Total provider relief fund is 100, but we assume that 27% is in the form of grants based on the BEA data that came in.</t>
      </text>
    </comment>
    <comment ref="B79" authorId="7" shapeId="0" xr:uid="{00000000-0006-0000-0E00-000008000000}">
      <text>
        <t>[Threaded comment]
Your version of Excel allows you to read this threaded comment; however, any edits to it will get removed if the file is opened in a newer version of Excel. Learn more: https://go.microsoft.com/fwlink/?linkid=870924
Comment:
    This is a policy update since May 2022 CBO update, but the Grants number was not updated by CBO. So do we delete this line or is it still included?</t>
      </text>
    </comment>
    <comment ref="J81" authorId="8" shapeId="0" xr:uid="{00000000-0006-0000-0E00-000009000000}">
      <text>
        <t>[Threaded comment]
Your version of Excel allows you to read this threaded comment; however, any edits to it will get removed if the file is opened in a newer version of Excel. Learn more: https://go.microsoft.com/fwlink/?linkid=870924
Comment:
    Using data -- not a different spending pattern</t>
      </text>
    </comment>
    <comment ref="AG81" authorId="9" shapeId="0" xr:uid="{00000000-0006-0000-0E00-00000A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AG83" authorId="10" shapeId="0" xr:uid="{00000000-0006-0000-0E00-00000B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R94" authorId="11" shapeId="0" xr:uid="{00000000-0006-0000-0E00-00000C000000}">
      <text>
        <t>[Threaded comment]
Your version of Excel allows you to read this threaded comment; however, any edits to it will get removed if the file is opened in a newer version of Excel. Learn more: https://go.microsoft.com/fwlink/?linkid=870924
Comment:
    Using previous forecast because of reallocation by the BEA</t>
      </text>
    </comment>
    <comment ref="S94" authorId="12" shapeId="0" xr:uid="{00000000-0006-0000-0E00-00000D000000}">
      <text>
        <t>[Threaded comment]
Your version of Excel allows you to read this threaded comment; however, any edits to it will get removed if the file is opened in a newer version of Excel. Learn more: https://go.microsoft.com/fwlink/?linkid=870924
Comment:
    Don't pull again</t>
      </text>
    </comment>
    <comment ref="B95" authorId="13" shapeId="0" xr:uid="{00000000-0006-0000-0E00-00000E000000}">
      <text>
        <t>[Threaded comment]
Your version of Excel allows you to read this threaded comment; however, any edits to it will get removed if the file is opened in a newer version of Excel. Learn more: https://go.microsoft.com/fwlink/?linkid=870924
Comment:
    Similar question to row 85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tc={976B723C-4211-4969-882A-4B89C4902055}</author>
    <author>tc={02F35ABE-CA0E-4752-B4BE-50C4C795E703}</author>
    <author>tc={0ADCB210-D448-44DD-A5EE-5E6E7334408B}</author>
    <author>tc={3D5BBFAC-4E76-4F2A-B34F-264D54111B07}</author>
    <author>tc={E7D459C7-D63C-4E4A-AE4E-B08D7B79CF4D}</author>
    <author>tc={C146291D-B06B-4D46-A30C-B289BA81D51C}</author>
  </authors>
  <commentList>
    <comment ref="B9" authorId="0" shapeId="0" xr:uid="{00000000-0006-0000-0F00-000001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127 quarterly table
Reply:
    This is now February 2023 CBO economic projections row 127 quarterly table
Reply:
    This is now July 2023 CBO economic projections row 127 quarterly table
Reply:
    This is now February 2024 CBO economic projections row 129 quarterly table.
Reply:
    This is now June 2024 CBO Economic Projections Quarterly table row 129 from 2021 Q1 onward
Reply:
    This is now January 2025 CBO Economic Projections Quarterly table row 129 from 2022 Q1 onward</t>
      </text>
    </comment>
    <comment ref="B13" authorId="1" shapeId="0" xr:uid="{00000000-0006-0000-0F00-000002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128 quarterly table
Reply:
    This is now February 2023 CBO economic projections row 128 quarterly table
Reply:
    This is now July 2023 CBO economic projections row 128 quarterly table
Reply:
    This is now February 2024 CBO economic projections row 130 quarterly table
Reply:
    This is now June 2024 CBO Economic Projections Quarterly table row 130 from 2021 Q1 onward.
Reply:
    This is now January 2025 CBO Economic Projections Quarterly table row 130 from 2022 Q1 onward.</t>
      </text>
    </comment>
    <comment ref="AG14" authorId="2" shapeId="0" xr:uid="{00000000-0006-0000-0F00-000003000000}">
      <text>
        <t>[Threaded comment]
Your version of Excel allows you to read this threaded comment; however, any edits to it will get removed if the file is opened in a newer version of Excel. Learn more: https://go.microsoft.com/fwlink/?linkid=870924
Comment:
    This number isn't a valid projection until we get a 2026 Q1 growth rate.</t>
      </text>
    </comment>
    <comment ref="B32" authorId="3" shapeId="0" xr:uid="{00000000-0006-0000-0F00-000004000000}">
      <text>
        <t xml:space="preserve">[Threaded comment]
Your version of Excel allows you to read this threaded comment; however, any edits to it will get removed if the file is opened in a newer version of Excel. Learn more: https://go.microsoft.com/fwlink/?linkid=870924
Comment:
    May 2022 CBO economic projections row 129 quarterly table
Reply:
    This is now February 2023 CBO economic projections row 129 quarterly table
Reply:
    This is now July 2023 CBO economic projections row 129 quarterly table
Reply:
    This is now February 2024 CBO economic projections row 131 quarterly table.
Reply:
    This is now June 2024 CBO Economic Projections Quarterly table row 131 from 2021 Q1 onward.
Reply:
    This is now January 2025 CBO Economic Projections Quarterly table row 131 from 2022 Q1 onward. </t>
      </text>
    </comment>
    <comment ref="B33" authorId="4" shapeId="0" xr:uid="{00000000-0006-0000-0F00-000005000000}">
      <text>
        <t xml:space="preserve">[Threaded comment]
Your version of Excel allows you to read this threaded comment; however, any edits to it will get removed if the file is opened in a newer version of Excel. Learn more: https://go.microsoft.com/fwlink/?linkid=870924
Comment:
    These data are from June 2024 CBO Economic Projections Quarterly table, row 132 from 2021 Q1 onward.
Reply:
    These data are from January 2025 CBO Economic Projections Quarterly table, raw 132 from 2022 Q1 onward. </t>
      </text>
    </comment>
    <comment ref="B40" authorId="5" shapeId="0" xr:uid="{00000000-0006-0000-0F00-00000600000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tc={C8AD5ECB-6700-45F3-8A5E-89F70EFCEC27}</author>
    <author>tc={3E7AAE05-9E76-4CF3-873B-76FF197F21FE}</author>
    <author>tc={9C6B073E-F7AB-4CBA-B38C-DC03A0972F64}</author>
    <author>tc={B5E978D5-CE65-4AE2-8DD7-1EF95BA9E399}</author>
    <author>tc={DB908DB8-ED36-4713-AE3C-B9DFD0F93D1E}</author>
    <author>tc={531C2B30-B748-4992-BA59-32A200D8CA7B}</author>
    <author>tc={02CD4DDF-2C52-45CC-A7C0-F81AC2D1A26A}</author>
    <author>tc={D984E10B-B7DF-4552-BF09-3EB2FF9587F0}</author>
    <author>tc={7010EE95-CECC-419E-AEDA-DD810575C98C}</author>
  </authors>
  <commentList>
    <comment ref="V12" authorId="0" shapeId="0" xr:uid="{00000000-0006-0000-1000-000001000000}">
      <text>
        <t>[Threaded comment]
Your version of Excel allows you to read this threaded comment; however, any edits to it will get removed if the file is opened in a newer version of Excel. Learn more: https://go.microsoft.com/fwlink/?linkid=870924
Comment:
    Assuming pre-pandemic trend is putting us too high</t>
      </text>
    </comment>
    <comment ref="R19" authorId="1" shapeId="0" xr:uid="{00000000-0006-0000-1000-000002000000}">
      <text>
        <t>[Threaded comment]
Your version of Excel allows you to read this threaded comment; however, any edits to it will get removed if the file is opened in a newer version of Excel. Learn more: https://go.microsoft.com/fwlink/?linkid=870924
Comment:
    We had these coming in at 21 and 6 respectively</t>
      </text>
    </comment>
    <comment ref="U20" authorId="2" shapeId="0" xr:uid="{00000000-0006-0000-1000-000003000000}">
      <text>
        <t>[Threaded comment]
Your version of Excel allows you to read this threaded comment; however, any edits to it will get removed if the file is opened in a newer version of Excel. Learn more: https://go.microsoft.com/fwlink/?linkid=870924
Comment:
    Preserving forecast formula since bea stopped reporting line item</t>
      </text>
    </comment>
    <comment ref="R22" authorId="3" shapeId="0" xr:uid="{00000000-0006-0000-1000-000004000000}">
      <text>
        <t>[Threaded comment]
Your version of Excel allows you to read this threaded comment; however, any edits to it will get removed if the file is opened in a newer version of Excel. Learn more: https://go.microsoft.com/fwlink/?linkid=870924
Comment:
    There was no total amount authorized for this program, and the SBA has stopped accepting applications as of January 2022.
https://www.sba.gov/funding-programs/loans/covid-19-relief-options/covid-19-economic-injury-disaster-loan/about-targeted-eidl-advance-supplemental-targeted-advance</t>
      </text>
    </comment>
    <comment ref="P25" authorId="4" shapeId="0" xr:uid="{00000000-0006-0000-1000-000005000000}">
      <text>
        <t>[Threaded comment]
Your version of Excel allows you to read this threaded comment; however, any edits to it will get removed if the file is opened in a newer version of Excel. Learn more: https://go.microsoft.com/fwlink/?linkid=870924
Comment:
    This is used to keep line 12 (non-leg subsidies) at a consistent level</t>
      </text>
    </comment>
    <comment ref="B26" authorId="5" shapeId="0" xr:uid="{00000000-0006-0000-1000-000006000000}">
      <text>
        <t>[Threaded comment]
Your version of Excel allows you to read this threaded comment; however, any edits to it will get removed if the file is opened in a newer version of Excel. Learn more: https://go.microsoft.com/fwlink/?linkid=870924
Comment:
    This row and the next are policy lines since the May 2022 CBO update, but we don't get a CBO line for Total Federal Subsidies. So do we delete these rows?</t>
      </text>
    </comment>
    <comment ref="R45" authorId="6" shapeId="0" xr:uid="{00000000-0006-0000-1000-000007000000}">
      <text>
        <t>[Threaded comment]
Your version of Excel allows you to read this threaded comment; however, any edits to it will get removed if the file is opened in a newer version of Excel. Learn more: https://go.microsoft.com/fwlink/?linkid=870924
Comment:
    Flag because ARP subsidies come in 100 lower based on ARP score, non-ARP subsidies now much higher going forward.</t>
      </text>
    </comment>
    <comment ref="AG45" authorId="7" shapeId="0" xr:uid="{00000000-0006-0000-1000-000008000000}">
      <text>
        <t>[Threaded comment]
Your version of Excel allows you to read this threaded comment; however, any edits to it will get removed if the file is opened in a newer version of Excel. Learn more: https://go.microsoft.com/fwlink/?linkid=870924
Comment:
    Hard coded to 0 because ARP Quarterly runs out of data and this is small anyway.</t>
      </text>
    </comment>
    <comment ref="S46" authorId="8" shapeId="0" xr:uid="{00000000-0006-0000-1000-000009000000}">
      <text>
        <t>[Threaded comment]
Your version of Excel allows you to read this threaded comment; however, any edits to it will get removed if the file is opened in a newer version of Excel. Learn more: https://go.microsoft.com/fwlink/?linkid=870924
Comment:
    Should we forecast a negative number for this item?</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tc={4B9C304D-96FE-41EF-9E62-0CD883029070}</author>
    <author>tc={82EE6F66-A1E6-460B-AE87-4B0EC2A37501}</author>
    <author>tc={2F0D2920-F0F1-40FD-B319-7B4020276F9E}</author>
    <author>tc={09188FF2-A127-4014-A01D-03DD2BF0FA2E}</author>
    <author>tc={6A9D0C8A-F9C2-4EE0-B3A9-3E7911CC1731}</author>
    <author>tc={5E6012FC-E5EC-49B2-9F3E-FF9BACB20939}</author>
  </authors>
  <commentList>
    <comment ref="V12" authorId="0" shapeId="0" xr:uid="{00000000-0006-0000-1100-000001000000}">
      <text>
        <t>[Threaded comment]
Your version of Excel allows you to read this threaded comment; however, any edits to it will get removed if the file is opened in a newer version of Excel. Learn more: https://go.microsoft.com/fwlink/?linkid=870924
Comment:
    End of public health emergency,  April 2023, so FMAP share goes down.
Reply:
    How do we feel about FMAP stabilizing at 0.71 in our projections?</t>
      </text>
    </comment>
    <comment ref="W12" authorId="1" shapeId="0" xr:uid="{00000000-0006-0000-1100-000002000000}">
      <text>
        <t>[Threaded comment]
Your version of Excel allows you to read this threaded comment; however, any edits to it will get removed if the file is opened in a newer version of Excel. Learn more: https://go.microsoft.com/fwlink/?linkid=870924
Comment:
    We reduced this predicted FMAP from .745 to .72 because Q2 FMAP came in quite low</t>
      </text>
    </comment>
    <comment ref="B16" authorId="2" shapeId="0" xr:uid="{2F0D2920-F0F1-40FD-B319-7B4020276F9E}">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18
Reply:
    This is now February 2023 CBO 10-year budget projections table 1-4 Mandatory Outlays Adjusted to Exclude the Effect of Timing Shifts, row 15, starting from 2022
Reply:
    May 2023 CBO 10-year budget projections supplemental table 2 Major health care programs &gt; Medicaid (row 16) starting from Actual, 2022.
Reply:
    This is now February 2024 CBO 10-year budget projections table 1-4 Mandatory Outlays Adjusted to Exclude the Effect of Timing Shifts, row 15, starting from 2023
Reply:
    This is now June 2024 CBO Budget Projections table table 1-4 Mandatory Outlays Adjusted to Exclude the Effect of Timing Shifts, row 15, starting from 2023
Reply:
    This is now January 2025 CBO Budget Projections Table B-4 Mandatory Outlays Adjusted to Exclude Effects of Timing Shifts, row 16, starting from 2024 onward</t>
      </text>
    </comment>
    <comment ref="W26" authorId="3" shapeId="0" xr:uid="{00000000-0006-0000-1100-000005000000}">
      <text>
        <t>[Threaded comment]
Your version of Excel allows you to read this threaded comment; however, any edits to it will get removed if the file is opened in a newer version of Excel. Learn more: https://go.microsoft.com/fwlink/?linkid=870924
Comment:
    Medicaid has been growing much faster than the CBO 10-year budget predicts. So this might we worth revisiting because CBO's growth rate seems unrealistic</t>
      </text>
    </comment>
    <comment ref="AN26" authorId="4" shapeId="0" xr:uid="{00000000-0006-0000-1100-000006000000}">
      <text>
        <t>[Threaded comment]
Your version of Excel allows you to read this threaded comment; however, any edits to it will get removed if the file is opened in a newer version of Excel. Learn more: https://go.microsoft.com/fwlink/?linkid=870924
Comment:
    We need to fill in K18</t>
      </text>
    </comment>
    <comment ref="V27" authorId="5" shapeId="0" xr:uid="{00000000-0006-0000-1100-000007000000}">
      <text>
        <t>[Threaded comment]
Your version of Excel allows you to read this threaded comment; however, any edits to it will get removed if the file is opened in a newer version of Excel. Learn more: https://go.microsoft.com/fwlink/?linkid=870924
Comment:
    Is there any reason we want a 32 here? The formula doesn't have any dependents, so this is not factoring into anything.</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tc={0C364B02-A2A3-49F0-A7C3-0C757637A223}</author>
    <author>tc={FBCF6AFF-3308-4DB2-931F-AB1BC267CB41}</author>
    <author>tc={8EBBDF8F-92CB-4DA7-AB0C-805F6924BC38}</author>
  </authors>
  <commentList>
    <comment ref="AN13" authorId="0" shapeId="0" xr:uid="{00000000-0006-0000-1200-000001000000}">
      <text>
        <t xml:space="preserve">[Threaded comment]
Your version of Excel allows you to read this threaded comment; however, any edits to it will get removed if the file is opened in a newer version of Excel. Learn more: https://go.microsoft.com/fwlink/?linkid=870924
Comment:
    We need to fill in L26. </t>
      </text>
    </comment>
    <comment ref="B21" authorId="1" shapeId="0" xr:uid="{00000000-0006-0000-1200-000002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17
Reply:
    This is now February 2023 10-year budget projections table 1-4 Mandatory Outlays adjusted to exclude effect of timing shifts, row 14, from 2022
Reply:
    May 2023 CBO 10-year budget projections supplemental table 2 Major Health Care Programs &gt; Medicare (row 15) from Actual, 2022 onward
Reply:
    This is now February 2024 CBO 10-year budget projections table 1-4 Mandatory Outlays Adjusted to Exclude the Effect of Timing Shifts, row 14, from 2023
Reply:
    This is now June 2024 CBO 10-year budget projections table 1-4 Mandatory Outlays Adjusted to Exclude the Effect of Timing Shifts, row 14, from 2023
Reply:
    This is now January 2025 CBO 10-year budget projections Table B-4 Mandatory Outlays Adjusted to Exclude Effects of Timing Shifts, row 15, from 2024 onward.</t>
      </text>
    </comment>
    <comment ref="H26" authorId="2" shapeId="0" xr:uid="{00000000-0006-0000-1200-000003000000}">
      <text>
        <t>[Threaded comment]
Your version of Excel allows you to read this threaded comment; however, any edits to it will get removed if the file is opened in a newer version of Excel. Learn more: https://go.microsoft.com/fwlink/?linkid=870924
Comment:
    Bringing growth down because Medicare expenditures have been stagnant for 6 months on MPI</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tc={5E8C922E-2E18-4038-98CC-7367E12CF4D7}</author>
  </authors>
  <commentList>
    <comment ref="W12" authorId="0" shapeId="0" xr:uid="{00000000-0006-0000-1300-000001000000}">
      <text>
        <t>[Threaded comment]
Your version of Excel allows you to read this threaded comment; however, any edits to it will get removed if the file is opened in a newer version of Excel. Learn more: https://go.microsoft.com/fwlink/?linkid=870924
Comment:
    We reduced the CBO value (https://www.cbo.gov/system/files/2023-03/58983-IDR.pdf) by 90% because of Biden update in response to Supreme Court decision</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tc={2B05F784-F1D3-4B9A-9C9D-FB22DB0462A4}</author>
    <author>tc={B0AE173E-88C7-4C43-8692-EA69235B268A}</author>
    <author>tc={EC257424-3C35-4E89-BC13-81BB897D99B1}</author>
    <author>tc={2042EA8F-AFDD-40F5-975B-1EE9661A1F7D}</author>
    <author>tc={2B25D231-DC9A-41C0-A5B4-C4183E3EEBF2}</author>
    <author>tc={235CAA93-3154-4EE8-8464-7B6A92AD61AE}</author>
    <author>tc={AF07707A-0AB9-4DEF-BCDB-3A8A1879E97E}</author>
    <author>tc={83D694D8-9AA8-4EE4-BBD5-83FADB7033F7}</author>
    <author>tc={D527F62C-879E-4A08-96E8-D6F40D9D8EBB}</author>
    <author>tc={7AFF80FB-09A6-46E2-A0FD-31F1CA6ACC32}</author>
    <author>tc={A87F0E1F-EE65-4D57-8D74-EEA13146A4C2}</author>
  </authors>
  <commentList>
    <comment ref="V12" authorId="0" shapeId="0" xr:uid="{2B05F784-F1D3-4B9A-9C9D-FB22DB0462A4}">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3" authorId="1" shapeId="0" xr:uid="{B0AE173E-88C7-4C43-8692-EA69235B268A}">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3" authorId="2" shapeId="0" xr:uid="{EC257424-3C35-4E89-BC13-81BB897D99B1}">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4" authorId="3" shapeId="0" xr:uid="{2042EA8F-AFDD-40F5-975B-1EE9661A1F7D}">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5" authorId="4" shapeId="0" xr:uid="{2B25D231-DC9A-41C0-A5B4-C4183E3EEBF2}">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6" authorId="5" shapeId="0" xr:uid="{235CAA93-3154-4EE8-8464-7B6A92AD61AE}">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6" authorId="6" shapeId="0" xr:uid="{AF07707A-0AB9-4DEF-BCDB-3A8A1879E97E}">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28" authorId="7" shapeId="0" xr:uid="{83D694D8-9AA8-4EE4-BBD5-83FADB7033F7}">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29" authorId="8" shapeId="0" xr:uid="{D527F62C-879E-4A08-96E8-D6F40D9D8EBB}">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1" authorId="9" shapeId="0" xr:uid="{7AFF80FB-09A6-46E2-A0FD-31F1CA6ACC32}">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B84" authorId="10" shapeId="0" xr:uid="{A87F0E1F-EE65-4D57-8D74-EEA13146A4C2}">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tc={6350DECB-E20E-4FE7-9A29-BC589786D779}</author>
    <author>tc={6767E4FB-4829-4CD5-AEEC-0BA97744C71E}</author>
    <author>tc={3C26FD36-FE6D-4B81-A482-D74826E3238E}</author>
    <author>tc={59A4A92E-DA50-4267-9B77-C5251AC10E96}</author>
    <author>tc={FF905405-668F-4AD5-8561-FAD81F733CD5}</author>
    <author>tc={027891EE-BC20-4E84-BCD5-DDF14C8E085A}</author>
    <author>tc={78AD2FA3-CE6D-416B-915C-8F8A5F18C011}</author>
    <author>tc={18839BEA-1892-43F7-9B7C-C8BA87F8E840}</author>
    <author>tc={4A3E081A-000F-4763-BEB3-4B75D644680E}</author>
    <author>tc={24F09C86-2FE3-4072-8467-1006F6226F3C}</author>
    <author>tc={5536CB50-9B2E-49DB-8FB6-FE4C9D275551}</author>
    <author>tc={64D4B797-446F-4E27-97ED-3D39FA8FBF20}</author>
    <author>tc={FF3285FC-850B-4DDF-BAA6-257E96A3E2BD}</author>
    <author>tc={D3935682-1CE9-4274-952D-AB55B7B419FB}</author>
    <author>tc={26902BB8-BEBD-44CC-AB91-7830A6343BB8}</author>
    <author>tc={B36922C0-C175-49D8-ABB3-740311FEF209}</author>
  </authors>
  <commentList>
    <comment ref="V12" authorId="0" shapeId="0" xr:uid="{6350DECB-E20E-4FE7-9A29-BC589786D779}">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6767E4FB-4829-4CD5-AEEC-0BA97744C71E}">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3C26FD36-FE6D-4B81-A482-D74826E3238E}">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59A4A92E-DA50-4267-9B77-C5251AC10E96}">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FF905405-668F-4AD5-8561-FAD81F733CD5}">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27891EE-BC20-4E84-BCD5-DDF14C8E085A}">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78AD2FA3-CE6D-416B-915C-8F8A5F18C011}">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18839BEA-1892-43F7-9B7C-C8BA87F8E84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4A3E081A-000F-4763-BEB3-4B75D644680E}">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24F09C86-2FE3-4072-8467-1006F6226F3C}">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6" authorId="10" shapeId="0" xr:uid="{5536CB50-9B2E-49DB-8FB6-FE4C9D275551}">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6" authorId="11" shapeId="0" xr:uid="{64D4B797-446F-4E27-97ED-3D39FA8FBF2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6" authorId="12" shapeId="0" xr:uid="{FF3285FC-850B-4DDF-BAA6-257E96A3E2BD}">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6" authorId="13" shapeId="0" xr:uid="{D3935682-1CE9-4274-952D-AB55B7B419FB}">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6" authorId="14" shapeId="0" xr:uid="{26902BB8-BEBD-44CC-AB91-7830A6343BB8}">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1" authorId="15" shapeId="0" xr:uid="{B36922C0-C175-49D8-ABB3-740311FEF209}">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tc={36E0E18E-822C-4DD6-8410-5E4C883D1836}</author>
    <author>tc={3012ED06-42B4-440E-92A9-D4BCE51A80AC}</author>
    <author>tc={C3543641-BD77-4654-B0BF-74DF8DC9E44D}</author>
    <author>tc={A51AA54C-AAFD-4FFD-BD46-B7B54115E232}</author>
    <author>tc={344D7ABE-26E3-4303-8241-3B2D9BE19C4C}</author>
    <author>tc={581A763D-69E7-4316-A641-33877C6ED334}</author>
    <author>tc={62AD165D-7A82-4BF4-8868-C46B05D9A871}</author>
    <author>tc={88370A64-FBDF-4CF1-9910-136364F7D354}</author>
    <author>tc={9CD67460-E1CB-4B53-9C37-E18E4A204770}</author>
    <author>tc={E1EEB2AC-C029-4C98-981E-E7577AACBA1F}</author>
    <author>tc={8624CBF8-0C25-4544-B55E-7210BBE07E41}</author>
    <author>tc={B38BAE8E-DF30-49E2-9F96-90A1041E4DF0}</author>
    <author>tc={96427D88-0329-491C-A939-11D66B55F1C3}</author>
    <author>tc={8AABB420-F73D-4E8A-8DF7-F245078D4E11}</author>
    <author>tc={41707468-7438-4BC6-B704-F002DDD23F47}</author>
    <author>tc={6AF7CFB2-704D-4104-831C-CFDBBA2AEEEB}</author>
  </authors>
  <commentList>
    <comment ref="V12" authorId="0" shapeId="0" xr:uid="{00000000-0006-0000-14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4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4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4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4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4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4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4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1" authorId="8" shapeId="0" xr:uid="{00000000-0006-0000-14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1" authorId="9" shapeId="0" xr:uid="{00000000-0006-0000-14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8" authorId="10" shapeId="0" xr:uid="{00000000-0006-0000-14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8" authorId="11" shapeId="0" xr:uid="{00000000-0006-0000-14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8" authorId="12" shapeId="0" xr:uid="{00000000-0006-0000-14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8" authorId="13" shapeId="0" xr:uid="{00000000-0006-0000-14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8" authorId="14" shapeId="0" xr:uid="{00000000-0006-0000-14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3" authorId="15" shapeId="0" xr:uid="{00000000-0006-0000-14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tc={76E9D7B8-09F2-47A8-9199-FA1B0CD1F44F}</author>
    <author>tc={00380572-54B0-4EED-8076-994F46F5CE71}</author>
    <author>tc={74FD53EC-BD22-40B4-BD6C-141C6D38B843}</author>
    <author>tc={6795DEFE-DAB2-46DD-A4D6-465B92E5D873}</author>
    <author>tc={7468AB01-963E-49A4-9762-E7442BEBA42D}</author>
    <author>tc={D4DC681C-3C66-42F4-9C2D-6E8B16777F9C}</author>
    <author>tc={F1A9FE83-3FB8-40C8-9985-A3C558C1C210}</author>
    <author>tc={FA1AC827-D258-4124-BF9D-FB446381ABC1}</author>
    <author>tc={1E674DC4-BED8-464D-A39F-EFD93E982B91}</author>
    <author>tc={F321F009-AE01-4E4D-9369-A5619D19D165}</author>
    <author>tc={3585F4E1-BC15-421F-86D2-FE2555E5793B}</author>
    <author>tc={B728ADDD-1273-4E55-8814-E8C3FD69479C}</author>
    <author>tc={E4DF66AA-5335-4D94-9E4D-66DA99993F87}</author>
    <author>tc={CC88B2AD-42E1-4429-9F96-11F321E6C309}</author>
    <author>tc={E2554A30-600C-4AD2-8D4A-FC4962812F8B}</author>
    <author>tc={A196A32E-A5C1-4F07-8B59-119E7AE70D0B}</author>
    <author>tc={A139012F-1658-4901-B53F-BF56AACE6636}</author>
    <author>tc={A82A902F-AD6E-4CA9-BF0E-CF712F9C6FA3}</author>
    <author>tc={68156C26-01E4-4C83-858B-B7BF9C7BF980}</author>
    <author>tc={6B6C72A1-7084-4836-BD19-21B5B30BA567}</author>
    <author>tc={E8E02DE3-EF37-4D55-B2AF-D500109E0FCA}</author>
    <author>tc={3226D48D-8EB7-4B9C-B680-A80BCA57EBDA}</author>
    <author>tc={94BD5204-DCB0-439F-BFFC-2543D9C1CC20}</author>
    <author>tc={6589CD25-FEC5-4E8E-9623-1580C8BE64EA}</author>
    <author>tc={D25A36D9-28A7-4FC3-9120-890A23F5F3DF}</author>
    <author>tc={097006B6-67FE-456D-98C0-EEDBBF620524}</author>
    <author>tc={75116B21-85F0-41FF-8761-1C32F5413CDC}</author>
    <author>tc={EBDB931A-D867-4379-AEC4-D01DA7FE1ACD}</author>
    <author>tc={2C4BAD88-B40B-4A01-A5F2-F84C2536C03E}</author>
    <author>tc={FE7E9557-0FDB-4920-AE7B-BFDFF7C3F868}</author>
    <author>tc={EDAE8D47-AFCA-423D-A859-CA0C5A663F65}</author>
    <author>tc={98619BF5-BFE1-4C95-8FB5-43A86C16D5FA}</author>
    <author>tc={46014701-D9E5-4859-A3AE-AC59F7604C25}</author>
    <author>tc={8B80F2C4-DC7D-4FD8-A76B-013229C88626}</author>
    <author>tc={D8EA9740-DEF1-4DB0-BE97-84BC7067AF0C}</author>
    <author>tc={01A0D228-FB54-4190-9CF6-9C01EC1BA5B9}</author>
    <author>tc={6D8A3FCA-DD94-4151-98C1-C08147ACC4FE}</author>
    <author>tc={E66890F8-22DF-42B0-AC60-B1869F7BC621}</author>
    <author>tc={C6C0613E-5824-4E44-9B9B-56A8FAD3277B}</author>
    <author>tc={76E9B5E8-2A8A-4C12-9070-2F3AE74C018D}</author>
    <author>tc={C29AB431-29D9-4CCA-987B-D276EB079D36}</author>
    <author>tc={8B1B2CE3-6A04-42EE-BE87-716D5CF48A6A}</author>
    <author>tc={0636232B-B9F8-4715-951F-C32233D486DD}</author>
    <author>tc={19F28DCE-9161-40FF-A0B0-819C3E4800B6}</author>
    <author>tc={FC537E22-6E2A-4FE6-AC48-0FF2E86CD862}</author>
    <author>tc={A0BB555F-DC13-4C98-8E1D-5CFBA09D2493}</author>
  </authors>
  <commentList>
    <comment ref="R8" authorId="0" shapeId="0" xr:uid="{76E9D7B8-09F2-47A8-9199-FA1B0CD1F44F}">
      <text>
        <t>[Threaded comment]
Your version of Excel allows you to read this threaded comment; however, any edits to it will get removed if the file is opened in a newer version of Excel. Learn more: https://go.microsoft.com/fwlink/?linkid=870924
Comment:
    The levels are a lot lower!</t>
      </text>
    </comment>
    <comment ref="V19" authorId="1" shapeId="0" xr:uid="{00380572-54B0-4EED-8076-994F46F5CE71}">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9" authorId="2" shapeId="0" xr:uid="{74FD53EC-BD22-40B4-BD6C-141C6D38B843}">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the comment in the previous cell.</t>
      </text>
    </comment>
    <comment ref="X19" authorId="3" shapeId="0" xr:uid="{6795DEFE-DAB2-46DD-A4D6-465B92E5D873}">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a month late.</t>
      </text>
    </comment>
    <comment ref="Y19" authorId="4" shapeId="0" xr:uid="{7468AB01-963E-49A4-9762-E7442BEBA42D}">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2024 because we get corporate taxes a month late. </t>
      </text>
    </comment>
    <comment ref="Z19" authorId="5" shapeId="0" xr:uid="{D4DC681C-3C66-42F4-9C2D-6E8B16777F9C}">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9" authorId="6" shapeId="0" xr:uid="{F1A9FE83-3FB8-40C8-9985-A3C558C1C210}">
      <text>
        <t>[Threaded comment]
Your version of Excel allows you to read this threaded comment; however, any edits to it will get removed if the file is opened in a newer version of Excel. Learn more: https://go.microsoft.com/fwlink/?linkid=870924
Comment:
    Drag this forward in March (we typically get corporate taxes a month late, but at the start of the year, we get corporate taxes two months after the initial release)</t>
      </text>
    </comment>
    <comment ref="AB19" authorId="7" shapeId="0" xr:uid="{FA1AC827-D258-4124-BF9D-FB446381ABC1}">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19" authorId="8" shapeId="0" xr:uid="{1E674DC4-BED8-464D-A39F-EFD93E982B91}">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 </t>
      </text>
    </comment>
    <comment ref="AC25" authorId="9" shapeId="0" xr:uid="{F321F009-AE01-4E4D-9369-A5619D19D165}">
      <text>
        <t>[Threaded comment]
Your version of Excel allows you to read this threaded comment; however, any edits to it will get removed if the file is opened in a newer version of Excel. Learn more: https://go.microsoft.com/fwlink/?linkid=870924
Comment:
    For all state taxes, (lines 21,23,24), Change Y to AC when data come in</t>
      </text>
    </comment>
    <comment ref="AG25" authorId="10" shapeId="0" xr:uid="{3585F4E1-BC15-421F-86D2-FE2555E5793B}">
      <text>
        <t>[Threaded comment]
Your version of Excel allows you to read this threaded comment; however, any edits to it will get removed if the file is opened in a newer version of Excel. Learn more: https://go.microsoft.com/fwlink/?linkid=870924
Comment:
    Update values in column AC</t>
      </text>
    </comment>
    <comment ref="V29" authorId="11" shapeId="0" xr:uid="{B728ADDD-1273-4E55-8814-E8C3FD69479C}">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29" authorId="12" shapeId="0" xr:uid="{E4DF66AA-5335-4D94-9E4D-66DA99993F87}">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in the previous cell.</t>
      </text>
    </comment>
    <comment ref="X29" authorId="13" shapeId="0" xr:uid="{CC88B2AD-42E1-4429-9F96-11F321E6C309}">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one month late.</t>
      </text>
    </comment>
    <comment ref="Y29" authorId="14" shapeId="0" xr:uid="{E2554A30-600C-4AD2-8D4A-FC4962812F8B}">
      <text>
        <t>[Threaded comment]
Your version of Excel allows you to read this threaded comment; however, any edits to it will get removed if the file is opened in a newer version of Excel. Learn more: https://go.microsoft.com/fwlink/?linkid=870924
Comment:
    Drag this forward in August because we get corporate taxes a month late.</t>
      </text>
    </comment>
    <comment ref="Z29" authorId="15" shapeId="0" xr:uid="{A196A32E-A5C1-4F07-8B59-119E7AE70D0B}">
      <text>
        <t>[Threaded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t>
      </text>
    </comment>
    <comment ref="AA29" authorId="16" shapeId="0" xr:uid="{A139012F-1658-4901-B53F-BF56AACE6636}">
      <text>
        <t xml:space="preserve">[Threaded comment]
Your version of Excel allows you to read this threaded comment; however, any edits to it will get removed if the file is opened in a newer version of Excel. Learn more: https://go.microsoft.com/fwlink/?linkid=870924
Comment:
    Drag this forward in March. </t>
      </text>
    </comment>
    <comment ref="AB29" authorId="17" shapeId="0" xr:uid="{A82A902F-AD6E-4CA9-BF0E-CF712F9C6FA3}">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29" authorId="18" shapeId="0" xr:uid="{68156C26-01E4-4C83-858B-B7BF9C7BF980}">
      <text>
        <t>[Threaded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t>
      </text>
    </comment>
    <comment ref="K40" authorId="19" shapeId="0" xr:uid="{6B6C72A1-7084-4836-BD19-21B5B30BA567}">
      <text>
        <t>[Threaded comment]
Your version of Excel allows you to read this threaded comment; however, any edits to it will get removed if the file is opened in a newer version of Excel. Learn more: https://go.microsoft.com/fwlink/?linkid=870924
Comment:
    We adjusted these growth rates upward because CBO expected taxes to fall gradually but instead they fell quickly.</t>
      </text>
    </comment>
    <comment ref="K44" authorId="20" shapeId="0" xr:uid="{E8E02DE3-EF37-4D55-B2AF-D500109E0FCA}">
      <text>
        <t>[Threaded comment]
Your version of Excel allows you to read this threaded comment; however, any edits to it will get removed if the file is opened in a newer version of Excel. Learn more: https://go.microsoft.com/fwlink/?linkid=870924
Comment:
    We reduced the CBO growth rate from 36% to 10% because it seemed anomolously high</t>
      </text>
    </comment>
    <comment ref="L44" authorId="21" shapeId="0" xr:uid="{3226D48D-8EB7-4B9C-B680-A80BCA57EBDA}">
      <text>
        <t>[Threaded comment]
Your version of Excel allows you to read this threaded comment; however, any edits to it will get removed if the file is opened in a newer version of Excel. Learn more: https://go.microsoft.com/fwlink/?linkid=870924
Comment:
    We increased the CBO growth rate to account for our large adjustment in the previous year</t>
      </text>
    </comment>
    <comment ref="M44" authorId="22" shapeId="0" xr:uid="{94BD5204-DCB0-439F-BFFC-2543D9C1CC20}">
      <text>
        <t>[Threaded comment]
Your version of Excel allows you to read this threaded comment; however, any edits to it will get removed if the file is opened in a newer version of Excel. Learn more: https://go.microsoft.com/fwlink/?linkid=870924
Comment:
    Another additional add factor, similar to comment to the left</t>
      </text>
    </comment>
    <comment ref="D60" authorId="23" shapeId="0" xr:uid="{6589CD25-FEC5-4E8E-9623-1580C8BE64EA}">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12
Reply:
    Feb 2024 CBO Budget Projections Table 1-1 Row 10
Reply:
    June 2024 CBO Budget Projections Table 1-1 Row 10
Reply:
    January 2025 CBO Budget Projections Table B-1 Row 11 from 2024 onward</t>
      </text>
    </comment>
    <comment ref="M60" authorId="24" shapeId="0" xr:uid="{D25A36D9-28A7-4FC3-9120-890A23F5F3DF}">
      <text>
        <t>[Threaded comment]
Your version of Excel allows you to read this threaded comment; however, any edits to it will get removed if the file is opened in a newer version of Excel. Learn more: https://go.microsoft.com/fwlink/?linkid=870924
Comment:
    Added CBO estimate to counterfactual from TCJA NOT expiring in https://www.cbo.gov/publication/60271
We also subtracted an addition 30, which is roughly half of the 48+11 from investment.</t>
      </text>
    </comment>
    <comment ref="D64" authorId="25" shapeId="0" xr:uid="{097006B6-67FE-456D-98C0-EEDBBF620524}">
      <text>
        <t>[Threaded comment]
Your version of Excel allows you to read this threaded comment; however, any edits to it will get removed if the file is opened in a newer version of Excel. Learn more: https://go.microsoft.com/fwlink/?linkid=870924
Comment:
    February 2023 Budget Projections Table 1 Row 13
Reply:
    These are now May 2023 Budget Projections Table 1 row 13
Reply:
    February 2024 CBO Budget Projections Table 1-1 Row 11
Reply:
    June 2024 CBO Budget Projections Table 1-1 Row 11
Reply:
    January 2025 CBO Budget Projections Table B-1 Row 12 from 2024 onward</t>
      </text>
    </comment>
    <comment ref="D66" authorId="26" shapeId="0" xr:uid="{75116B21-85F0-41FF-8761-1C32F5413CDC}">
      <text>
        <t>[Threaded comment]
Your version of Excel allows you to read this threaded comment; however, any edits to it will get removed if the file is opened in a newer version of Excel. Learn more: https://go.microsoft.com/fwlink/?linkid=870924
Comment:
    February 2023 CBO Budget Projections Table 1-6 Row 14
Reply:
    February 2024 CBO Budget Projections Table 1-7 Row 14
Reply:
    June 2024 CBO Revenue Projections by Category, Revenue Projections, Row 14
Reply:
    January 2025 CBO Revenue Projections, by Category, Revenue Projections Row 14</t>
      </text>
    </comment>
    <comment ref="D67" authorId="27" shapeId="0" xr:uid="{EBDB931A-D867-4379-AEC4-D01DA7FE1ACD}">
      <text>
        <t xml:space="preserve">[Threaded comment]
Your version of Excel allows you to read this threaded comment; however, any edits to it will get removed if the file is opened in a newer version of Excel. Learn more: https://go.microsoft.com/fwlink/?linkid=870924
Comment:
    February 2023 CBO Budget Projections Table 1-6 Row 16
Reply:
    February 2024 CBO Budget Projections Table 1-7, row 16
Reply:
    June 2024 CBO Revenue Projections, Revenue Projections Sheet, Row 16
Reply:
    January 2025 CBO Revenue Projections, Revenue Projections Sheet, Row 15
</t>
      </text>
    </comment>
    <comment ref="D68" authorId="28" shapeId="0" xr:uid="{2C4BAD88-B40B-4A01-A5F2-F84C2536C03E}">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14
Reply:
    February 2023 CBO Budget Projections Table 1-1, row 12
Reply:
    June 2024 CBO Budget projections table 1-1 row 12
Reply:
    January 2025 CBO Budget Projections Table B-1 row 13 from 2024 onward</t>
      </text>
    </comment>
    <comment ref="M68" authorId="29" shapeId="0" xr:uid="{FE7E9557-0FDB-4920-AE7B-BFDFF7C3F868}">
      <text>
        <t xml:space="preserve">[Threaded comment]
Your version of Excel allows you to read this threaded comment; however, any edits to it will get removed if the file is opened in a newer version of Excel. Learn more: https://go.microsoft.com/fwlink/?linkid=870924
Comment:
    See comment in M56 on using CBO estimate of TCJA not expiring
</t>
      </text>
    </comment>
    <comment ref="D88" authorId="30" shapeId="0" xr:uid="{EDAE8D47-AFCA-423D-A859-CA0C5A663F65}">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92
Reply:
    July 2023 now
Reply:
    This is now February 2024 CBO Economic Projections Fiscal Year Sheet, row 94
Reply:
    June 2024 Econ projections Fiscal Year sheet row 94. Pasted for 2021 onward
Reply:
    January 2025 Economic Projections Fiscal Year Sheet row 94 from 2022 onward</t>
      </text>
    </comment>
    <comment ref="D89" authorId="31" shapeId="0" xr:uid="{98619BF5-BFE1-4C95-8FB5-43A86C16D5FA}">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96
Reply:
    July 2023 now
Reply:
    This is now February 2024 CBO Economic Projections Fiscal Year Table row, row 98
Reply:
    June 2024 Econ projections Fiscal Year sheet row 98. Pasted for 2021 onward
Reply:
    January 2025 Economic Projections Fiscal Year Row 98 from 2022 onward</t>
      </text>
    </comment>
    <comment ref="D90" authorId="32" shapeId="0" xr:uid="{46014701-D9E5-4859-A3AE-AC59F7604C25}">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116
Reply:
    July now
Reply:
    February 2024 CBO Economic Projections, Fiscal Year Table, row 118
Reply:
    June 2024 CBO Economic Projections, Fiscal Year Table, row 118 pasted from 2021 onward
Reply:
    January 2025 CBO Economic Projections, Fiscal Year Table, row 118 from 2022 onward</t>
      </text>
    </comment>
    <comment ref="D91" authorId="33" shapeId="0" xr:uid="{8B80F2C4-DC7D-4FD8-A76B-013229C88626}">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110
Reply:
    July now
Reply:
    This is now February 2024 CBO Economic Projections Fiscal Year Table, row 112
Reply:
    June 2024 CBO Economic Projections Fiscal Year Table, row 112 from 2021 onward
Reply:
    January 2025 CBO Economic Projections Fiscal Year Table, row 112 from 2022 onward</t>
      </text>
    </comment>
    <comment ref="D112" authorId="34" shapeId="0" xr:uid="{D8EA9740-DEF1-4DB0-BE97-84BC7067AF0C}">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96
Reply:
    Same table and row, July 2023
Reply:
    February 2024 CBO Economic Projections Quarterly Table, row 98
Reply:
    Ju 2024 economic projections quarterly table row 98 pasted from 2021 Q1 onward
Reply:
    January 2025 Economic Projections Quarterly Table, Row 98 from 2022 Q1 onward</t>
      </text>
    </comment>
    <comment ref="D113" authorId="35" shapeId="0" xr:uid="{01A0D228-FB54-4190-9CF6-9C01EC1BA5B9}">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tables, row 98
Reply:
    Same table and row, July 2023
Reply:
    February 2024 CBO Economic Projections quarterly tables, row 100
Reply:
    June 2024 CBO Economic Projections Quarterly table row 100 from 2021 Q1 onward
Reply:
    January 2025 CBO Economic Projections Quarterly Table, Row 100 from 2022 Q1 onward</t>
      </text>
    </comment>
    <comment ref="D114" authorId="36" shapeId="0" xr:uid="{6D8A3FCA-DD94-4151-98C1-C08147ACC4FE}">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116
Reply:
    Same table and row, July 2023
Reply:
    This is now February 2024 CBO Economic Projections Quarterly Table, row 118
Reply:
    June 2024 CBO Economic Projections Quarterly Table, row 118 from 2021 Q1 onward
Reply:
    January 2025 CBO Economic Projections Quarterly Table, Row 118 from 2022 Q1 onward</t>
      </text>
    </comment>
    <comment ref="D115" authorId="37" shapeId="0" xr:uid="{E66890F8-22DF-42B0-AC60-B1869F7BC621}">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112
Reply:
    Same table and row, July 2023
Reply:
    February 2024 CBO Economic Projections quarterly table row 114 corporate profits domestic
Reply:
    June 2024 CBO Economic Projections quarterly table row 114 corporate profits domestic with IVA and CCAdj, from 2021 Q1 onward
Reply:
    January 2025 CBO Economic Projections Quarterly Table, Row 114 Profits, corporate, domestic, with IVA &amp; CCAdj from 2022 Q1 onward</t>
      </text>
    </comment>
    <comment ref="U138" authorId="38" shapeId="0" xr:uid="{C6C0613E-5824-4E44-9B9B-56A8FAD3277B}">
      <text>
        <t>[Threaded comment]
Your version of Excel allows you to read this threaded comment; however, any edits to it will get removed if the file is opened in a newer version of Excel. Learn more: https://go.microsoft.com/fwlink/?linkid=870924
Comment:
    I can't drag these over because of circular references.</t>
      </text>
    </comment>
    <comment ref="V141" authorId="39" shapeId="0" xr:uid="{76E9B5E8-2A8A-4C12-9070-2F3AE74C018D}">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41" authorId="40" shapeId="0" xr:uid="{C29AB431-29D9-4CCA-987B-D276EB079D36}">
      <text>
        <t>[Threaded comment]
Your version of Excel allows you to read this threaded comment; however, any edits to it will get removed if the file is opened in a newer version of Excel. Learn more: https://go.microsoft.com/fwlink/?linkid=870924
Comment:
    Drag forward in November by same logic as in previous cell.</t>
      </text>
    </comment>
    <comment ref="X141" authorId="41" shapeId="0" xr:uid="{8B1B2CE3-6A04-42EE-BE87-716D5CF48A6A}">
      <text>
        <t>[Threaded comment]
Your version of Excel allows you to read this threaded comment; however, any edits to it will get removed if the file is opened in a newer version of Excel. Learn more: https://go.microsoft.com/fwlink/?linkid=870924
Comment:
    Drag forward in February because we get Q4 Data 1 month late.</t>
      </text>
    </comment>
    <comment ref="Y141" authorId="42" shapeId="0" xr:uid="{0636232B-B9F8-4715-951F-C32233D486DD}">
      <text>
        <t xml:space="preserve">[Threaded comment]
Your version of Excel allows you to read this threaded comment; however, any edits to it will get removed if the file is opened in a newer version of Excel. Learn more: https://go.microsoft.com/fwlink/?linkid=870924
Comment:
    Drag forward in August because we get the data a month late. </t>
      </text>
    </comment>
    <comment ref="Z141" authorId="43" shapeId="0" xr:uid="{19F28DCE-9161-40FF-A0B0-819C3E4800B6}">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41" authorId="44" shapeId="0" xr:uid="{FC537E22-6E2A-4FE6-AC48-0FF2E86CD862}">
      <text>
        <t xml:space="preserve">[Threaded comment]
Your version of Excel allows you to read this threaded comment; however, any edits to it will get removed if the file is opened in a newer version of Excel. Learn more: https://go.microsoft.com/fwlink/?linkid=870924
Comment:
    Drag this forward in February because we get taxes a month late. </t>
      </text>
    </comment>
    <comment ref="AC141" authorId="45" shapeId="0" xr:uid="{A0BB555F-DC13-4C98-8E1D-5CFBA09D2493}">
      <text>
        <t>[Threaded comment]
Your version of Excel allows you to read this threaded comment; however, any edits to it will get removed if the file is opened in a newer version of Excel. Learn more: https://go.microsoft.com/fwlink/?linkid=870924
Comment:
    Drag this forward in August because we get taxes a month late.</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tc={3D2D0DDD-7B5A-43DF-B8EA-F946232323B5}</author>
    <author>tc={0DF18CD1-DDA4-4936-9B9E-36F885A8A9DF}</author>
    <author>tc={9DDFDF05-CB8A-4154-92B5-FB4AFBAE30F8}</author>
    <author>tc={C72DB8C1-80AB-49EE-8306-B3882C563DE7}</author>
    <author>tc={65400755-1E7E-45CD-B1D4-DAC1E9F13C96}</author>
    <author>tc={2342851E-1027-489D-A9C9-2E8A800F814B}</author>
    <author>tc={7C559531-A861-49AD-8365-07F57C6BE5A0}</author>
  </authors>
  <commentList>
    <comment ref="B63" authorId="0" shapeId="0" xr:uid="{00000000-0006-0000-1700-000001000000}">
      <text>
        <t>[Threaded comment]
Your version of Excel allows you to read this threaded comment; however, any edits to it will get removed if the file is opened in a newer version of Excel. Learn more: https://go.microsoft.com/fwlink/?linkid=870924
Comment:
    These series are in inst/extdata/projections.xlsx. See the dictionary sheet in that workbook to locate these in CBO. When there's a new baseline, update projections.xlsx and pull in the variables here as well.</t>
      </text>
    </comment>
    <comment ref="B65" authorId="1" shapeId="0" xr:uid="{00000000-0006-0000-1700-000002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116
Reply:
    February 2024 CBO Economic Projections, Quarterly Table, Line 118
Reply:
    June 2024 CBO Economic Projections, Quarterly Table, Line 118 pasted from 2021 Q1 onward
Reply:
    January 2025 CBO Economic Projections, Quarterly Table, Line 118 from 2022 Q1 onward</t>
      </text>
    </comment>
    <comment ref="B66" authorId="2" shapeId="0" xr:uid="{00000000-0006-0000-1700-000003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127
Reply:
    July 2023 CBO Economic Projections, Quarterly Table Line 129
Reply:
    June 2024 CBO Economic Projections, Quarterly Table Line 129 from 2021 Q1 onward
Reply:
    January 2025 CBO Economic Projections, Quarterly Table Line 129 from 2022 Q1 onward</t>
      </text>
    </comment>
    <comment ref="B67" authorId="3" shapeId="0" xr:uid="{00000000-0006-0000-1700-000004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129
Reply:
    February 2024 Economic Projections, Quarterly Table line 131
Reply:
    June  2024 Economic Projections, Quarterly Table line 131 from 2021 Q1 onward
Reply:
    January 2025 Economic Projections, Quarterly Table, Line 131 from 2022 Q1 onward</t>
      </text>
    </comment>
    <comment ref="B68" authorId="4" shapeId="0" xr:uid="{00000000-0006-0000-1700-000005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139
Reply:
    February 2024 CBO Economic Projections, Quarterly Table, row 141
Reply:
    June 2024 CBO Economic Projections, Quarterly Table, row 141 from 2021 Q1 onward
Reply:
    January 2025 CBO Economic Projections, Quarterly Table, Row 141 from 2022 Q1 onward</t>
      </text>
    </comment>
    <comment ref="B69" authorId="5" shapeId="0" xr:uid="{00000000-0006-0000-1700-000006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150
Reply:
    February 2024 CBO Economic Projections, Quarterly Table, Line 152
Reply:
    June 2024 CBO Economic Projections, Quarterly Table, Line 152 from 2021 Q1 onward
Reply:
    January 2025 CBO Economic Projections, Quarterly Table, Line 152 from 2022 Q1 onward</t>
      </text>
    </comment>
    <comment ref="B70" authorId="6" shapeId="0" xr:uid="{00000000-0006-0000-1700-000007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152
Reply:
    This is now February 2024 economic Projections, Quarterly Table, row 154
Reply:
    January 2025 CBO Economic Projections, Quarterly Table, Line 154 from 2022 Q1 onward</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tc={505E7BD6-88A4-42AD-A6DC-68BD0BE87D33}</author>
    <author>tc={881F3BB7-106B-4F00-B0DA-BD9A53BEF838}</author>
    <author>tc={C3DB8831-9F87-4F3D-9B9D-9A9E1597F426}</author>
    <author>tc={4228D01B-4AEF-4CA7-B658-811954DCF7BB}</author>
    <author>tc={04B398A3-1374-48E0-B6C2-D78AE6DA1BDD}</author>
    <author>tc={0D6526F1-FB84-4CE1-BF6D-D216D2CBFA7D}</author>
    <author>tc={776C20D9-BBE8-4C4A-83F8-DBDF30610EB7}</author>
    <author>tc={13EDECA1-3336-4AAC-8327-B0C38DEC95D7}</author>
    <author>tc={60848DDC-4FFF-464F-B8D9-5B6A281B60B5}</author>
    <author>tc={E57A7D31-77D0-420E-9DD7-198719027F9A}</author>
    <author>tc={C002318B-0202-4CC0-8DD3-1725593FE3D1}</author>
    <author>tc={E4FE7A8B-4D2A-4359-B238-2B2BE1512246}</author>
    <author>tc={43DC2388-3546-49A3-A073-D026721B0873}</author>
    <author>tc={FABA84AA-C37B-4336-B1EE-7A5E70CE24AE}</author>
    <author>tc={54F419B7-0667-48BB-8A9C-D19D1B8EB15F}</author>
    <author>tc={24DC2710-2BAF-4CA0-A042-43B56D306DEE}</author>
    <author>tc={EB478BFD-2402-456B-898A-BD2349A0E650}</author>
    <author>tc={B854E505-68D2-4028-B487-5373AF8AF641}</author>
    <author>tc={A74F5C9C-5443-4AD1-9B0C-B7667FF0C0B0}</author>
    <author>tc={6EBA7EC1-98AF-47E6-9E37-660FEFC5B8A8}</author>
    <author>tc={D9B40975-2C01-46AD-98EC-7D62C3266F39}</author>
    <author>tc={19FB8D81-993F-405A-A8CE-0DEF848E524B}</author>
  </authors>
  <commentList>
    <comment ref="V12" authorId="0" shapeId="0" xr:uid="{00000000-0006-0000-18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S13" authorId="1" shapeId="0" xr:uid="{00000000-0006-0000-1800-000002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13" authorId="2" shapeId="0" xr:uid="{00000000-0006-0000-1800-000003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W24" authorId="3" shapeId="0" xr:uid="{00000000-0006-0000-1800-000004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V25" authorId="4" shapeId="0" xr:uid="{00000000-0006-0000-1800-000005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32" authorId="5" shapeId="0" xr:uid="{00000000-0006-0000-1800-000006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W34" authorId="6" shapeId="0" xr:uid="{00000000-0006-0000-1800-000007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35" authorId="7" shapeId="0" xr:uid="{00000000-0006-0000-1800-000008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35" authorId="8" shapeId="0" xr:uid="{00000000-0006-0000-1800-000009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8" authorId="9" shapeId="0" xr:uid="{00000000-0006-0000-1800-00000A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40" authorId="10" shapeId="0" xr:uid="{00000000-0006-0000-1800-00000B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B66" authorId="11" shapeId="0" xr:uid="{00000000-0006-0000-1800-00000C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85" authorId="12" shapeId="0" xr:uid="{00000000-0006-0000-1800-00000D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101" authorId="13" shapeId="0" xr:uid="{00000000-0006-0000-1800-00000E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101" authorId="14" shapeId="0" xr:uid="{00000000-0006-0000-1800-00000F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101" authorId="15" shapeId="0" xr:uid="{00000000-0006-0000-1800-000010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01" authorId="16" shapeId="0" xr:uid="{00000000-0006-0000-1800-000011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01" authorId="17" shapeId="0" xr:uid="{00000000-0006-0000-1800-000012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U114" authorId="18" shapeId="0" xr:uid="{00000000-0006-0000-1800-000013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14" authorId="19" shapeId="0" xr:uid="{00000000-0006-0000-1800-000014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14" authorId="20" shapeId="0" xr:uid="{00000000-0006-0000-1800-000015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126" authorId="21" shapeId="0" xr:uid="{00000000-0006-0000-1800-000016000000}">
      <text>
        <t>[Threaded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tc={932956EA-9A05-4B8D-ABE8-9A5A953CB2B6}</author>
  </authors>
  <commentList>
    <comment ref="B4" authorId="0" shapeId="0" xr:uid="{00000000-0006-0000-1F00-000001000000}">
      <text>
        <t>[Threaded comment]
Your version of Excel allows you to read this threaded comment; however, any edits to it will get removed if the file is opened in a newer version of Excel. Learn more: https://go.microsoft.com/fwlink/?linkid=870924
Comment:
    CRFB assumes 8% of forgivable loans will bee repaid, So they actually have $261 in their score</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tc={DC73AD49-B7D6-4667-A66E-8EE403D2E997}</author>
    <author>tc={DF115210-C3D9-4849-892E-0C642306D5B7}</author>
  </authors>
  <commentList>
    <comment ref="L5" authorId="0" shapeId="0" xr:uid="{00000000-0006-0000-2000-000001000000}">
      <text>
        <t>[Threaded comment]
Your version of Excel allows you to read this threaded comment; however, any edits to it will get removed if the file is opened in a newer version of Excel. Learn more: https://go.microsoft.com/fwlink/?linkid=870924
Comment:
    BEA categorizes rental assistance as capital transfer payments. 203 was disbursed in 2021Q1; 100 of that was from the December legislation, 103 of that was from ARP.</t>
      </text>
    </comment>
    <comment ref="O5" authorId="1" shapeId="0" xr:uid="{00000000-0006-0000-2000-000002000000}">
      <text>
        <t>[Threaded comment]
Your version of Excel allows you to read this threaded comment; however, any edits to it will get removed if the file is opened in a newer version of Excel. Learn more: https://go.microsoft.com/fwlink/?linkid=870924
Comment:
    We changed the CBO score to reflect that more money was going out in 2021 than anticipated as of July 2021</t>
      </text>
    </comment>
  </commentList>
</comments>
</file>

<file path=xl/sharedStrings.xml><?xml version="1.0" encoding="utf-8"?>
<sst xmlns="http://schemas.openxmlformats.org/spreadsheetml/2006/main" count="5539" uniqueCount="2349">
  <si>
    <t>Guide to the FIM Forecast Spreadsheet</t>
  </si>
  <si>
    <t>Sheets:</t>
  </si>
  <si>
    <t>Checklist (New Quarter Release)</t>
  </si>
  <si>
    <t>Checklist of steps to follow when the BEA releases its advance estimate of a new quarter's data</t>
  </si>
  <si>
    <t>Checklist (Monthly Revision)</t>
  </si>
  <si>
    <t>Checklist of steps to follow for BEA's two revisions of a quarter's data</t>
  </si>
  <si>
    <t>Checklist (CBO Budget Release)</t>
  </si>
  <si>
    <t>Checklist of steps to follow when the CBO releases a new Ten-Year Economic and Budget Projections</t>
  </si>
  <si>
    <t>Revisions</t>
  </si>
  <si>
    <t>Forecast Comparison</t>
  </si>
  <si>
    <t>This sheet shows how our forecast has changed since the last update.</t>
  </si>
  <si>
    <t>Monthly BEA Personal Income data we use to help us forecast the upcoming quarter of data before BEA's advance estimate comes out.</t>
  </si>
  <si>
    <t>Forecast</t>
  </si>
  <si>
    <t>Historical Overrides</t>
  </si>
  <si>
    <t>Calls from the Grants forecast sheet. We override BEA data for 2020 consumption grants because BEA puts it all in the first quarter; we spread it out over four. This also is read into the code.</t>
  </si>
  <si>
    <t>MPC</t>
  </si>
  <si>
    <t>MPCs for the spending out of our forecast variables, where applicable. We edit them here and the sheet is read into the code.</t>
  </si>
  <si>
    <t>Haver Pivoted</t>
  </si>
  <si>
    <t>Cares Act Scores</t>
  </si>
  <si>
    <t>This is the CBO ten-year score for three pieces of Covid legislation not incorporated in CBO's March 2020 baseline. It's mainly CARES. Generally you won't touch this.</t>
  </si>
  <si>
    <t>Response and Relief Act Score</t>
  </si>
  <si>
    <t>This is the CFRB's ten-year score of the Response and Relief Act from December 2020; in this sheet we group the score into our FIM categories. Generally you won't touch this.</t>
  </si>
  <si>
    <t>ARP Score</t>
  </si>
  <si>
    <t>CBO's ten-year score of the ARP; annual spending and revenues by fiscal year. Generally you won't touch this without Louise.</t>
  </si>
  <si>
    <t>ARP Timing</t>
  </si>
  <si>
    <t>ARP Quarterly</t>
  </si>
  <si>
    <t xml:space="preserve">Deflators </t>
  </si>
  <si>
    <t>The deflators we use, for reference. Similar to the MPC sheet I think we should either delete or edit for the whole FIM in here.</t>
  </si>
  <si>
    <t xml:space="preserve">Conventions (please stick to these when editing the sheet to keep things organized) </t>
  </si>
  <si>
    <t>Italicized rows in the forecast spreadsheets are called by "forecast" and read into the code; they are the "final output" of each sheet.</t>
  </si>
  <si>
    <t xml:space="preserve">NEVER drag forward a formula without checking how the row's formulas work-- at the moment, sometimes they change within a row. </t>
  </si>
  <si>
    <t xml:space="preserve">Any rows with haver codes next to the variable call from Haver Pivoted in the historical period. </t>
  </si>
  <si>
    <t>Year-quarters in all the main tables of the forecast sheets are in the same columns across sheets (i.e. 2021 Q2 is in column N across sheets for the main forecast tables).</t>
  </si>
  <si>
    <t>Checklist</t>
  </si>
  <si>
    <t xml:space="preserve">Methodology </t>
  </si>
  <si>
    <t>How to execute</t>
  </si>
  <si>
    <t xml:space="preserve">Done? </t>
  </si>
  <si>
    <t>Setting up</t>
  </si>
  <si>
    <t>This sheet we only use for monthly revisions, and not for a new quarter release. However we do need to update what quarter in Haver Pivoted is called in the "Current Update" column.</t>
  </si>
  <si>
    <t xml:space="preserve">Clear contents in the Last Update column. Change the formula in the first cell that calls Haver Pivoted in the Current Update column to call from one column over in Haver Pivoted (this is where the next quarter's data will be when we read in the new data). Drag the changed formula down the whole column. Don't worry about DIV0 or REF errors, everything will fill in when Haver Pivoted is updated. </t>
  </si>
  <si>
    <t>This sheet shows us how much our forecast (what is read into the code) has changed since the last update, in level and percent differences.</t>
  </si>
  <si>
    <t>Copy past the forecast table from the most recent update (Past Values Only) into the "Previous Forecast" table.</t>
  </si>
  <si>
    <t>Read the BEA news release for the new quarter</t>
  </si>
  <si>
    <t>The BEA's news release can be really helpful for broadly understanding the BEA's released data for the new quarter, which affects the assumptions we make about the components of the FIM. The technical note is the most useful for detailed information. You'll want to take note of GDP growth, as well as any  large components that they note. Sometimes the BEA tables can be useful for finding specific values too.</t>
  </si>
  <si>
    <t>https://www.bea.gov/news/current-releases</t>
  </si>
  <si>
    <t>Pulling in the new data from Haver</t>
  </si>
  <si>
    <t>We pull in the latest historical BEA data by running a script to replace the data in Haver Pivoted. This will autofill the spreadsheets where we make our forecast assumptions with the new BEA data. This will also autofill the "Current Update" column in Revisions.</t>
  </si>
  <si>
    <t>Monthly Personal Income Sheet</t>
  </si>
  <si>
    <t xml:space="preserve">Before the BEA releases data on a quarter, we can use their monthly estimates of "Effects of Selected Federal Pandemic Response Programs on Personal Income" to inform our assumptions about the quarter. </t>
  </si>
  <si>
    <t>Provider Relief</t>
  </si>
  <si>
    <t>PPP</t>
  </si>
  <si>
    <t>Grants</t>
  </si>
  <si>
    <t>Subsidies</t>
  </si>
  <si>
    <t>Unemployment Insurance</t>
  </si>
  <si>
    <t>Medicaid</t>
  </si>
  <si>
    <t>Medicare</t>
  </si>
  <si>
    <t>Rebate Checks</t>
  </si>
  <si>
    <t>Social Benefits</t>
  </si>
  <si>
    <t>Taxes</t>
  </si>
  <si>
    <t>Calculating contributions</t>
  </si>
  <si>
    <t>Calculating the FIM</t>
  </si>
  <si>
    <t>Generating comparison tables between the previous and new FIMs</t>
  </si>
  <si>
    <t>Publishing the FIM</t>
  </si>
  <si>
    <t>Drafting the text</t>
  </si>
  <si>
    <t>Former write ups can be found in Hutchins Center Documents/Projects/Fiscal Impact/Write Ups</t>
  </si>
  <si>
    <t>Fact checking</t>
  </si>
  <si>
    <t xml:space="preserve">A different RA should go through the text of the write up and confirm every number/statement using the FIM output files and graphics. </t>
  </si>
  <si>
    <t xml:space="preserve">The fim-interactive-month-year.xlsx file and fim-month-year.xlsx files are a good place to look (make sure they are the most up to date version!) and also look at the FIM interactive graphic that we are posting to ensure that our write up is consistent with it. </t>
  </si>
  <si>
    <t>Wordpress</t>
  </si>
  <si>
    <t xml:space="preserve">The FIM interactive and write up is posted on the Brookings website through Wordpress. </t>
  </si>
  <si>
    <t>Newsletter</t>
  </si>
  <si>
    <t xml:space="preserve">We send out a newsletter alerting people that the FIM is updated. This gets updated in Hubspot. We typically use a shorter version of the full write up that's posted on the website for this. </t>
  </si>
  <si>
    <t xml:space="preserve">Typically an RA will make the initial cut and then run it by David and Stephanie. Ask an RA or someone from Comms to onboard you for using Hubspot if you haven't already. We don't send the email ourselves-- first email a test email to Taylor Kelly from Comms, and once it's approved and edited, Comms will send it out for us. </t>
  </si>
  <si>
    <t>Read the BEA news release for the revision</t>
  </si>
  <si>
    <t>The BEA's news release can be really helpful for broadly understanding what data has changed between revisions and why, which affects the assumptions we make about the components of the FIM. The technical note is the most useful for detailed information. You'll want to take note of GDP growth, as well as any relevant explanations for revisions. In a new quarter this will be more extensive. Sometimes the BEA tables can be useful for finding specific values too.</t>
  </si>
  <si>
    <t>Revisions Sheet</t>
  </si>
  <si>
    <t xml:space="preserve">This sheet provides a quick look at how the BEA revised the variables that we use to make our forecast, and where they are used. It is helpful to anticipate changes in our forecast where the data automatically updates, and to consider when we decide whether to change our forecast assumptions sheet by sheet. </t>
  </si>
  <si>
    <t>Look through the revisions sheet. Which variables have changed, and which sheets are they called by? What are the biggest changes? Anything surprising? Go over this with Louise, and take note of what has changed to adjust our forecast sheets accordingly.</t>
  </si>
  <si>
    <t xml:space="preserve">For a revision, we'll typically just edit the write up from the first release of quarterly data. </t>
  </si>
  <si>
    <t>Prepare the Forecast Comparison sheet</t>
  </si>
  <si>
    <t>Updating the spreadsheet</t>
  </si>
  <si>
    <t>Run the code</t>
  </si>
  <si>
    <t>Run fiscal_impact.R (the main FIM script). The output will incorporate both the CBO changes to the spreadsheet and the new inflation and GDP forecast.</t>
  </si>
  <si>
    <t>Run fiscal_impact.R</t>
  </si>
  <si>
    <t>Look at the comparison graphs</t>
  </si>
  <si>
    <t>Sheet Using</t>
  </si>
  <si>
    <t>Variable</t>
  </si>
  <si>
    <t>Haver Code</t>
  </si>
  <si>
    <t>Last Update</t>
  </si>
  <si>
    <t>Current Update</t>
  </si>
  <si>
    <t>Change</t>
  </si>
  <si>
    <t>GDP</t>
  </si>
  <si>
    <t>Real GDP</t>
  </si>
  <si>
    <t>GDP Deflator</t>
  </si>
  <si>
    <t>Consumption</t>
  </si>
  <si>
    <t>Real Consumption</t>
  </si>
  <si>
    <t>Consumption Deflator</t>
  </si>
  <si>
    <t>Federal Purchases Deflator</t>
  </si>
  <si>
    <t>State Purchases Deflator</t>
  </si>
  <si>
    <t>Consumption Grants Deflator</t>
  </si>
  <si>
    <t>Investment Grants Deflator</t>
  </si>
  <si>
    <t>Total Medicaid Spending</t>
  </si>
  <si>
    <t>Unemployment Insurance (NIPA Definition)</t>
  </si>
  <si>
    <t>Personal Payments</t>
  </si>
  <si>
    <t>Personal Taxes</t>
  </si>
  <si>
    <t>Production Taxes</t>
  </si>
  <si>
    <t>Corporate Taxes</t>
  </si>
  <si>
    <t>Government purchases</t>
  </si>
  <si>
    <t>Social Insurance Payment</t>
  </si>
  <si>
    <t>Purchases</t>
  </si>
  <si>
    <t>Federal Purchases (NIPA consistent)</t>
  </si>
  <si>
    <t>State Purchases (NIPA consistent)</t>
  </si>
  <si>
    <t>Real Federal Purchases</t>
  </si>
  <si>
    <t>Real State Purchases</t>
  </si>
  <si>
    <t>Federal Personal Income Taxes</t>
  </si>
  <si>
    <t>gfrpt</t>
  </si>
  <si>
    <t>Federal Production Taxes</t>
  </si>
  <si>
    <t>gfrpri</t>
  </si>
  <si>
    <t>Federal Corporate Income Taxes</t>
  </si>
  <si>
    <t>gfrcp</t>
  </si>
  <si>
    <t>Federal Social Insurance</t>
  </si>
  <si>
    <t>gfrs</t>
  </si>
  <si>
    <t xml:space="preserve">Social Benefits </t>
  </si>
  <si>
    <t>Federal Social Benefits</t>
  </si>
  <si>
    <t>Gross Consumption Grants (BEA includes Medicaid grants; we deal with them separately)</t>
  </si>
  <si>
    <t>State Personal Income Taxes</t>
  </si>
  <si>
    <t>State Production Taxes</t>
  </si>
  <si>
    <t>State Corporate Income Taxes</t>
  </si>
  <si>
    <t>State Social Insurance</t>
  </si>
  <si>
    <t>State Social Benefits</t>
  </si>
  <si>
    <t>State Expenditures</t>
  </si>
  <si>
    <t>Health Grants</t>
  </si>
  <si>
    <t>Grants, Medicaid</t>
  </si>
  <si>
    <t>Medicaid Grants</t>
  </si>
  <si>
    <t>Investment Grants</t>
  </si>
  <si>
    <t>Federal Subsidies</t>
  </si>
  <si>
    <t>State Subsidies</t>
  </si>
  <si>
    <t>Medicare Reimbursement Increase</t>
  </si>
  <si>
    <t>Paycheck Protection Program Loans to NPISH (Social Benefits)</t>
  </si>
  <si>
    <t>Provider Relief Fund to Nonprofits (NPISH) (Social Benefits)</t>
  </si>
  <si>
    <t>Subsidies, PPP</t>
  </si>
  <si>
    <t xml:space="preserve">Paycheck Protection Program loans to businesses </t>
  </si>
  <si>
    <t>Grants to air carriers</t>
  </si>
  <si>
    <t>Employee Retention Tax Credit</t>
  </si>
  <si>
    <t xml:space="preserve">Support for public transit agencies </t>
  </si>
  <si>
    <t>Coronavirus Food Assistance Program</t>
  </si>
  <si>
    <t>Subsidies, Provider Relief Fund</t>
  </si>
  <si>
    <t>Provider Relief Fund (Subsidies)</t>
  </si>
  <si>
    <t xml:space="preserve">Tax credits to fund paid sick leave </t>
  </si>
  <si>
    <t>Coronavirus Relief Fund</t>
  </si>
  <si>
    <t>Education Stabilization Fund</t>
  </si>
  <si>
    <t>Grants, Provider Relief</t>
  </si>
  <si>
    <t>Provider Relief Fund</t>
  </si>
  <si>
    <t>Pandemic Emergency Unemployment Compensation</t>
  </si>
  <si>
    <t>Pandemic Unemployment Assistance</t>
  </si>
  <si>
    <t>Pandemic Unemployment Compensation Payments</t>
  </si>
  <si>
    <t>UI Expansion</t>
  </si>
  <si>
    <t>Extended Unemployment Benefits (Federal Share)</t>
  </si>
  <si>
    <t>Lost wages supplemental payments (Federal)</t>
  </si>
  <si>
    <t>Capital Transfer Payments</t>
  </si>
  <si>
    <t>Total SNAP</t>
  </si>
  <si>
    <t>CPI</t>
  </si>
  <si>
    <t xml:space="preserve">Real Potential GDP </t>
  </si>
  <si>
    <t>Potential GDP</t>
  </si>
  <si>
    <t>Recession Shading</t>
  </si>
  <si>
    <t>State Purchases</t>
  </si>
  <si>
    <t>State government employment</t>
  </si>
  <si>
    <t>Local government employment</t>
  </si>
  <si>
    <t xml:space="preserve">Construction </t>
  </si>
  <si>
    <t>GDP Deflator Growth</t>
  </si>
  <si>
    <t>Consumption Deflator Growth</t>
  </si>
  <si>
    <t>Federal Purchases Deflator Growth</t>
  </si>
  <si>
    <t>State Purchases Deflator Growth</t>
  </si>
  <si>
    <t>Consumption Grants Deflator Growth</t>
  </si>
  <si>
    <t>Investment Grants Deflator Growth</t>
  </si>
  <si>
    <t>2024 Q3</t>
  </si>
  <si>
    <t>2024 Q4</t>
  </si>
  <si>
    <t>2025 Q1</t>
  </si>
  <si>
    <t>name</t>
  </si>
  <si>
    <t>variable</t>
  </si>
  <si>
    <t>2021 Q3</t>
  </si>
  <si>
    <t>2021 Q4</t>
  </si>
  <si>
    <t>2022 Q1</t>
  </si>
  <si>
    <t>2022 Q2</t>
  </si>
  <si>
    <t>2022 Q3</t>
  </si>
  <si>
    <t>2022 Q4</t>
  </si>
  <si>
    <t>2023 Q1</t>
  </si>
  <si>
    <t>2023 Q2</t>
  </si>
  <si>
    <t>2023 Q3</t>
  </si>
  <si>
    <t>2023 Q4</t>
  </si>
  <si>
    <t>2024 Q1</t>
  </si>
  <si>
    <t>2024 Q2</t>
  </si>
  <si>
    <t>Consumption Grants</t>
  </si>
  <si>
    <t>consumption_grants</t>
  </si>
  <si>
    <t>investment_grants</t>
  </si>
  <si>
    <t>Federal Purchases (NIPA Consistent)</t>
  </si>
  <si>
    <t>federal_purchases</t>
  </si>
  <si>
    <t>State Purchases (NIPA Consistent)</t>
  </si>
  <si>
    <t>state_purchases</t>
  </si>
  <si>
    <t>Non-ARP Subsidies + ARP Provider Relief and PPP</t>
  </si>
  <si>
    <t>federal_subsidies</t>
  </si>
  <si>
    <t>ARP Subsidies less Provider Relief and PPP</t>
  </si>
  <si>
    <t>federal_aid_to_small_businesses_arp</t>
  </si>
  <si>
    <t>Federal UI</t>
  </si>
  <si>
    <t>federal_ui</t>
  </si>
  <si>
    <t>State UI</t>
  </si>
  <si>
    <t>state_ui</t>
  </si>
  <si>
    <t>Federal Medicaid</t>
  </si>
  <si>
    <t>medicaid_grants</t>
  </si>
  <si>
    <t>Total Medicaid</t>
  </si>
  <si>
    <t>medicaid</t>
  </si>
  <si>
    <t>medicare</t>
  </si>
  <si>
    <t>Non-ARP Rebate Checks</t>
  </si>
  <si>
    <t>rebate_checks</t>
  </si>
  <si>
    <t>ARP Rebate Checks</t>
  </si>
  <si>
    <t>rebate_checks_arp</t>
  </si>
  <si>
    <t>ARP Other Vulnerable</t>
  </si>
  <si>
    <t>federal_other_vulnerable_arp</t>
  </si>
  <si>
    <t>ARP Other Direct Aid</t>
  </si>
  <si>
    <t>federal_other_direct_aid_arp</t>
  </si>
  <si>
    <t>Other Federal Social Benefits (including all SNAP)</t>
  </si>
  <si>
    <t>federal_social_benefits</t>
  </si>
  <si>
    <t>State Social Benefits ex Medicaid</t>
  </si>
  <si>
    <t>state_social_benefits</t>
  </si>
  <si>
    <t>Federal Non-Corporate Taxes</t>
  </si>
  <si>
    <t>federal_non_corporate_taxes</t>
  </si>
  <si>
    <t>State Non-Corporate Taxes</t>
  </si>
  <si>
    <t>state_non_corporate_taxes</t>
  </si>
  <si>
    <t>Federal Corporate Taxes</t>
  </si>
  <si>
    <t>federal_corporate_taxes</t>
  </si>
  <si>
    <t>State Corporate Taxes</t>
  </si>
  <si>
    <t>state_corporate_taxes</t>
  </si>
  <si>
    <t>Level Differences</t>
  </si>
  <si>
    <t>Percent Differences</t>
  </si>
  <si>
    <t>Jan.</t>
  </si>
  <si>
    <t>Feb.</t>
  </si>
  <si>
    <t>Mar.</t>
  </si>
  <si>
    <t>Apr.</t>
  </si>
  <si>
    <t>Q3</t>
  </si>
  <si>
    <t>Personal income</t>
  </si>
  <si>
    <t>q1</t>
  </si>
  <si>
    <t>q2</t>
  </si>
  <si>
    <t>Less: Personal current taxes</t>
  </si>
  <si>
    <t>Less: Personal outlays</t>
  </si>
  <si>
    <t>Equals: Personal saving</t>
  </si>
  <si>
    <t>Data on this table will be superseded by updated estimates.</t>
  </si>
  <si>
    <t>Source: U.S. Bureau of Economic Analysis</t>
  </si>
  <si>
    <t>2020 Q3</t>
  </si>
  <si>
    <t>2020 Q4</t>
  </si>
  <si>
    <t>2021 Q1</t>
  </si>
  <si>
    <t>2021 Q2</t>
  </si>
  <si>
    <t>Consumption Grants Historical Override</t>
  </si>
  <si>
    <t>consumption_grants_override</t>
  </si>
  <si>
    <t>MPC Lag Structure</t>
  </si>
  <si>
    <t>Total over 3 years</t>
  </si>
  <si>
    <t>Medicare, Medicaid, CHIP (all)</t>
  </si>
  <si>
    <t>health_outlays</t>
  </si>
  <si>
    <t>Corporate</t>
  </si>
  <si>
    <t>corporate_taxes</t>
  </si>
  <si>
    <t>Non-corporate</t>
  </si>
  <si>
    <t>non_corporate_taxes</t>
  </si>
  <si>
    <t>Rebate checks</t>
  </si>
  <si>
    <t>Unemployment insurance</t>
  </si>
  <si>
    <t>ui</t>
  </si>
  <si>
    <t>Social Benefits net of  Medicare, Medicaid, UI, SNAP and  Rebate Checks non-ARP</t>
  </si>
  <si>
    <t>social_benefits</t>
  </si>
  <si>
    <t>Subsidies (non-ARP) + ARP PPP and Provider Relief</t>
  </si>
  <si>
    <t>subsidies</t>
  </si>
  <si>
    <t>Rebate checks ARP</t>
  </si>
  <si>
    <t>Unemployment insurance ARP</t>
  </si>
  <si>
    <t>ui_arp</t>
  </si>
  <si>
    <t>ARP Aid to Vulnerable Households: , Premium Tax Credits, Ratepayer protection, Assistance for older Americans, COBRA, Emergency Assistance</t>
  </si>
  <si>
    <t>other_vulnerable_arp</t>
  </si>
  <si>
    <t>ARP Direct Aid to Families: Child tax credit, EITC,  Childcare for workers,  Dependent  care for families</t>
  </si>
  <si>
    <t>other_direct_aid_arp</t>
  </si>
  <si>
    <t>ARP: Subsidies ex PPP,  Child care stabilization, grants to small businesses, paid sick leave, employee retention tax credit, pensions, transit and  aviation  support</t>
  </si>
  <si>
    <t>aid_to_small_businesses_arp</t>
  </si>
  <si>
    <r>
      <t xml:space="preserve">Methodology: </t>
    </r>
    <r>
      <rPr>
        <sz val="11"/>
        <color theme="1"/>
        <rFont val="Arial"/>
        <family val="2"/>
      </rPr>
      <t>CBO and NIPA attribute almost all UI to the federal government, regardless of who pays for it. The FIM attributes UI to whichever level of government finances it. In normal times, that's the states. In recessions, emergency unemployment compensation (EUC) kicks in; the federal government covers 50% of this in addition to any legislative changes, which typically increase the federal share of the extended benefits. In particular, the CARES Act increased the federal share of EUC to 100%. We split UI into federal and state by subtracting the sum of legislative UI changes (BEA gives us the pieces) from total unemployment insurance (also from BEA) plus Trump's lost wages supplemental payments.</t>
    </r>
    <r>
      <rPr>
        <b/>
        <sz val="11"/>
        <color theme="1"/>
        <rFont val="Arial"/>
        <family val="2"/>
      </rPr>
      <t xml:space="preserve"> </t>
    </r>
    <r>
      <rPr>
        <sz val="11"/>
        <color theme="1"/>
        <rFont val="Arial"/>
        <family val="2"/>
      </rPr>
      <t>We forecast normal federal UI and state UI using the growth in the unemployment rate and federal UI legislation with a few judgemental changes (see below).
We get our unemployment rate projection from the CBO Economic Projections.</t>
    </r>
  </si>
  <si>
    <t>NIPA DATA (Millions)</t>
  </si>
  <si>
    <t>HISTORY</t>
  </si>
  <si>
    <t>PROJECTION</t>
  </si>
  <si>
    <t>Q4</t>
  </si>
  <si>
    <t>Q1</t>
  </si>
  <si>
    <t>Q2</t>
  </si>
  <si>
    <t>yptu</t>
  </si>
  <si>
    <t>Sum of Federal and State UI (Not including the Lost Wages supplemental payment)</t>
  </si>
  <si>
    <t xml:space="preserve">    Extended Unemployment Benefits (Federal Share)</t>
  </si>
  <si>
    <t>yptub</t>
  </si>
  <si>
    <t xml:space="preserve">    Federal Increase due to Legislation</t>
  </si>
  <si>
    <t xml:space="preserve">         Extended Benefits (Would be state without legislation) </t>
  </si>
  <si>
    <t xml:space="preserve">         Pandemic Emergency Unemployment Compensation</t>
  </si>
  <si>
    <t>yptue</t>
  </si>
  <si>
    <t xml:space="preserve">         Pandemic Unemployment Assistance</t>
  </si>
  <si>
    <t>yptup</t>
  </si>
  <si>
    <t xml:space="preserve">         Pandemic Unemployment Compensation Payments</t>
  </si>
  <si>
    <t>yptuc</t>
  </si>
  <si>
    <t>yptol</t>
  </si>
  <si>
    <t>Total Federal (FIM) - includes lost wages supplemental</t>
  </si>
  <si>
    <t>Total State (FIM)</t>
  </si>
  <si>
    <t>Use change in projected unemployment rate to project state UI</t>
  </si>
  <si>
    <t>.</t>
  </si>
  <si>
    <t>Monthly Unemployment Rate from the BLS</t>
  </si>
  <si>
    <t>Monthly UR</t>
  </si>
  <si>
    <t>NIPA DATA (Billions)</t>
  </si>
  <si>
    <t>gftfpv</t>
  </si>
  <si>
    <t>Provider Relief Fund to Public Hospitals (Grants)</t>
  </si>
  <si>
    <t>gfegv</t>
  </si>
  <si>
    <t>Provider Relief Fund to For-Profit Hospitals (Subsidies)</t>
  </si>
  <si>
    <t>gfsubv</t>
  </si>
  <si>
    <t>Total amount legislated (our projected total should match)</t>
  </si>
  <si>
    <t>Our projected total</t>
  </si>
  <si>
    <t>Total</t>
  </si>
  <si>
    <t>Share Social Benefits</t>
  </si>
  <si>
    <t>Share Grants</t>
  </si>
  <si>
    <t>Share Subsidies</t>
  </si>
  <si>
    <t>Paycheck Protection Program (PPP)</t>
  </si>
  <si>
    <r>
      <rPr>
        <b/>
        <sz val="11"/>
        <color theme="1"/>
        <rFont val="Arial"/>
        <family val="2"/>
      </rPr>
      <t>Methodology:</t>
    </r>
    <r>
      <rPr>
        <sz val="11"/>
        <color theme="1"/>
        <rFont val="Arial"/>
        <family val="2"/>
      </rPr>
      <t xml:space="preserve"> We begin with weekly disbursement data from here: https://www.americanactionforum.org/research/tracker-paycheck-protection-program-loans/  Then we take each week's cumulative total disbursements and subtract from the previous week's cumulative total disbursements to get the new disbursement each week. We spread the each week's new disbursements over 26 weeks because we know that BEA is spreading over the term of the loan when accounting for PPP and the term is 6 months. Then with the weekly data we are able to convert to quarterly based on the share of the 6 months in each quarter. Because BEA is spreading the disbursements over 6 months and all the money has already gone out, we can derive a forecast by summing all of the weekly disbursements in their appropriate quarter, derived with the 6 month spread. This leads PPP to fall off in entirely by 2021Q4.
 </t>
    </r>
  </si>
  <si>
    <t>https://www.americanactionforum.org/research/tracker-paycheck-protection-program-loans/</t>
  </si>
  <si>
    <t>Date</t>
  </si>
  <si>
    <t>Cumulative</t>
  </si>
  <si>
    <t>New Disbursement</t>
  </si>
  <si>
    <t>Weeks left in the first quarter disbursed (total 13)</t>
  </si>
  <si>
    <t xml:space="preserve"> </t>
  </si>
  <si>
    <t>actuals</t>
  </si>
  <si>
    <t>Dividing PPP into Subsidies and Social Benefits</t>
  </si>
  <si>
    <t>PPP Loans to NPISH (Social Benefits)</t>
  </si>
  <si>
    <t>gftfpp</t>
  </si>
  <si>
    <t>PPP Loans to Businesses (Subsidies)</t>
  </si>
  <si>
    <t>gfsubp</t>
  </si>
  <si>
    <t>NPISH Share</t>
  </si>
  <si>
    <t>q3</t>
  </si>
  <si>
    <r>
      <t xml:space="preserve">Methodology:  </t>
    </r>
    <r>
      <rPr>
        <sz val="11"/>
        <color theme="1"/>
        <rFont val="Arial"/>
        <family val="2"/>
      </rPr>
      <t>Projecting consumption grants requires a few steps. From the legislation scores, we know how much money in grants should be disbursed over the next few years (Table 2). The BEA gives us data on how much money has been disbursed so far (Table 1 History), but not how much has been actually spent by state and local governments.  As new historical data comes in, we should adjust the projection so that we are always hitting the total $ amount to be disbursed (column AA). Next, we need to use our assumed disbursement schedule to project when state and local governments actually spend the money they receive (Table 4). For the majority of grants we assume spending occurs with disbursement, with the exception of the CARES Act grants, the Education Stabilization Fund, and the Coronavirus Fiscal Recovery Fund, which BEA records as disbursed in one or two quarters rather than spread out over time.</t>
    </r>
  </si>
  <si>
    <t>Table 1</t>
  </si>
  <si>
    <t>NIPA Disbursement  Data (Billions)</t>
  </si>
  <si>
    <t>Total disbursed during COVID (2020 Q1 - 2024 Q1)</t>
  </si>
  <si>
    <t>What we think the total through 2024 Q1 should be</t>
  </si>
  <si>
    <t>Gross Consumption Grants</t>
  </si>
  <si>
    <t>gfeg</t>
  </si>
  <si>
    <t>gfeghdx</t>
  </si>
  <si>
    <t>Total Non-Medicaid Consumption Grants</t>
  </si>
  <si>
    <t>gfegc</t>
  </si>
  <si>
    <t>gfege</t>
  </si>
  <si>
    <t>Transportation</t>
  </si>
  <si>
    <t>We think that BEA doesn't include transportation grants in the effects of the legislation, so we use our CFRB score here as our disbursement "data" in 2021Q1.</t>
  </si>
  <si>
    <t>Other non-ARP COVID aid to state, local and tribal governments</t>
  </si>
  <si>
    <t>Similarly to transportation grants, we add our assumptions about disbursement here as "data" in 2021 Q1 since BEA doesn't include a category for these smaller pieces.</t>
  </si>
  <si>
    <t>Other ARP aid to S&amp;L</t>
  </si>
  <si>
    <t>Coronavirus Fiscal Recovery Fund</t>
  </si>
  <si>
    <t>gfegc after 2020 Q2</t>
  </si>
  <si>
    <t>Other Grants</t>
  </si>
  <si>
    <t>We grow other grant disbursements (total non-Medicaid grants minus grants from legislation) by 0.4% every quarter.</t>
  </si>
  <si>
    <t>Table 2</t>
  </si>
  <si>
    <t>Our assumptions about disbursement (DOES NOT CHANGE WITH BEA DATA, DO NOT EDIT)</t>
  </si>
  <si>
    <t>CARES Act Grants Total</t>
  </si>
  <si>
    <t>Our CARES Act disbursements follow the BEA disbursement data until fully spent; we spread the remaining ESF money across 2021.</t>
  </si>
  <si>
    <t>December Stimulus Grants Total</t>
  </si>
  <si>
    <t>We spread all December stimulus grants (see Response and Relief Act Score) out evenly over three years, with the exception of the Education Stabilization Fund, which we lower slightly in 2021Q1 and add 7 in 2024Q1 because the 2021Q1 data came in lower than expected.</t>
  </si>
  <si>
    <t xml:space="preserve">We changed our EDF assumptions to match the BEA data that came in 2021Q2. </t>
  </si>
  <si>
    <t>COVID and Mental Health Healthcare</t>
  </si>
  <si>
    <t>Community Development Block Grant</t>
  </si>
  <si>
    <t>ARP Consumption Grants</t>
  </si>
  <si>
    <t>With the exception of the Coronavirus Fiscal Recovery Fund, our ARP disbursement assumptions come from our ARP score, timing assumptions and ARP grants MPC for spending (see ARP Score, ARP Timing and ARP Quarterly). We anticipate that BEA will add the CFRF as a separate category; until the data comes in, we assume 40% goes out in Q1, 60% the next year. See "tranching of funds" in link below.</t>
  </si>
  <si>
    <t>https://home.treasury.gov/policy-issues/coronavirus/assistance-for-state-local-and-tribal-governments/state-and-local-fiscal-recovery-funds</t>
  </si>
  <si>
    <t>Other state and local aid</t>
  </si>
  <si>
    <t>Table 3</t>
  </si>
  <si>
    <t>Grants from Legislation</t>
  </si>
  <si>
    <t>Score</t>
  </si>
  <si>
    <t>Total Disbursed</t>
  </si>
  <si>
    <t>Remainder</t>
  </si>
  <si>
    <t>BEA Categories Total</t>
  </si>
  <si>
    <t>Transportation*</t>
  </si>
  <si>
    <t>Other aid to state, local and tribal governments</t>
  </si>
  <si>
    <t>Legislation Total</t>
  </si>
  <si>
    <t>Grants to tribal governments</t>
  </si>
  <si>
    <t>Table 4</t>
  </si>
  <si>
    <t>Our Spending Assumptions</t>
  </si>
  <si>
    <t>Total Non-Medicaid Consumption Grant Spending</t>
  </si>
  <si>
    <t>Same as Disbursements</t>
  </si>
  <si>
    <t>Other non-ARP COVID grants</t>
  </si>
  <si>
    <t>Baseline (non-COVID) grants</t>
  </si>
  <si>
    <t>Different spending pattern</t>
  </si>
  <si>
    <t>Coronavirus Fiscal Recovery Fund and other ARP</t>
  </si>
  <si>
    <t>Investment Grants (FIM)</t>
  </si>
  <si>
    <t>gfeigx</t>
  </si>
  <si>
    <t>Federal Purchases</t>
  </si>
  <si>
    <r>
      <rPr>
        <b/>
        <sz val="11"/>
        <color theme="1"/>
        <rFont val="Arial"/>
        <family val="2"/>
      </rPr>
      <t xml:space="preserve">Methodology: </t>
    </r>
    <r>
      <rPr>
        <sz val="11"/>
        <color theme="1"/>
        <rFont val="Arial"/>
        <family val="2"/>
      </rPr>
      <t xml:space="preserve">We pull federal purchases from Haver and we take CBO’s projection of federal purchases to get NIPA consistent federal purchases. We read NIPA consistent federal and state purchases and grants separately into the code because we apply separate deflators to each (in particular, grants are deflated using the state purchases deflator, since inflation matters from the perspective of the states making purchases using the money). For reference in this sheet, we also look at the FIM consistent federal purchases, which attribute grants away from states and to the federal government (who initially finances them). 		</t>
    </r>
  </si>
  <si>
    <t>Federal Purchases (FIM consistent)</t>
  </si>
  <si>
    <t>Total, with grants attributed to federal spending (not used in calculations, because we use different deflators for the grants piece)</t>
  </si>
  <si>
    <r>
      <t xml:space="preserve">Methodology: </t>
    </r>
    <r>
      <rPr>
        <sz val="11"/>
        <color theme="1"/>
        <rFont val="Arial"/>
        <family val="2"/>
      </rPr>
      <t>In normal times, we forecast state purchases using CBO's projected state purchases growth rate. We think the CBO's projected growth coming out of the pandemic is too conservative, however, so we override with Louise's preferred growth rates that have state purchases recovering faster than CBO projects, and even overtaking prepandemic projections around the beginning of 2022 as states spend their extra federal funding from pandemic legislation (see comparison charts to the right).</t>
    </r>
  </si>
  <si>
    <t>gs</t>
  </si>
  <si>
    <t>See methodology and comparison charts to the right</t>
  </si>
  <si>
    <t>NIPA Consistent Projected State Purchases</t>
  </si>
  <si>
    <t>State Purchases (FIM Consistent)</t>
  </si>
  <si>
    <t>Total, with grants removed from state spending and reattributed to federal</t>
  </si>
  <si>
    <t>State Government Employment (Thousands)</t>
  </si>
  <si>
    <t>Local Government Employment (Thousands)</t>
  </si>
  <si>
    <t>lalgova</t>
  </si>
  <si>
    <t>State and Local Construction (Millions)</t>
  </si>
  <si>
    <t>cpgs</t>
  </si>
  <si>
    <t>Grants Reallocation (ONLY EDIT IN SEPARATE GRANTS SPREADSHEET)</t>
  </si>
  <si>
    <r>
      <t xml:space="preserve">Methodology: </t>
    </r>
    <r>
      <rPr>
        <sz val="11"/>
        <color theme="1"/>
        <rFont val="Arial"/>
        <family val="2"/>
      </rPr>
      <t>See Grants sheet for calculations of top-line investment and consumption grants. We sum these together and reattribute them away from states and to the federal government.</t>
    </r>
  </si>
  <si>
    <t>Total Grants</t>
  </si>
  <si>
    <t>NIPA Data (Billions)</t>
  </si>
  <si>
    <t>Non-legislation subsidies</t>
  </si>
  <si>
    <t>Legislation subsidies</t>
  </si>
  <si>
    <t>Legislation ex PPP</t>
  </si>
  <si>
    <t>gfsubf</t>
  </si>
  <si>
    <t>gfsube</t>
  </si>
  <si>
    <t>gfsubg</t>
  </si>
  <si>
    <t xml:space="preserve">Provider Relief Fund </t>
  </si>
  <si>
    <t>gfsubs</t>
  </si>
  <si>
    <t>gfsubk</t>
  </si>
  <si>
    <t>Economic Injury Disaster Loan Advances</t>
  </si>
  <si>
    <t>Restaurant Revitalization Fund</t>
  </si>
  <si>
    <t>Other ARP Subsidies (not elsewhere classified)</t>
  </si>
  <si>
    <t>Other Aid to Small Business</t>
  </si>
  <si>
    <t>CRFB Score of December Legislation</t>
  </si>
  <si>
    <t>Aid to small businesses ex PPP</t>
  </si>
  <si>
    <t>Support Program for Airline Workers</t>
  </si>
  <si>
    <t>Emergency Grants to Venues</t>
  </si>
  <si>
    <t>Other Small Business Relief and Program Expenses</t>
  </si>
  <si>
    <t>CBO Score of ARPA</t>
  </si>
  <si>
    <t>Support for Transit</t>
  </si>
  <si>
    <t>Restaurant Revitalization Fund (includes grants to venues, which is small)</t>
  </si>
  <si>
    <t>Child Care Stabilization</t>
  </si>
  <si>
    <t>Pensions</t>
  </si>
  <si>
    <t>Totals to Read Into Code</t>
  </si>
  <si>
    <t>ARP Subsidies ex Provider Relief and PPP</t>
  </si>
  <si>
    <t>yptmd</t>
  </si>
  <si>
    <t>Federal Medicaid Grants</t>
  </si>
  <si>
    <t>Fiscal Years (Billions)</t>
  </si>
  <si>
    <t>Annual FMAP</t>
  </si>
  <si>
    <t>Total Medicaid (Federal/FMAP)</t>
  </si>
  <si>
    <t>Total Medicaid Annual Growth Rate</t>
  </si>
  <si>
    <t>Quarterly Projection (Billions)</t>
  </si>
  <si>
    <t xml:space="preserve">Total Medicaid </t>
  </si>
  <si>
    <t xml:space="preserve">State Medicaid </t>
  </si>
  <si>
    <t>CBO Medicaid ARP Score</t>
  </si>
  <si>
    <t>Coverage of Covid-19 vaccinations and treatments</t>
  </si>
  <si>
    <t>Coverage for pregnant women</t>
  </si>
  <si>
    <t>Bundled community-based mobile crisis intervention</t>
  </si>
  <si>
    <t>Temporary increase in FMAP for expanding ACA coverage</t>
  </si>
  <si>
    <t>100% FMAP for urban, Indian and Hawaiian organizations</t>
  </si>
  <si>
    <t>Sunset of limit on maximum rebate</t>
  </si>
  <si>
    <t>Temporary increase in FMAP for expanding HCBS</t>
  </si>
  <si>
    <t>Strike Teams for nursing facilities</t>
  </si>
  <si>
    <t>DSH allotments during public health emergency</t>
  </si>
  <si>
    <t>Total ARP Medicaid Provisions</t>
  </si>
  <si>
    <t>FMAP Provisions</t>
  </si>
  <si>
    <t>Probably some of the $ for the Medicaid expansions is increase in actual Medicaid, but this is good enough for now</t>
  </si>
  <si>
    <t>FMAP Effects</t>
  </si>
  <si>
    <t>Rough estimate of impact on FMAP</t>
  </si>
  <si>
    <t>Total Medicare</t>
  </si>
  <si>
    <t>Medicare Spending Growth Rate</t>
  </si>
  <si>
    <t>Timing shift due to COVID legislation</t>
  </si>
  <si>
    <t>BEA doesn't count the timing shift due to COVID Legislation, so we adjust the numbers to make them comparable to BEA's</t>
  </si>
  <si>
    <t>BEA's Average</t>
  </si>
  <si>
    <r>
      <t xml:space="preserve">Methodology: </t>
    </r>
    <r>
      <rPr>
        <sz val="11"/>
        <color theme="1"/>
        <rFont val="Arial"/>
        <family val="2"/>
      </rPr>
      <t>We take BEA's data on rebate checks disbursement and separate out ARP and non-ARP checks because we apply a different MPC to the ARP round of checks. All checks before 2021 Q1 are non-ARP; all in 2021 Q2 forward are ARP. In 2021 Q1 we sum the January and February disbursements as the share of non-ARP checks out of the total.</t>
    </r>
  </si>
  <si>
    <t>gftfpe</t>
  </si>
  <si>
    <t xml:space="preserve">Non-ARP Rebate Checks </t>
  </si>
  <si>
    <t>BEA Monthly Rebate Checks Data</t>
  </si>
  <si>
    <r>
      <t>Economic impact payments</t>
    </r>
    <r>
      <rPr>
        <vertAlign val="superscript"/>
        <sz val="11"/>
        <color theme="1"/>
        <rFont val="Calibri"/>
        <family val="2"/>
        <scheme val="minor"/>
      </rPr>
      <t xml:space="preserve"> </t>
    </r>
  </si>
  <si>
    <t>https://www.bea.gov/sites/default/files/2021-05/effects-of-selected-federal-pandemic-response-programs-on-personal-income-april-2021.pdf</t>
  </si>
  <si>
    <t>Remaining Social Benefits</t>
  </si>
  <si>
    <t>Federal</t>
  </si>
  <si>
    <t>Federal Social Benefits (NIPA Definition)</t>
  </si>
  <si>
    <t>gftfp</t>
  </si>
  <si>
    <t>Total Rebate Checks
(ARP + non-ARP)</t>
  </si>
  <si>
    <t>PPP to NPISH</t>
  </si>
  <si>
    <t>Provider Relief to NPISH</t>
  </si>
  <si>
    <t>Other Vulnerable excluding SNAP</t>
  </si>
  <si>
    <t>State</t>
  </si>
  <si>
    <t>gstfp</t>
  </si>
  <si>
    <t>Social Security</t>
  </si>
  <si>
    <t>gftfbdx</t>
  </si>
  <si>
    <r>
      <rPr>
        <b/>
        <sz val="11"/>
        <color theme="1"/>
        <rFont val="Arial"/>
        <family val="2"/>
      </rPr>
      <t>Methodology</t>
    </r>
    <r>
      <rPr>
        <sz val="11"/>
        <color theme="1"/>
        <rFont val="Arial"/>
        <family val="2"/>
      </rPr>
      <t xml:space="preserve">: SNAP benefits increase both due to legislative changes and because the unemployment rate has risen. Biden extended pandemic SNAP legislation through September 2021 and increased benefits. We take BEA historical data on total SNAP payments, and use the difference between each quarter in 2020s total benefits and the average pre-pandemic (2019) amount to back out how much of the SNAP payments are due to COVID in the historical period. We judgementally phase out the benefits in the projection period based on recent BEA data, expiration of enhanced benefits, and expected economic recovery. We read SNAP due to COVID legislation into our Social Benefits sheet. </t>
    </r>
  </si>
  <si>
    <t>Calculating SNAP due to COVID</t>
  </si>
  <si>
    <t>gftffx</t>
  </si>
  <si>
    <t>Increase Relative to Pre-COVID</t>
  </si>
  <si>
    <t>Total non-corporate</t>
  </si>
  <si>
    <t>Personal Income</t>
  </si>
  <si>
    <t>Social Insurance</t>
  </si>
  <si>
    <t>Production</t>
  </si>
  <si>
    <t>Corporate Income Tax</t>
  </si>
  <si>
    <t>Personal</t>
  </si>
  <si>
    <t>gsrpt</t>
  </si>
  <si>
    <t>gsrs</t>
  </si>
  <si>
    <t>gsrpri</t>
  </si>
  <si>
    <t>gsrcp</t>
  </si>
  <si>
    <t>Individual Income</t>
  </si>
  <si>
    <t>Payroll</t>
  </si>
  <si>
    <t>Excise + Customs</t>
  </si>
  <si>
    <t>BEA Data FY Averages</t>
  </si>
  <si>
    <t>Monthly Taxes from Personal Income Release (just to check feasibility of our forecast)</t>
  </si>
  <si>
    <t>Social Insurance Contributions</t>
  </si>
  <si>
    <t>Personal current taxes</t>
  </si>
  <si>
    <t>Comparing the BEA and CBO tax revenues</t>
  </si>
  <si>
    <t>Ratio: BEA/CBO</t>
  </si>
  <si>
    <t>"Taxable Personal Income"</t>
  </si>
  <si>
    <t>Wages and Salaries</t>
  </si>
  <si>
    <t>Personal Consumption</t>
  </si>
  <si>
    <t>CBO projected annual revenues over projected annual base to get projected annual tax rates.</t>
  </si>
  <si>
    <t>CBO Tax Rates</t>
  </si>
  <si>
    <t>Excise and Customs Taxes</t>
  </si>
  <si>
    <t>In the historical period, we multiply our tax rates from CBO by the ratio of CBO and BEA tax rates to get annual BEA tax rates. The projection is Louise's judgement, guided by projected CBO tax rates.</t>
  </si>
  <si>
    <t>BEA Tax Rates Actual and Projected</t>
  </si>
  <si>
    <t>BEA Quarterly</t>
  </si>
  <si>
    <t>Federal Tax Rates</t>
  </si>
  <si>
    <t>Federal Tax Base</t>
  </si>
  <si>
    <t>BEA "Taxable Personal Income" (estimate)</t>
  </si>
  <si>
    <t>Prop Income</t>
  </si>
  <si>
    <t>Rental income</t>
  </si>
  <si>
    <t>Asset Income</t>
  </si>
  <si>
    <t>Corporate Profits with IVA and CCADJ</t>
  </si>
  <si>
    <t>State Tax Rates</t>
  </si>
  <si>
    <t>Corporate Income</t>
  </si>
  <si>
    <t>c</t>
  </si>
  <si>
    <t>gfsub</t>
  </si>
  <si>
    <t>gftfpr</t>
  </si>
  <si>
    <r>
      <t>This file reproduces the tables detailing CBO's budgetary projections that appear in the agency's September 2020 report</t>
    </r>
    <r>
      <rPr>
        <i/>
        <sz val="11"/>
        <color rgb="FF000000"/>
        <rFont val="Arial"/>
        <family val="2"/>
      </rPr>
      <t xml:space="preserve"> An Update to the Budget Outlook: 2020 to 2030</t>
    </r>
    <r>
      <rPr>
        <sz val="11"/>
        <color rgb="FF000000"/>
        <rFont val="Arial"/>
        <family val="2"/>
      </rPr>
      <t>. The file also includes data that supplement those tables.</t>
    </r>
  </si>
  <si>
    <t>www.cbo.gov/publication/56517</t>
  </si>
  <si>
    <t>Table A-2. 
Effects on Outlays of Legislation Enacted to Address the Coronavirus Pandemic and Economic Downturn</t>
  </si>
  <si>
    <t>Billions of Dollars</t>
  </si>
  <si>
    <t>2021-</t>
  </si>
  <si>
    <t>Paycheck Protection Program</t>
  </si>
  <si>
    <t>Unemployment Compensation Expansion</t>
  </si>
  <si>
    <t>UI</t>
  </si>
  <si>
    <t>FPUC - Additional $600 per week</t>
  </si>
  <si>
    <t>PUA - Eligibility expansion</t>
  </si>
  <si>
    <t>PEUC - Additional 13 weeks of coverage</t>
  </si>
  <si>
    <t>Other</t>
  </si>
  <si>
    <t>___</t>
  </si>
  <si>
    <t>Subtotal, unemployment compensation</t>
  </si>
  <si>
    <r>
      <t>Recovery Rebates</t>
    </r>
    <r>
      <rPr>
        <vertAlign val="superscript"/>
        <sz val="11"/>
        <rFont val="Arial"/>
        <family val="2"/>
      </rPr>
      <t>a</t>
    </r>
  </si>
  <si>
    <t>Checks</t>
  </si>
  <si>
    <t>HHS Public Health and Social Services Emergency Fund</t>
  </si>
  <si>
    <t>Provider Relief Grants/Transfers/Subsidies</t>
  </si>
  <si>
    <t>Medicaid Financial Assistance to States and</t>
  </si>
  <si>
    <t>Coverage Continuity for Enrollees</t>
  </si>
  <si>
    <t>Disaster Relief</t>
  </si>
  <si>
    <t>Medicare Accelerated Payments</t>
  </si>
  <si>
    <t>Increase in SNAP Beneficiaries and Average Benefits</t>
  </si>
  <si>
    <t>SNAP</t>
  </si>
  <si>
    <t>Pandemic Relief for Aviation Workers</t>
  </si>
  <si>
    <t>Education Grants/Transfers/Subsidies</t>
  </si>
  <si>
    <t>Other Programs</t>
  </si>
  <si>
    <t xml:space="preserve">Other </t>
  </si>
  <si>
    <t>Source:  Congressional Budget Office.</t>
  </si>
  <si>
    <t>The table shows the effects of the three laws enacted in response to the 2020 coronavirus pandemic that were not incorporated into CBO’s March 2020 baseline. Those three laws are the Families First Coronavirus Response Act (Public Law 116-127, enacted on March 18, 2020); the Coronavirus Aid, Relief, and Economic Security Act (CARES Act, P.L. 116-136, enacted on March 27, 2020); and the Paycheck Protection Program and Health Care Enhancement Act (P.L. 116-139, enacted on April 24, 2020). The effects of the Coronavirus Preparedness and Response Supplemental Appropriations Act, 2020 (P.L. 116-123, enacted on March 6, 2020) were included in CBO’s March 2020 baseline and thus are not reflected in the table.</t>
  </si>
  <si>
    <t>The CARES Act authorized the Secretary of the Treasury to provide up to $454 billion to fund emergency lending facilities established by the Board of Governors of the Federal Reserve System. However, because the income and costs stemming from that lending are expected to roughly offset each other, CBO estimates that the provision will have little effect on the deficit.</t>
  </si>
  <si>
    <t>FPUC = Federal Pandemic Unemployment Compensation; HHS = Health and Human Services; PEUC = Pandemic Emergency Unemployment Compensation;
PUA = Pandemic Unemployment Assistance; SNAP = Supplemental Nutrition Assistance Program.</t>
  </si>
  <si>
    <t>a. In CBO’s initial estimate of the recovery rebates, the deficit effect was split almost evenly between an increase in outlays and a reduction in revenues. Because the Treasury is recording those rebates almost entirely as outlays, CBO has adjusted its projections accordingly. That shift from an increase in outlays to a reduction in revenues has no effect on the deficit.</t>
  </si>
  <si>
    <t>Source: https://www.crfb.org/blogs/whats-final-covid-relief-deal-2020</t>
  </si>
  <si>
    <t>Provision</t>
  </si>
  <si>
    <t>Ten year cost (annualized)</t>
  </si>
  <si>
    <t>Column1</t>
  </si>
  <si>
    <t>Column2</t>
  </si>
  <si>
    <t>Aid to small businesses</t>
  </si>
  <si>
    <t>What we use for our assumptions</t>
  </si>
  <si>
    <t>Paycheck Protection Program (PPP) Second Draw </t>
  </si>
  <si>
    <t>Ten Year Cost</t>
  </si>
  <si>
    <t>Extend and Augment Unemployment Benefits (+$300/week) for 11 weeks</t>
  </si>
  <si>
    <t>Stimulus checks of $600/person</t>
  </si>
  <si>
    <t>Covid and Mental Health Healthcare Grants</t>
  </si>
  <si>
    <t>Education</t>
  </si>
  <si>
    <t xml:space="preserve">Subsidies </t>
  </si>
  <si>
    <t>Sum</t>
  </si>
  <si>
    <t>K-12 Education Grants</t>
  </si>
  <si>
    <t>Higher Education Grants</t>
  </si>
  <si>
    <t xml:space="preserve">Economic Injury Disaster Loan Advances </t>
  </si>
  <si>
    <t>Governor's Emergency Education Relief Fund</t>
  </si>
  <si>
    <t>Grants  to HBCUs, Minority Serving Institutions, and Tribal and Territories</t>
  </si>
  <si>
    <t>Grants to For-Profit  Colleges to Provide Financial Aid</t>
  </si>
  <si>
    <t>Second Round Payroll Support Program for Airline Workers</t>
  </si>
  <si>
    <t>Education Grants for Tribes and Territories</t>
  </si>
  <si>
    <t>Community Lender Support</t>
  </si>
  <si>
    <t>Health Care</t>
  </si>
  <si>
    <t>Childcare Grants</t>
  </si>
  <si>
    <t>Funding for States  for Testing, Tracing,  and COVID Mitigation</t>
  </si>
  <si>
    <t>Grant</t>
  </si>
  <si>
    <t>Vaccine Procurement</t>
  </si>
  <si>
    <t>Vaaccine Distribution Through the States &amp; CDC</t>
  </si>
  <si>
    <t>Mental Health  Funding</t>
  </si>
  <si>
    <t xml:space="preserve">Overseas Vaccine Response </t>
  </si>
  <si>
    <t>Additional Health Care Provider Grants</t>
  </si>
  <si>
    <t>Provider relief grant</t>
  </si>
  <si>
    <t>Repeal the Medicare Sequester through  March 2021</t>
  </si>
  <si>
    <t>Transfers (medicare)</t>
  </si>
  <si>
    <t>Increase Physician Pay Schedule</t>
  </si>
  <si>
    <t>Other Health Funding</t>
  </si>
  <si>
    <t>Purchase</t>
  </si>
  <si>
    <t>Transit Infrastructure Grants</t>
  </si>
  <si>
    <t>State Highway Funding</t>
  </si>
  <si>
    <t>Grants to Transportation Service Providers Like Buses and Ferries</t>
  </si>
  <si>
    <t>Airport Grants</t>
  </si>
  <si>
    <t>Amtrak Funding</t>
  </si>
  <si>
    <t>Other Spending</t>
  </si>
  <si>
    <t>Nutrition and Agriculture Programs</t>
  </si>
  <si>
    <t>Rental Assistance</t>
  </si>
  <si>
    <t>Subsidy</t>
  </si>
  <si>
    <t xml:space="preserve">I would say this is a subsidy since I think it's support for lending to small businesses? </t>
  </si>
  <si>
    <t>https://www.journalofaccountancy.com/news/2020/dec/covid-19-relief-bill-addresses-key-ppp-issues.html</t>
  </si>
  <si>
    <t>For "stabilizing the childcare industry". Subsidy, but check whether the BEA puts it into state grants</t>
  </si>
  <si>
    <t>https://www.ffyf.org/timeline-of-covid-19-relief-for-the-child-care-industry-and-working-families/</t>
  </si>
  <si>
    <t>Broadband Grants and Investment</t>
  </si>
  <si>
    <t>I think this is a purchase. Much of it goes directly to service providers and not through states as far as I can tell</t>
  </si>
  <si>
    <t>https://www.wiley.law/alert-Congress-Provides-Nearly-7-Billion-in-New-Broadband-Funding-in-the-Latest-COVID-19-Stimulus-Legislation</t>
  </si>
  <si>
    <t>Provide Additional Emergency Funding to Agencies</t>
  </si>
  <si>
    <t>Struggling to find much information on this</t>
  </si>
  <si>
    <t>Disaster Relief Funding for COVID Funeral Expenses</t>
  </si>
  <si>
    <t>Available via FEMA-- I don’t think that goes through states but not sure?</t>
  </si>
  <si>
    <t>Community Development Block Grants</t>
  </si>
  <si>
    <t>Federal government provides annual grants on a formula basis to states, cities, and counties to develop viable urban communities by providing decent housing and a suitable living environment, and by expanding economic opportunities, principally for low- and moderate-income persons</t>
  </si>
  <si>
    <t>Write-Off $10 Billion U.S. Postal Service Loan</t>
  </si>
  <si>
    <t>Congress lent USPS $10 billion in CARES Act; this was just saying they don't have to pay it back.</t>
  </si>
  <si>
    <t>Other Tax Cuts</t>
  </si>
  <si>
    <t>Extend and Expand Employee Retention Tax Credit</t>
  </si>
  <si>
    <t>Reinstate 100% Business Meals Deduction for 2021 and 2022</t>
  </si>
  <si>
    <t>Increase Earned Income and Child Tax Credit by Allowing Taxpayers to Use 2019 Income</t>
  </si>
  <si>
    <t>Extend CARES Act Charitable Provisions</t>
  </si>
  <si>
    <t>Extend CARES Act Employer-Paid Student Loan Exclusion Through 2025</t>
  </si>
  <si>
    <t>Extend Families First Paid Leave Credits Through March 2021</t>
  </si>
  <si>
    <t>Direct Aid to Families</t>
  </si>
  <si>
    <t>Aid to Financially Vulnerable Households</t>
  </si>
  <si>
    <t>Health grants</t>
  </si>
  <si>
    <t>COVID-19 Containment and Vaccination; Aid to State and Local Governments; Federal Spending</t>
  </si>
  <si>
    <t>NOT IN GDP</t>
  </si>
  <si>
    <t>T9, Sub. G, Part 2</t>
  </si>
  <si>
    <t>T9, Sub. G, Part 1</t>
  </si>
  <si>
    <t>T9, Sub. G, Part 3</t>
  </si>
  <si>
    <t xml:space="preserve">T9, Sub. I </t>
  </si>
  <si>
    <t>T9, Sub.G, Part 4</t>
  </si>
  <si>
    <t>T1, Total (Agriculture, SNAP, WIC, TANF)</t>
  </si>
  <si>
    <t>T3, Sub.B</t>
  </si>
  <si>
    <t>T9, Sub.G, P.7</t>
  </si>
  <si>
    <t>T2, Sub.K</t>
  </si>
  <si>
    <t>T2, Sub.L</t>
  </si>
  <si>
    <t>Title 9, Sub. A, first four items -&gt;</t>
  </si>
  <si>
    <t>Title 9, Sub. A, Sec. 9041 + Sec. 9042</t>
  </si>
  <si>
    <t>Rest of Sub.A</t>
  </si>
  <si>
    <t>T9, Sub. F</t>
  </si>
  <si>
    <t>T9, Sub. B C D</t>
  </si>
  <si>
    <t>T9, Sub. J</t>
  </si>
  <si>
    <t>T9, Sub. L</t>
  </si>
  <si>
    <t>T9, Sub. K</t>
  </si>
  <si>
    <t>T9, Sub. M</t>
  </si>
  <si>
    <t>T9, Sub.N, Sec.9911</t>
  </si>
  <si>
    <t>T2, Sub.A, part 1</t>
  </si>
  <si>
    <t>T2: subA, part2; subB, I, J</t>
  </si>
  <si>
    <t>T11, Total</t>
  </si>
  <si>
    <t>T6, Total</t>
  </si>
  <si>
    <t>T2, Sub. C, Sec.2203, 2204, 2205, 2206</t>
  </si>
  <si>
    <t>T3, Sub. D</t>
  </si>
  <si>
    <t>T2, Sub. C, Sec. 2201</t>
  </si>
  <si>
    <t>T2, Sub. H</t>
  </si>
  <si>
    <t>T4, Total</t>
  </si>
  <si>
    <t>T9, Sub.N, Sec. 9912</t>
  </si>
  <si>
    <t>T7 SubD,E,F</t>
  </si>
  <si>
    <t>T8, Total</t>
  </si>
  <si>
    <t>T3, Sub. A</t>
  </si>
  <si>
    <t>T9, Sub.G, Part 8</t>
  </si>
  <si>
    <t>T2, Sub. D, E, F, G</t>
  </si>
  <si>
    <t>T2, Sub. C, Sec. 2202</t>
  </si>
  <si>
    <t>T6, Sec. 6001</t>
  </si>
  <si>
    <t>T6</t>
  </si>
  <si>
    <t>T3 Sub. C Sec. 3301</t>
  </si>
  <si>
    <t>T9, SubG, part5</t>
  </si>
  <si>
    <t>T9, Part6</t>
  </si>
  <si>
    <t>T9, Sub.H</t>
  </si>
  <si>
    <t>T7, parts A B C</t>
  </si>
  <si>
    <t>T10, Total</t>
  </si>
  <si>
    <t>Fiscal Year</t>
  </si>
  <si>
    <t>UI benefits</t>
  </si>
  <si>
    <t>Other Direct Aid to Families</t>
  </si>
  <si>
    <t>Other Aid to Vulnerable HHs</t>
  </si>
  <si>
    <t>Subsidies ex Provider Relief and PPP</t>
  </si>
  <si>
    <t>Other state and local aid ex Provider Relief</t>
  </si>
  <si>
    <t>Provider Relief FUND</t>
  </si>
  <si>
    <t>child tax credit</t>
  </si>
  <si>
    <t>eitc</t>
  </si>
  <si>
    <t>rebate checks</t>
  </si>
  <si>
    <t xml:space="preserve"> child care for workers</t>
  </si>
  <si>
    <t>dependent care for families</t>
  </si>
  <si>
    <t>food</t>
  </si>
  <si>
    <t>housing assistance</t>
  </si>
  <si>
    <t>premium tax credits</t>
  </si>
  <si>
    <t>ratepayer protection</t>
  </si>
  <si>
    <t>assistance for older americans</t>
  </si>
  <si>
    <t>state ui</t>
  </si>
  <si>
    <t>pua</t>
  </si>
  <si>
    <t>peuc</t>
  </si>
  <si>
    <t>puc</t>
  </si>
  <si>
    <t>ui tax suspension</t>
  </si>
  <si>
    <t>other_ui</t>
  </si>
  <si>
    <t>cobra</t>
  </si>
  <si>
    <t>emergency assistance</t>
  </si>
  <si>
    <t>chip</t>
  </si>
  <si>
    <t>coronavirus relief fund (aid to state and local)</t>
  </si>
  <si>
    <t>provider relief</t>
  </si>
  <si>
    <t>education</t>
  </si>
  <si>
    <t xml:space="preserve">other state and local </t>
  </si>
  <si>
    <t>grants to tribal governments</t>
  </si>
  <si>
    <t>Environment Grants</t>
  </si>
  <si>
    <t>human services and community supports, minus childcare policies</t>
  </si>
  <si>
    <t>other transportation</t>
  </si>
  <si>
    <t>Child care and development block grant program</t>
  </si>
  <si>
    <t>Mental Health</t>
  </si>
  <si>
    <t>Homeland Security Grants</t>
  </si>
  <si>
    <t>Title 9 other</t>
  </si>
  <si>
    <t>commerce and science federal spending</t>
  </si>
  <si>
    <t>VA</t>
  </si>
  <si>
    <t>Medical Supplies</t>
  </si>
  <si>
    <t>miscellaneous from T9</t>
  </si>
  <si>
    <t>covid containment/vaccination</t>
  </si>
  <si>
    <t>ppp</t>
  </si>
  <si>
    <t>grants to small businesses</t>
  </si>
  <si>
    <t>small business credit initiative</t>
  </si>
  <si>
    <t>paid_sick_leave</t>
  </si>
  <si>
    <t>employee_retention</t>
  </si>
  <si>
    <t>pensions</t>
  </si>
  <si>
    <t>transit and aviation support</t>
  </si>
  <si>
    <t>Foreign Aid</t>
  </si>
  <si>
    <t>Separate Accounting</t>
  </si>
  <si>
    <t>restaurant</t>
  </si>
  <si>
    <t>Spreading Fiscal Year Totals over Quarters</t>
  </si>
  <si>
    <t>FY</t>
  </si>
  <si>
    <t>date</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</si>
  <si>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</si>
  <si>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</si>
  <si>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</si>
  <si>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</si>
  <si>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</si>
  <si>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</si>
  <si>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</si>
  <si>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</si>
  <si>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</si>
  <si>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</si>
  <si>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</si>
  <si>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</si>
  <si>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</si>
  <si>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</si>
  <si>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</si>
  <si>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</si>
  <si>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</si>
  <si>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</si>
  <si>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</si>
  <si>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</si>
  <si>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rebate_checks_timing</t>
  </si>
  <si>
    <t>ui_timing</t>
  </si>
  <si>
    <t>snap_timing</t>
  </si>
  <si>
    <t>other_direct_aid_timing</t>
  </si>
  <si>
    <t>other_vulnerable_timing</t>
  </si>
  <si>
    <t>aid to small businesses_timing</t>
  </si>
  <si>
    <t>health_grants_timing</t>
  </si>
  <si>
    <t>grants_timing</t>
  </si>
  <si>
    <t>capital transfers</t>
  </si>
  <si>
    <t>purchases timing</t>
  </si>
  <si>
    <t>SPENDING ASSUMPTIONS</t>
  </si>
  <si>
    <t>grants_mpc</t>
  </si>
  <si>
    <t>arp coronavirus relief fund MPC</t>
  </si>
  <si>
    <t>** when extend, make it add to 1</t>
  </si>
  <si>
    <t>column with score</t>
  </si>
  <si>
    <t>Calendar</t>
  </si>
  <si>
    <t>2025 Q2</t>
  </si>
  <si>
    <t>2025 Q3</t>
  </si>
  <si>
    <t>2025 Q4</t>
  </si>
  <si>
    <t>Subsidies ex Provider Relief</t>
  </si>
  <si>
    <t>Provider Relief Subsidies</t>
  </si>
  <si>
    <t>Provider Relief Grants</t>
  </si>
  <si>
    <t>Divide out Subsidies ex provider relief</t>
  </si>
  <si>
    <t xml:space="preserve">support for transit </t>
  </si>
  <si>
    <t>Restaurant Revitalization Fund (include grants to venues, which is small)</t>
  </si>
  <si>
    <t>Spending out of  education stabilization and other ARP grant</t>
  </si>
  <si>
    <t xml:space="preserve">q2 </t>
  </si>
  <si>
    <t>q4</t>
  </si>
  <si>
    <t>Spending out of coronavirus relief fund and other grants, not including education stabilization</t>
  </si>
  <si>
    <t xml:space="preserve">Check </t>
  </si>
  <si>
    <t>total provider relief</t>
  </si>
  <si>
    <t>Add Factor on Other ARP aid to S+L to match data rather than our disbursement assumptions</t>
  </si>
  <si>
    <t>ylwsd</t>
  </si>
  <si>
    <t>yop</t>
  </si>
  <si>
    <t>ycpd</t>
  </si>
  <si>
    <t>ypiar</t>
  </si>
  <si>
    <t xml:space="preserve">Wage and Salaries </t>
  </si>
  <si>
    <t>gfsubr</t>
  </si>
  <si>
    <t>gfsubd</t>
  </si>
  <si>
    <t>yri</t>
  </si>
  <si>
    <t>federal_social_benefits_override</t>
  </si>
  <si>
    <t>federal_other_vulnerable_arp_override</t>
  </si>
  <si>
    <t>federal_other_direct_aid_arp_override</t>
  </si>
  <si>
    <t>Federal Social Benefits Historical Override</t>
  </si>
  <si>
    <t>ARP Direct Aid Historical Override</t>
  </si>
  <si>
    <t>ARP Other Vulnerable Historical Override</t>
  </si>
  <si>
    <t>Child tax credit</t>
  </si>
  <si>
    <t>Other Direct Aid plus Provider Relief</t>
  </si>
  <si>
    <t xml:space="preserve">ARP Other Direct Aid plus Provider Relief </t>
  </si>
  <si>
    <t xml:space="preserve">Child Tax Credit </t>
  </si>
  <si>
    <t>Other legislation "add factor" (Table 3)</t>
  </si>
  <si>
    <t>FIM Federal Social Benefits</t>
  </si>
  <si>
    <t>NIPA Federal Social Benefits minus what we've accounted for</t>
  </si>
  <si>
    <t>Counterfactual Social Benefits (no pandemic legislation)</t>
  </si>
  <si>
    <t>Underlying Social Benefits (less UI, Medicare, Child Tax Credit and pandemic legislation)</t>
  </si>
  <si>
    <t>Calculating Underlying Social Benefits and Add Factor for Unaccounted Legislation</t>
  </si>
  <si>
    <t>State Social Benefits (NIPA Definition)</t>
  </si>
  <si>
    <t>FIM State Social Benefits</t>
  </si>
  <si>
    <t>Growth rate</t>
  </si>
  <si>
    <t>CBO NIPA</t>
  </si>
  <si>
    <t>CBO NIPA Translation Social Benefits</t>
  </si>
  <si>
    <t>cbo less our medicare</t>
  </si>
  <si>
    <t>Growth rate to make our benefits equal to CBO</t>
  </si>
  <si>
    <t>Our Medicare</t>
  </si>
  <si>
    <t>Our social benefits</t>
  </si>
  <si>
    <t>Ours-CBO</t>
  </si>
  <si>
    <t>Line</t>
  </si>
  <si>
    <t>Update unemployment rate and state and local employment and construction numbers</t>
  </si>
  <si>
    <t>Table-- reminding us that personal income tables don't include PPP to corporates, so we need a new table estimating the share that goes to corp</t>
  </si>
  <si>
    <t>PPP to Businesses</t>
  </si>
  <si>
    <t>PPP to Corporations</t>
  </si>
  <si>
    <t>SHARES</t>
  </si>
  <si>
    <t>Corp to Business ratio</t>
  </si>
  <si>
    <t>ARP Other Direct Aid + Provider Relief</t>
  </si>
  <si>
    <t>When the update is finished, set the top of the fiscal_impact script, set overwrite files to FALSE. This will prevent the saved archival forecast from the update from being overwritten if you change the FIM at all within the same month as the most recent update.</t>
  </si>
  <si>
    <t xml:space="preserve">At the top of the fiscal_impact script, set overwrite files to TRUE. This will automatically save the forecast sheet for this update in its archival folder. </t>
  </si>
  <si>
    <t>yptocm</t>
  </si>
  <si>
    <t xml:space="preserve">We use these to gauge our forecast for state purchases. </t>
  </si>
  <si>
    <t>Add factor on non-corp taxes to account for taxes coming higher than CBO forecasted (until we get new CBO)</t>
  </si>
  <si>
    <t>federal_aid_to_small_businesses_arp_override</t>
  </si>
  <si>
    <t>Add factor on spending out of grants to reflect that state spending has been lower than we expected even though grants disbursements have come in higher</t>
  </si>
  <si>
    <t>https://www.cbo.gov/publication/57037</t>
  </si>
  <si>
    <t>A comparison of BEA's revisions for the latest quarter of data to the last release's data</t>
  </si>
  <si>
    <t>Monthly Personal Income ("Month" MPI)</t>
  </si>
  <si>
    <t>Our projection for the components of the FIM, calling from our forecast sheets; this is what we read into the code.</t>
  </si>
  <si>
    <t>Each of these sheets generates our forecast for one (or a few) of the variables that we read into the code in the forecast sheet. This is the main part of the workbook that you will edit each update.</t>
  </si>
  <si>
    <t>Component Sheets (Grants, Medicare, Social Benefits, etc.)</t>
  </si>
  <si>
    <t>BEA data read in from Haver; called by Revisions and the component sheets to generate our forecasts. We copy and paste updated data into this sheet each time there's a new BEA release. It is very important that the order of variables in this sheet does not change, so that the formulas in other sheets call the correct row.</t>
  </si>
  <si>
    <t>Timing MPCs that we use to spread out ARP Score's fiscal year totals into quarters in ARP Quarterly. Generally you won't touch this without Louise.</t>
  </si>
  <si>
    <t>Quarterly spending out of the ARP; this is where we call scores of ARP components from in other sheets. Generally you won't touch this without Louise.</t>
  </si>
  <si>
    <t>All CBO references have a comment with where to find the data that's copy pasted in so we can verify/find it again. I write the name of the release, table and row. It is important to keep these up to date so there isn't confusion about where the numbers come from, since they are hard-coded!</t>
  </si>
  <si>
    <t>Prepare this month's spreadsheet for a new quarter of data to be read in from Haver.</t>
  </si>
  <si>
    <t xml:space="preserve">This is a somewhat complicated part of a new quarter update. Most rows change their formulas from the historical to projection period, so you have to carefully pull forward the historical period to include the new quarter of data. </t>
  </si>
  <si>
    <t xml:space="preserve">Prepare the Revisions sheet for the new quarter </t>
  </si>
  <si>
    <t>If this table has been released, create a new sheet called "Month" MPI with the table. You don't need to include the month to month changes, just the levels. It's helpful to highlight the rows in the table that are relevant to us.</t>
  </si>
  <si>
    <t>Looking over and editing our forecast</t>
  </si>
  <si>
    <t>Component Sheets</t>
  </si>
  <si>
    <t>Take a look at the forecast comparison sheet. How much has our forecast changed? Are there any components that have changed considerably, that we need to pay attention to?</t>
  </si>
  <si>
    <t>Show Louise</t>
  </si>
  <si>
    <t xml:space="preserve">Walk Louise through the changes-- she typically makes some adjustments to the forecast. Once she signs off on the spreadsheet, you'll run the code to calculate the FIM. </t>
  </si>
  <si>
    <t>At the top of the fiscal_impact script, set overwrite files to TRUE. This will automatically save the forecast sheet for this update in its archival folder (results/update month/input_data).</t>
  </si>
  <si>
    <r>
      <t xml:space="preserve">In the Revisions sheet, </t>
    </r>
    <r>
      <rPr>
        <b/>
        <sz val="11"/>
        <color theme="1"/>
        <rFont val="Calibri"/>
        <family val="2"/>
        <scheme val="minor"/>
      </rPr>
      <t>copy paste the "Current Update" column into the "Last Update" column</t>
    </r>
    <r>
      <rPr>
        <sz val="11"/>
        <color theme="1"/>
        <rFont val="Calibri"/>
        <family val="2"/>
        <scheme val="minor"/>
      </rPr>
      <t xml:space="preserve"> (make sure you paste it hard-coded using Paste Values). Relabel the columns with the quarter and which revision they represent (initial release, first revision, or second revision).</t>
    </r>
  </si>
  <si>
    <t>Prepare the Revisions sheet</t>
  </si>
  <si>
    <t>Forecast Comparison Sheet</t>
  </si>
  <si>
    <t>Start with the Revisions sheet. How has BEA revised the data? How should we expect our forecast of each component to change, given their revision?</t>
  </si>
  <si>
    <t>Take a look at the forecast comparison sheet. How much has our forecast changed? Are there any components that have changed considerably, that we need to pay attention to? Anything unexpected, given what we saw in the Revisions sheet?</t>
  </si>
  <si>
    <t>Look through each component forecast to see if anything looks strange/hugely different. This is where the archived forecast from last month comes in handy-- you can compare our forecast of this quarter to the data we've just pulled in to track why our forecast has changed. Check formulas, etc.</t>
  </si>
  <si>
    <r>
      <rPr>
        <b/>
        <sz val="11"/>
        <color theme="1"/>
        <rFont val="Calibri"/>
        <family val="2"/>
        <scheme val="minor"/>
      </rPr>
      <t xml:space="preserve">Methodology: </t>
    </r>
    <r>
      <rPr>
        <sz val="11"/>
        <color theme="1"/>
        <rFont val="Calibri"/>
        <family val="2"/>
        <scheme val="minor"/>
      </rPr>
      <t>The Provider Relief Fund goes to health care providers-- some to nonprofits, some to public hospitals, and some to for-profit hospitals. We classify the funds as social benefits, grants and subsidies respectively. We get historical data on the three parts from the BEA and project forward the total using judgement, ensuring it sums to the total funds legislated (although we've been having some trouble matching numbers found online). We then project the three pieces using their historical share of the total. The pieces of the ARP's Provider Relief Fund come from our ARP Score.</t>
    </r>
  </si>
  <si>
    <r>
      <t>Methodology:</t>
    </r>
    <r>
      <rPr>
        <sz val="11"/>
        <color theme="1"/>
        <rFont val="Arial"/>
        <family val="2"/>
      </rPr>
      <t xml:space="preserve"> To forecast subsidies, we split them up into legislative and non-legislative subsidies to help us keep track of pandemic legislation versus regular, underlying subsidy payments, and then into ARP and non-ARP because they receive separate MPCs in the code.</t>
    </r>
  </si>
  <si>
    <r>
      <t xml:space="preserve">Methodology: </t>
    </r>
    <r>
      <rPr>
        <sz val="11"/>
        <color theme="1"/>
        <rFont val="Arial"/>
        <family val="2"/>
      </rPr>
      <t>The BEA gives us historical data on total Medicaid spending and federal Medicaid spending (in the form of grants to states). In order to project federal and state Medicaid spending separately, we need to know the federal share of total Medicaid spending (the FMAP). In Table 1, we calculate our quarterly FMAP using the ratio of federal to total spending from the BEA data in the historical period. Our projection of the FMAP (without the effects of the American Rescue Plan) is determined as follows: from 2021 Q3 to 2022 Q3 (when we assume the enhanced FMAP from pandemic legislation turns off because our guess of the end of the public health emergency), we take the average of the 2020 Q4 and 2021 Q1 FMAPs; in 2022 Q3 and onwards, we take the average of FY 2019 quarters (2018 Q4 - 2019 Q3). Our projection of the FMAP (accounting for the effects of ARP) is determined differently, incorporating a temporary increase in the FMAP from the expansion of ACA coverage, the 100% FMAP for urban, indian, and Hawaiian organizations, and a temporary increase in the FMAP for expanding HCBS (all from ARP). We take the sum of the values of these changes as a share of total pre-ARP medicaid to estimate their effects on the FMAP. We add these effects for each quarter to get the post-ARP FMAP. 
In Table 2, we calculate the annual growth rate of total Medicaid spending in the projection period. We back out projected annual total Medicaid spending by dividing CBO's projected federal Medicaid outlays by the annual FMAP (defined as the average of the quarterly FMAP by fiscal year), and use this to get the annual growth rate of total Medicaid spending.
In Table 3, we project forward the quarterly total Medicaid from BEA using the deannualized growth rate from Table 2, and use our projected quarterly FMAP to back out quarterly federal and state Medicaid spending.</t>
    </r>
  </si>
  <si>
    <r>
      <t xml:space="preserve">Methodology: </t>
    </r>
    <r>
      <rPr>
        <sz val="11"/>
        <color theme="1"/>
        <rFont val="Arial"/>
        <family val="2"/>
      </rPr>
      <t xml:space="preserve">BEA gives us total Medicare spending (all federal), which we grow using the growth rate of the four-quarter moving average of CBO's projected Medicare spending. CBO Medicare in 2020 is higher because of advance payments to providers that BEA doesn't appear to account for, so we use the growth rate from pre-pandemic CBO to adjust (see Table 2). Also, the CARES act temporarily suspended Medicare sequestration and that's going back on at end of 2022, so we subtract $16 billion in 2023 onwards to reflect that higher level now because of lack of sequestration.  																							
												</t>
    </r>
    <r>
      <rPr>
        <b/>
        <sz val="11"/>
        <color theme="1"/>
        <rFont val="Arial"/>
        <family val="2"/>
      </rPr>
      <t xml:space="preserve">											
																							</t>
    </r>
  </si>
  <si>
    <t xml:space="preserve">Methodology: </t>
  </si>
  <si>
    <t xml:space="preserve">See Hutchins Center Documents/Projects/Fiscal Impact/Updating the FIM Website.docx </t>
  </si>
  <si>
    <t xml:space="preserve">In each component sheet, drag forward EVERY row that calls Haver Pivoted (you can identify those by the haver codes written next to the variable name) or depends on Haver Pivoted data forward one column into the upcoming quarter. Please change the color formatting and labeling of the historical versus projection periods accordingly to avoid confusion. The new quarters will show either nothing or a #REF error; ignore this. The cells will fill with the new data that we read in when BEA releases the new quarter. DOUBLE CHECK your work-- it is important to ensure that every row that needs to be pulled forward, is. </t>
  </si>
  <si>
    <t>Total  Federal Subsidies</t>
  </si>
  <si>
    <t>federal_corporate_taxes_override</t>
  </si>
  <si>
    <t>state_corporate_taxes_override</t>
  </si>
  <si>
    <t>Federal Corporate Taxes Advanced Estimate Override</t>
  </si>
  <si>
    <t>State Corporate Taxes Advanced Estimate Override</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</si>
  <si>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t>
    </r>
  </si>
  <si>
    <t xml:space="preserve">The fiscal_impact script (the main script we use to calcualte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</si>
  <si>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</si>
  <si>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This step is automated when running fiscal_impact.R</t>
  </si>
  <si>
    <t>Finalizing update</t>
  </si>
  <si>
    <t>Once you finalize the update make sure to commit any changes and push them. I recommend labeling this commit '{Year-Quarter} Update finalized' so you can always return to that point in time in the commit history if needed.</t>
  </si>
  <si>
    <t xml:space="preserve">git add .                                                                                                                                                                                                                                                                                                                                                                                                                                                                                                                                                          git commit -m '{Year-Quarter} Update finalized                                                                                                                                                                                                                                                                                                                                                                                                                                                                                                                                                                 git push                                                                                                                                                                                                                                                                                                                                                                                                                                                                                                                                                                                                         Or your prefferd method for commiting/pushing                                                                                                                                                                                                                                                                                                                                                                                                                                                                                                                                                                                                                                                                       </t>
  </si>
  <si>
    <t xml:space="preserve">Open up the fim R project by clicking on the "fim.Rproj" file. Type "CTRL + SHIFT + L" to load the fim package. Open fiscal_impact.R. This is the main script that we use to calculate the FIM. </t>
  </si>
  <si>
    <t>Look at the output of index.html</t>
  </si>
  <si>
    <t xml:space="preserve">Fiscal_impact.R runs and knits compare-update.Rmd. Go over the changes from the last update that are due to the CBO with Louise. Make sure everything looks normal. These changes will be published along with the next monthly update. </t>
  </si>
  <si>
    <t>Haver codes</t>
  </si>
  <si>
    <t>Monthly State and Local Employment, for Reference (pulled from data/monthly_state_employment.xlsx)</t>
  </si>
  <si>
    <t>Update the table in the Federal and State Purchases sheet by dragging the formula to the next column. The formulas call cells from "data/monthly_state_employment.xlsx" which is created from "data-raw/haver-pull.R"</t>
  </si>
  <si>
    <r>
      <t>(Billions of dollars, seasonally adjusted at</t>
    </r>
    <r>
      <rPr>
        <b/>
        <sz val="11"/>
        <rFont val="Calibri"/>
        <family val="2"/>
        <scheme val="minor"/>
      </rPr>
      <t xml:space="preserve"> annual</t>
    </r>
    <r>
      <rPr>
        <b/>
        <sz val="11"/>
        <color theme="1"/>
        <rFont val="Calibri"/>
        <family val="2"/>
        <scheme val="minor"/>
      </rPr>
      <t xml:space="preserve"> rates)</t>
    </r>
  </si>
  <si>
    <r>
      <rPr>
        <sz val="11"/>
        <rFont val="Calibri"/>
        <family val="2"/>
        <scheme val="minor"/>
      </rPr>
      <t>4. Unemployment insurance benefits were expanded through several programs that were initially established through the CARES Act. For more information, see</t>
    </r>
    <r>
      <rPr>
        <u/>
        <sz val="11"/>
        <color theme="10"/>
        <rFont val="Calibri"/>
        <family val="2"/>
        <scheme val="minor"/>
      </rPr>
      <t xml:space="preserve"> How will the expansion of unemployment benefits in response to the COVID-19 pandemic be recorded in the NIPAs?</t>
    </r>
  </si>
  <si>
    <t>5. The American Rescue Plan increased the Child Tax Credit to $3,000 per child over the age of six and $3,600 for children under the age of six, and raised the age limit from 16 to 17. It also authorized that up to half of these credits could be distributed through advance payments during the tax year, while the rest would be claimed when parents file tax returns the following year.</t>
  </si>
  <si>
    <r>
      <rPr>
        <sz val="11"/>
        <rFont val="Calibri"/>
        <family val="2"/>
        <scheme val="minor"/>
      </rPr>
      <t>6. Economic impact payments, initially established by the CARES Act, provide direct payments to individuals. For more information, see</t>
    </r>
    <r>
      <rPr>
        <u/>
        <sz val="11"/>
        <color theme="10"/>
        <rFont val="Calibri"/>
        <family val="2"/>
        <scheme val="minor"/>
      </rPr>
      <t xml:space="preserve"> How are federal economic impact payments to support individuals during the COVID-19 pandemic recorded in the NIPAs?</t>
    </r>
  </si>
  <si>
    <t xml:space="preserve">7. The Federal Emergency Management Agency (FEMA) was authorized to make payments from the Disaster Relief Fund to supplement wages lost as a result of the COVID-19 pandemic. </t>
  </si>
  <si>
    <t>8. The Department of Health and Human Services distributes money from the Provider Relief Fund to hospitals and health care providers on the front lines of the coronavirus response. This funding supports health care-related expenses or lost revenue attributable to COVID-19 and ensures uninsured Americans can get treatment for COVID-19. In the NIPAs, funds provided to nonprofit hospitals are recorded as social benefits.</t>
  </si>
  <si>
    <r>
      <rPr>
        <sz val="11"/>
        <rFont val="Calibri"/>
        <family val="2"/>
        <scheme val="minor"/>
      </rPr>
      <t>9. Interest payments due on certain categories of federally-held student loans were initially suspended by the CARES Act. For more information, see</t>
    </r>
    <r>
      <rPr>
        <u/>
        <sz val="11"/>
        <color theme="10"/>
        <rFont val="Calibri"/>
        <family val="2"/>
        <scheme val="minor"/>
      </rPr>
      <t xml:space="preserve"> How does the federal response to the COVID-19 pandemic affect BEA's estimate of personal interest payments?</t>
    </r>
  </si>
  <si>
    <r>
      <rPr>
        <sz val="11"/>
        <rFont val="Calibri"/>
        <family val="2"/>
        <scheme val="minor"/>
      </rPr>
      <t xml:space="preserve">NOTE: For national statistics,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t>
    </r>
    <r>
      <rPr>
        <u/>
        <sz val="11"/>
        <color theme="10"/>
        <rFont val="Calibri"/>
        <family val="2"/>
        <scheme val="minor"/>
      </rPr>
      <t xml:space="preserve">Why does BEA publish estimates at annual rates? </t>
    </r>
    <r>
      <rPr>
        <sz val="11"/>
        <rFont val="Calibri"/>
        <family val="2"/>
        <scheme val="minor"/>
      </rPr>
      <t>on BEA's website.</t>
    </r>
  </si>
  <si>
    <t>Add factor</t>
  </si>
  <si>
    <t>Federal Share (FMAP)</t>
  </si>
  <si>
    <t>End of public health emergency</t>
  </si>
  <si>
    <t>Nonwage Income</t>
  </si>
  <si>
    <t>Seasonally adjusted at annual rates</t>
  </si>
  <si>
    <r>
      <t>Jan.</t>
    </r>
    <r>
      <rPr>
        <vertAlign val="superscript"/>
        <sz val="11"/>
        <rFont val="Calibri"/>
        <family val="2"/>
      </rPr>
      <t xml:space="preserve"> r</t>
    </r>
    <r>
      <rPr>
        <sz val="11"/>
        <rFont val="Calibri"/>
        <family val="2"/>
      </rPr>
      <t/>
    </r>
  </si>
  <si>
    <r>
      <t>Feb.</t>
    </r>
    <r>
      <rPr>
        <vertAlign val="superscript"/>
        <sz val="11"/>
        <rFont val="Calibri"/>
        <family val="2"/>
      </rPr>
      <t xml:space="preserve"> r</t>
    </r>
    <r>
      <rPr>
        <sz val="11"/>
        <rFont val="Calibri"/>
        <family val="2"/>
      </rPr>
      <t/>
    </r>
  </si>
  <si>
    <r>
      <t>March</t>
    </r>
    <r>
      <rPr>
        <vertAlign val="superscript"/>
        <sz val="11"/>
        <rFont val="Calibri"/>
        <family val="2"/>
      </rPr>
      <t xml:space="preserve"> r</t>
    </r>
    <r>
      <rPr>
        <sz val="11"/>
        <rFont val="Calibri"/>
        <family val="2"/>
      </rPr>
      <t/>
    </r>
  </si>
  <si>
    <r>
      <t>April</t>
    </r>
    <r>
      <rPr>
        <vertAlign val="superscript"/>
        <sz val="11"/>
        <rFont val="Calibri"/>
        <family val="2"/>
      </rPr>
      <t xml:space="preserve"> p</t>
    </r>
    <r>
      <rPr>
        <sz val="11"/>
        <rFont val="Calibri"/>
        <family val="2"/>
      </rPr>
      <t/>
    </r>
  </si>
  <si>
    <t>We get the projected growth rate from the projected BEA level</t>
  </si>
  <si>
    <t>Note: these are for fiscal years which go from Q4-Q3</t>
  </si>
  <si>
    <t>Throughout the forecast spreadsheets, we use CBO projections to forecast certain FIM components. Every row taken from CBO will be marked as such, with comments indicating which update, table and row the numbers are from to make it easier to find. Replace the CBO numbers with the new forecast, and make sure to change the comments so that they reflect the new row #s. Copy paste the old table/old rows near the table from last update's forecast sheet for comparison. Then, we go through each part of the sheet that uses CBO with Louise, and decide how we want to change the forecast or simply update the old CBO rows with new CBO projections, based on the CBO revisions. Make sure to label the old and new CBO numbers clearly!</t>
  </si>
  <si>
    <t xml:space="preserve">Approximately every quarter, the CBO releases new Ten-Year Budget and Economic Projections. We use these to update our projections for GDP and inflation, and in a number of the forecast sheets. When the new projections come out, we incorporate them into the sheet and code, and then wait to release the updated FIM until the next monthly update. The inst/extdata/projections.xlsx workbook is updated with the new CBO numbers. The data-raw/projections.R script cleans them to be readable in R. </t>
  </si>
  <si>
    <t>Update CBO data in inst/extdata/projections.xlsx. Refer to the dictionary sheet to figure out which lines of the CBO update correspond to the Haver codes. Open the FIM project by clicking on the "fim.Rproj" file. Run data-raw/projections.R</t>
  </si>
  <si>
    <t>yptmr</t>
  </si>
  <si>
    <t>gf</t>
  </si>
  <si>
    <t>Higher COVID Payment Rates (not used - kept for reference)</t>
  </si>
  <si>
    <r>
      <t>Quarterly FMAP =</t>
    </r>
    <r>
      <rPr>
        <sz val="10"/>
        <color theme="1"/>
        <rFont val="Arial"/>
        <family val="2"/>
      </rPr>
      <t xml:space="preserve"> Federal Medicaid grants/ Total Medicaid spending </t>
    </r>
    <r>
      <rPr>
        <b/>
        <sz val="10"/>
        <color theme="1"/>
        <rFont val="Arial"/>
        <family val="2"/>
      </rPr>
      <t xml:space="preserve">
Annual FMAP =</t>
    </r>
    <r>
      <rPr>
        <sz val="10"/>
        <color theme="1"/>
        <rFont val="Arial"/>
        <family val="2"/>
      </rPr>
      <t xml:space="preserve"> Average Quarterly FMAP for the Fiscal Year (Q4-Q3)
</t>
    </r>
    <r>
      <rPr>
        <b/>
        <sz val="10"/>
        <color theme="1"/>
        <rFont val="Arial"/>
        <family val="2"/>
      </rPr>
      <t xml:space="preserve">Total Medicaid in fiscal year = </t>
    </r>
    <r>
      <rPr>
        <sz val="10"/>
        <color theme="1"/>
        <rFont val="Arial"/>
        <family val="2"/>
      </rPr>
      <t xml:space="preserve">CBO projection of Medicaid Outlays/ Annual FMAP </t>
    </r>
    <r>
      <rPr>
        <b/>
        <sz val="10"/>
        <color theme="1"/>
        <rFont val="Arial"/>
        <family val="2"/>
      </rPr>
      <t xml:space="preserve">
Total Medicaid annual growth rate =</t>
    </r>
    <r>
      <rPr>
        <sz val="10"/>
        <color theme="1"/>
        <rFont val="Arial"/>
        <family val="2"/>
      </rPr>
      <t xml:space="preserve">(Total Medicaid_t / Total Medicaid_t-1) -1 
</t>
    </r>
    <r>
      <rPr>
        <b/>
        <sz val="10"/>
        <color theme="1"/>
        <rFont val="Arial"/>
        <family val="2"/>
      </rPr>
      <t xml:space="preserve">
Total Medicaid projection = </t>
    </r>
    <r>
      <rPr>
        <sz val="10"/>
        <color theme="1"/>
        <rFont val="Arial"/>
        <family val="2"/>
      </rPr>
      <t xml:space="preserve">Total Medicaid spending*(1+Total Medicaid Annual Growth Rate)^(0.25) + add factor
</t>
    </r>
    <r>
      <rPr>
        <b/>
        <sz val="10"/>
        <color theme="1"/>
        <rFont val="Arial"/>
        <family val="2"/>
      </rPr>
      <t>FMAP projection</t>
    </r>
    <r>
      <rPr>
        <sz val="10"/>
        <color theme="1"/>
        <rFont val="Arial"/>
        <family val="2"/>
      </rPr>
      <t xml:space="preserve"> = Previous FY FMAP + CBO FMAP effects from ARP
</t>
    </r>
    <r>
      <rPr>
        <b/>
        <sz val="10"/>
        <color theme="1"/>
        <rFont val="Arial"/>
        <family val="2"/>
      </rPr>
      <t>Federal Medicaid Projection</t>
    </r>
    <r>
      <rPr>
        <sz val="10"/>
        <color theme="1"/>
        <rFont val="Arial"/>
        <family val="2"/>
      </rPr>
      <t xml:space="preserve"> = Total Medicaid projection * FMAP</t>
    </r>
    <r>
      <rPr>
        <b/>
        <sz val="10"/>
        <color theme="1"/>
        <rFont val="Arial"/>
        <family val="2"/>
      </rPr>
      <t xml:space="preserve"> </t>
    </r>
    <r>
      <rPr>
        <sz val="10"/>
        <color theme="1"/>
        <rFont val="Arial"/>
        <family val="2"/>
      </rPr>
      <t xml:space="preserve">projection
</t>
    </r>
    <r>
      <rPr>
        <b/>
        <sz val="10"/>
        <color theme="1"/>
        <rFont val="Arial"/>
        <family val="2"/>
      </rPr>
      <t>State Medicaid Projection</t>
    </r>
    <r>
      <rPr>
        <sz val="10"/>
        <color theme="1"/>
        <rFont val="Arial"/>
        <family val="2"/>
      </rPr>
      <t xml:space="preserve"> = Total Medicaid projection - Federal Medicaid Projection</t>
    </r>
  </si>
  <si>
    <r>
      <t xml:space="preserve">Total Medicare projection = </t>
    </r>
    <r>
      <rPr>
        <sz val="9"/>
        <color theme="1"/>
        <rFont val="Arial"/>
        <family val="2"/>
      </rPr>
      <t xml:space="preserve">Total Medicare + (1+growth rate of annual Medicare spending)^0.25 + add factor
</t>
    </r>
    <r>
      <rPr>
        <b/>
        <sz val="9"/>
        <color theme="1"/>
        <rFont val="Arial"/>
        <family val="2"/>
      </rPr>
      <t>Growth rate of Medicare spending</t>
    </r>
    <r>
      <rPr>
        <sz val="9"/>
        <color theme="1"/>
        <rFont val="Arial"/>
        <family val="2"/>
      </rPr>
      <t xml:space="preserve"> = (1+ CBO growth rate of annual Medicare spending less timing shift)</t>
    </r>
  </si>
  <si>
    <t>Methodology:
Federal
Total non-corporate projection = Personal income + Social Insurance + Production
Personal income projection = Personal income*(1+projected growth rate of individual income)^0.25
Projected growth rate of individual income = Projected income level_t/Personal income from BEA_t-1
Projected income level_t = Personal income from BEA_t-1 * (Growth rate of CBO projections of federal income)</t>
  </si>
  <si>
    <t>May</t>
  </si>
  <si>
    <t>Individual Income growth rate</t>
  </si>
  <si>
    <t>Social Insurance Contributions growth rate</t>
  </si>
  <si>
    <t>Production Taxes growth rate</t>
  </si>
  <si>
    <t>Corporate growth rate</t>
  </si>
  <si>
    <t>NIPA FY and forecast based on CBO growth rates</t>
  </si>
  <si>
    <t>no</t>
  </si>
  <si>
    <t>Annual medicare spending growth rate</t>
  </si>
  <si>
    <t xml:space="preserve">Copy paste the forecast table from the most recent update (Paste Values Only) into the "Previous Forecast" table. In both the forecast and forecast comparison sheets, delete the first column so that the forecast comparison sheet contains the upcoming quarter of data and the forecast going forward. </t>
  </si>
  <si>
    <t>yes</t>
  </si>
  <si>
    <t>Investment Grants Override</t>
  </si>
  <si>
    <t>investment_grants_override</t>
  </si>
  <si>
    <t>consumption_grants_deflator</t>
  </si>
  <si>
    <t>consumption_grants_deflator_growth</t>
  </si>
  <si>
    <t>investment_grants_deflator</t>
  </si>
  <si>
    <t>investment_grants_deflator_growth</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</si>
  <si>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</si>
  <si>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</si>
  <si>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</si>
  <si>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</si>
  <si>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</si>
  <si>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</si>
  <si>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</si>
  <si>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</si>
  <si>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</si>
  <si>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</si>
  <si>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</si>
  <si>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</si>
  <si>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</si>
  <si>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</si>
  <si>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</si>
  <si>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</si>
  <si>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</si>
  <si>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</si>
  <si>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</si>
  <si>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</si>
  <si>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</si>
  <si>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</si>
  <si>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</si>
  <si>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</si>
  <si>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</si>
  <si>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</si>
  <si>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</si>
  <si>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</si>
  <si>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</si>
  <si>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</si>
  <si>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</si>
  <si>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</si>
  <si>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</si>
  <si>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</si>
  <si>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</si>
  <si>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</si>
  <si>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</si>
  <si>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</si>
  <si>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</si>
  <si>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</si>
  <si>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</si>
  <si>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</si>
  <si>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</si>
  <si>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</si>
  <si>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</si>
  <si>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</si>
  <si>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</si>
  <si>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</si>
  <si>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</si>
  <si>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</si>
  <si>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</si>
  <si>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</si>
  <si>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</si>
  <si>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</si>
  <si>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</si>
  <si>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</si>
  <si>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</si>
  <si>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</si>
  <si>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</si>
  <si>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</si>
  <si>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</si>
  <si>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</si>
  <si>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</si>
  <si>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</si>
  <si>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</si>
  <si>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</si>
  <si>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</si>
  <si>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</si>
  <si>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</si>
  <si>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</si>
  <si>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</si>
  <si>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</si>
  <si>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</si>
  <si>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</si>
  <si>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</si>
  <si>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</si>
  <si>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</si>
  <si>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</si>
  <si>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</si>
  <si>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</si>
  <si>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</si>
  <si>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</si>
  <si>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</si>
  <si>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</si>
  <si>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</si>
  <si>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</si>
  <si>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</si>
  <si>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</si>
  <si>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</si>
  <si>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</si>
  <si>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</si>
  <si>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</si>
  <si>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</si>
  <si>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</si>
  <si>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</si>
  <si>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</si>
  <si>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</si>
  <si>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</si>
  <si>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</si>
  <si>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</si>
  <si>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</si>
  <si>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</si>
  <si>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</si>
  <si>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</si>
  <si>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</si>
  <si>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</si>
  <si>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</si>
  <si>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</si>
  <si>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</si>
  <si>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</si>
  <si>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</si>
  <si>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</si>
  <si>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</si>
  <si>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</si>
  <si>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</si>
  <si>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</si>
  <si>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</si>
  <si>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</si>
  <si>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</si>
  <si>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</si>
  <si>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</si>
  <si>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</si>
  <si>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</si>
  <si>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</si>
  <si>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</si>
  <si>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</si>
  <si>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</si>
  <si>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</si>
  <si>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</si>
  <si>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</si>
  <si>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</si>
  <si>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</si>
  <si>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</si>
  <si>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</si>
  <si>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</si>
  <si>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</si>
  <si>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</si>
  <si>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</si>
  <si>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</si>
  <si>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</si>
  <si>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</si>
  <si>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</si>
  <si>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</si>
  <si>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</si>
  <si>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</si>
  <si>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</si>
  <si>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</si>
  <si>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</si>
  <si>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</si>
  <si>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</si>
  <si>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</si>
  <si>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</si>
  <si>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</si>
  <si>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</si>
  <si>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</si>
  <si>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</si>
  <si>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</si>
  <si>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</si>
  <si>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</si>
  <si>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</si>
  <si>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</si>
  <si>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</si>
  <si>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</si>
  <si>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</si>
  <si>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</si>
  <si>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</si>
  <si>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</si>
  <si>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</si>
  <si>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</si>
  <si>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</si>
  <si>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</si>
  <si>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</si>
  <si>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</si>
  <si>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</si>
  <si>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</si>
  <si>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</si>
  <si>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</si>
  <si>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</si>
  <si>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</si>
  <si>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</si>
  <si>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</si>
  <si>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</si>
  <si>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</si>
  <si>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</si>
  <si>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</si>
  <si>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</si>
  <si>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</si>
  <si>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</si>
  <si>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</si>
  <si>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</si>
  <si>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</si>
  <si>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</si>
  <si>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</si>
  <si>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</si>
  <si>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</si>
  <si>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</si>
  <si>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</si>
  <si>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</si>
  <si>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</si>
  <si>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</si>
  <si>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</si>
  <si>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</si>
  <si>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</si>
  <si>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</si>
  <si>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</si>
  <si>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</si>
  <si>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</si>
  <si>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</si>
  <si>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</si>
  <si>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</si>
  <si>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</si>
  <si>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</si>
  <si>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</si>
  <si>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</si>
  <si>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projection</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</si>
  <si>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</si>
  <si>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</si>
  <si>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</si>
  <si>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</si>
  <si>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</si>
  <si>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</si>
  <si>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</si>
  <si>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</si>
  <si>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</si>
  <si>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</si>
  <si>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</si>
  <si>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</si>
  <si>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</si>
  <si>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</si>
  <si>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</si>
  <si>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</si>
  <si>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</si>
  <si>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</si>
  <si>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</si>
  <si>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</si>
  <si>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</si>
  <si>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</si>
  <si>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</si>
  <si>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</si>
  <si>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</si>
  <si>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</si>
  <si>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</si>
  <si>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</si>
  <si>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</si>
  <si>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</si>
  <si>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</si>
  <si>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</si>
  <si>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</si>
  <si>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</si>
  <si>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</si>
  <si>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</si>
  <si>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</si>
  <si>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</si>
  <si>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</si>
  <si>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</si>
  <si>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IRA investment grants</t>
  </si>
  <si>
    <t>Inflation Reduction Act (2022)</t>
  </si>
  <si>
    <t>Desc</t>
  </si>
  <si>
    <t>Section</t>
  </si>
  <si>
    <t>2022-2026</t>
  </si>
  <si>
    <t>2022-2031</t>
  </si>
  <si>
    <t>Category</t>
  </si>
  <si>
    <t>Rationale/details</t>
  </si>
  <si>
    <t>Emergency drought relief for tribes</t>
  </si>
  <si>
    <t>Sec 80004</t>
  </si>
  <si>
    <t>Consumption grant</t>
  </si>
  <si>
    <t>Home energy rebates</t>
  </si>
  <si>
    <t>Sec 50121+Sec 50122+50123</t>
  </si>
  <si>
    <t>Reinstatement of Superfund (excise duty on production)</t>
  </si>
  <si>
    <t>Sec 13601</t>
  </si>
  <si>
    <t>Federal corporate tax</t>
  </si>
  <si>
    <t>National Forest System Restoration</t>
  </si>
  <si>
    <t>Sec 23001</t>
  </si>
  <si>
    <t>Federal purchase</t>
  </si>
  <si>
    <t>https://crsreports.congress.gov/product/pdf/IN/IN11978</t>
  </si>
  <si>
    <t xml:space="preserve">Interregional and offshore wind electricity modeling </t>
  </si>
  <si>
    <t>Sec 50153</t>
  </si>
  <si>
    <t>https://nawindpower.com/u-s-house-passes-inflation-reduction-act</t>
  </si>
  <si>
    <t>Low Emissions Electricity Program</t>
  </si>
  <si>
    <t>Sec 60107</t>
  </si>
  <si>
    <t>https://www.epw.senate.gov/public/_cache/files/c/8/c8c72459-0813-4341-838e-385576c69e98/D2D6B743CD39D2D0D07D46207543E2BE.08-10-2022-epw-inflation-reduction-act-section-by-section-final-clean.pdf</t>
  </si>
  <si>
    <t>Enhancement of IRS</t>
  </si>
  <si>
    <t>Sec 10301</t>
  </si>
  <si>
    <t xml:space="preserve">Appropriations </t>
  </si>
  <si>
    <t>Sec 13802</t>
  </si>
  <si>
    <t>Rural development administrative funds</t>
  </si>
  <si>
    <t>Sec 22005</t>
  </si>
  <si>
    <t>Administrative costs of rural development</t>
  </si>
  <si>
    <t>Sec 23005</t>
  </si>
  <si>
    <t>Other federal purchases</t>
  </si>
  <si>
    <t>Sec 40002+40003+…+40006</t>
  </si>
  <si>
    <t>Other energy matters (federal purchases)</t>
  </si>
  <si>
    <t>Sec 50171+Sec 50172+ Sec 50221</t>
  </si>
  <si>
    <t>National Parks and Public Lands conservation</t>
  </si>
  <si>
    <t>Sec 50222</t>
  </si>
  <si>
    <t>National Park employees</t>
  </si>
  <si>
    <t>Sec 50223</t>
  </si>
  <si>
    <t>Limits to leasing on outer continental shelf</t>
  </si>
  <si>
    <t>Sec 50251</t>
  </si>
  <si>
    <t>Fossil fuel resources (leasing of federal land/royalty rates for fossil fuels)</t>
  </si>
  <si>
    <t>Sec 50261 to 50265</t>
  </si>
  <si>
    <t>Funding to US Geological Survey 3D elevation program</t>
  </si>
  <si>
    <t>Sec 50271</t>
  </si>
  <si>
    <t>Funding to DOE, DOI, FERC to conduct environmental reviews, hire staff, community engagement</t>
  </si>
  <si>
    <t>Sec 50281+Sec 50303+Sec 50301+Sec 50303</t>
  </si>
  <si>
    <t>Funding to EPA to standardize green house gas corporate reporting</t>
  </si>
  <si>
    <t>Sec 60111</t>
  </si>
  <si>
    <t>Federal Purchase</t>
  </si>
  <si>
    <t>Funding to  EPA for Environmental Product Declaration assistance</t>
  </si>
  <si>
    <t>Sec 60112</t>
  </si>
  <si>
    <t>EPA funding for reviews and labeling of federal construction materials</t>
  </si>
  <si>
    <t>Sec 60115 + Sec 60116</t>
  </si>
  <si>
    <t>Endangered Species Act Recovery Plans</t>
  </si>
  <si>
    <t>Sec 60301</t>
  </si>
  <si>
    <t>Environmental and Climate Data Collection</t>
  </si>
  <si>
    <t>Sec 60401</t>
  </si>
  <si>
    <t>Council On Environmental Quality Efficient and environmental reviews</t>
  </si>
  <si>
    <t>Sec 60402</t>
  </si>
  <si>
    <t>Use low carbon materials/assistance for federal buildings</t>
  </si>
  <si>
    <t>Sec 60502 + 60503 + 60504</t>
  </si>
  <si>
    <t>Sec 70001 to 70007</t>
  </si>
  <si>
    <t>Clean Heavy Duty Vehicles</t>
  </si>
  <si>
    <t>Sec 60101</t>
  </si>
  <si>
    <t>Investment grant</t>
  </si>
  <si>
    <t>https://www.apta.com/advocacy-legislation-policy/legislative-updates-alerts/updates/inflation-reduction-act-public-transit-tax-credits-and-new-investments/</t>
  </si>
  <si>
    <t>Tribal Climate Resilience</t>
  </si>
  <si>
    <t>Sec 80001</t>
  </si>
  <si>
    <t>investment grant</t>
  </si>
  <si>
    <t>https://www.bia.gov/service/tcr-annual-awards-program</t>
  </si>
  <si>
    <t>Native Hawaiian Climate resilience</t>
  </si>
  <si>
    <t>Sec 80002</t>
  </si>
  <si>
    <t>Diesel Emissions reductions</t>
  </si>
  <si>
    <t>Sec 60104</t>
  </si>
  <si>
    <t>—include a state, regional, local, tribal or port agency or authority with jurisdiction over transportation or air quality, but non profits may also qualify</t>
  </si>
  <si>
    <t>Environmental review implementation</t>
  </si>
  <si>
    <t>Sec 60505</t>
  </si>
  <si>
    <t>reviews by state and localities on environmental standards</t>
  </si>
  <si>
    <t>sustainable aviation fuel development</t>
  </si>
  <si>
    <t>Sec 40007</t>
  </si>
  <si>
    <t>state, local and territorial governments; air carriers; airport sponsors; institutions of higher education; research institutions; individuals engaged in the production, transportation or storage of domestic sustainable aviation fuel or its feedstocks; individuals engaged in the development, demonstration or application of low-emission aviation technologies; and nonprofit organizations. R</t>
  </si>
  <si>
    <t>State and private forestry conservation programs</t>
  </si>
  <si>
    <t>Sec 23003</t>
  </si>
  <si>
    <t>Building energy code adoption assistance</t>
  </si>
  <si>
    <t>Sec 50131</t>
  </si>
  <si>
    <t>Domestic manufacturing conversion</t>
  </si>
  <si>
    <t>Sec 50143</t>
  </si>
  <si>
    <t>Tribal Energy Loan Guarantee Program</t>
  </si>
  <si>
    <t>Sec 50145</t>
  </si>
  <si>
    <t>Drought Response and preparedness</t>
  </si>
  <si>
    <t>Sec 50231+Sec50232</t>
  </si>
  <si>
    <t>Climate change assistance to insular territories (Puerto Rico/freely associated areas)</t>
  </si>
  <si>
    <t>Sec 50241</t>
  </si>
  <si>
    <t>Grants to reduce air pollution at ports</t>
  </si>
  <si>
    <t>Sec 60102</t>
  </si>
  <si>
    <t>Funding to address air pollution at schools</t>
  </si>
  <si>
    <t>Sec 60106</t>
  </si>
  <si>
    <t>Funding for US Wildlife Service</t>
  </si>
  <si>
    <t>Sec 60302</t>
  </si>
  <si>
    <t>Investing in coastal communities</t>
  </si>
  <si>
    <t>Sec 40001</t>
  </si>
  <si>
    <t>Grants for electricity transmission lines</t>
  </si>
  <si>
    <t>Sec 50152</t>
  </si>
  <si>
    <t>Funding for Enforcement Techonology</t>
  </si>
  <si>
    <t>Sec 60110</t>
  </si>
  <si>
    <t>Climate pollution reduction grants</t>
  </si>
  <si>
    <t>Sec 60114</t>
  </si>
  <si>
    <t>Neighborhood Access and Equity grant program</t>
  </si>
  <si>
    <t>Sec 60501</t>
  </si>
  <si>
    <t>Part D rebate by manufacturers</t>
  </si>
  <si>
    <t>Sec 11002</t>
  </si>
  <si>
    <t>Improving access to adult vaccines under Medicaid and CHIP</t>
  </si>
  <si>
    <t>Sec 11405</t>
  </si>
  <si>
    <t>Lowering Part D prices + Funding</t>
  </si>
  <si>
    <t>Sec 11001 + Sec 11004</t>
  </si>
  <si>
    <t>Sec 11002 (added Medicaid and Other)</t>
  </si>
  <si>
    <t xml:space="preserve">Part D redesign &amp; monthly cap on oop </t>
  </si>
  <si>
    <t>Sec 11201</t>
  </si>
  <si>
    <t>Repeal of prescription drug rebate rule</t>
  </si>
  <si>
    <t>Sec 11301</t>
  </si>
  <si>
    <t>Other Medicare Misc.</t>
  </si>
  <si>
    <t>Sec 11401+11402+11403</t>
  </si>
  <si>
    <t>Expanding eligibility of low income subsidies</t>
  </si>
  <si>
    <t>Sec 11404</t>
  </si>
  <si>
    <t>Funding to Address Air Pollution</t>
  </si>
  <si>
    <t>Sec 60105</t>
  </si>
  <si>
    <t>Social benefit</t>
  </si>
  <si>
    <t>air pollution control agencies, nonprofit agencies, institutions and organizations</t>
  </si>
  <si>
    <t>Green hourse gas reduction fund</t>
  </si>
  <si>
    <t>Sec 60103</t>
  </si>
  <si>
    <t>Eligible applicants include nonprofit organizations that can provide capital for the swift deployment of low and zero-emission products,</t>
  </si>
  <si>
    <t>Improving resilience of affordable housing</t>
  </si>
  <si>
    <t>Sec 30002</t>
  </si>
  <si>
    <t>Eligible recipients include owners or sponsors of low-income housing and housing for the elderly or disabled</t>
  </si>
  <si>
    <t>Reduce health insurance premium costs for consumers (ACA)</t>
  </si>
  <si>
    <t>Sec 12001</t>
  </si>
  <si>
    <t>Biofuel Infrastructure &amp; Agr Product Market expansion to individuals, corporations, higher ed institutions</t>
  </si>
  <si>
    <t>Sec 22003</t>
  </si>
  <si>
    <t xml:space="preserve">Assistance for Rural Electric Cooperatives </t>
  </si>
  <si>
    <t xml:space="preserve">Sec 22004 </t>
  </si>
  <si>
    <t>Grants for Non-Federal Forest Landowners</t>
  </si>
  <si>
    <t>Sec 23002</t>
  </si>
  <si>
    <t>Environmental and Climate Justice block grants</t>
  </si>
  <si>
    <t>Sec 60201</t>
  </si>
  <si>
    <t>Tribal Electrification program</t>
  </si>
  <si>
    <t>Sec 80003</t>
  </si>
  <si>
    <t>Methane emissions reduction program</t>
  </si>
  <si>
    <t>Sec 60113</t>
  </si>
  <si>
    <t>Social benefit (could also be subsidy)</t>
  </si>
  <si>
    <t>provides grants to operators of gas production facilities to prepare emissions reports</t>
  </si>
  <si>
    <t xml:space="preserve">Agriculture conservation </t>
  </si>
  <si>
    <t xml:space="preserve">Sec 21001 + Sec 21002 </t>
  </si>
  <si>
    <t>https://www.benefits.gov/benefit/5868#:~:text=Who%20is%20eligible%20for%20Conservation,resource%20concerns%20when%20they%20apply.</t>
  </si>
  <si>
    <t>Energy infrastructure reeinvestment</t>
  </si>
  <si>
    <t>Sec 50144</t>
  </si>
  <si>
    <t>https://bipartisanpolicy.org/blog/inflation-reduction-act-summary-energy-climate-provisions/</t>
  </si>
  <si>
    <t>Transmission facility financing</t>
  </si>
  <si>
    <t>Sec 50151</t>
  </si>
  <si>
    <t>https://crsreports.congress.gov/product/pdf/IN/IN11981</t>
  </si>
  <si>
    <t>Funding for the clean air act</t>
  </si>
  <si>
    <t>Sec 60108</t>
  </si>
  <si>
    <t>https://www.natlawreview.com/article/inflation-reduction-act-commits-significant-resources-to-federal-environmental</t>
  </si>
  <si>
    <t>Rural Energy for America Program</t>
  </si>
  <si>
    <t>Sec 22002</t>
  </si>
  <si>
    <t>https://www.rd.usda.gov/programs-services/energy-programs/rural-energy-america-program-renewable-energy-systems-energy-efficiency-improvement-guaranteed-loans</t>
  </si>
  <si>
    <t>Industrial facilities</t>
  </si>
  <si>
    <t>Sec 50161</t>
  </si>
  <si>
    <t>https://www.venable.com/insights/publications/2022/08/inflation-reduction-act-what-you-need-to-know#:~:text=The%20Act%20allocates%20over%20%245.8,that%20reduce%20greenhouse%20gas%20emissions.</t>
  </si>
  <si>
    <t>Clean hydrogren production tax credit (+adjustment for sequestration)</t>
  </si>
  <si>
    <t xml:space="preserve">Sec 13204 </t>
  </si>
  <si>
    <t xml:space="preserve">Funding for Electric Loans </t>
  </si>
  <si>
    <t>Sec 22001</t>
  </si>
  <si>
    <t>Loan programs funding for DOE</t>
  </si>
  <si>
    <t>Sec 50141</t>
  </si>
  <si>
    <t>Manufacturing subsidies for advanced techonology vehicles</t>
  </si>
  <si>
    <t>Sec 50142</t>
  </si>
  <si>
    <t>Funding for American Innovation and Manufacturing Act</t>
  </si>
  <si>
    <t>Sec 60109</t>
  </si>
  <si>
    <t>Use of defense production act</t>
  </si>
  <si>
    <t>Sec 30001</t>
  </si>
  <si>
    <r>
      <rPr>
        <sz val="8.5"/>
        <rFont val="Arial"/>
        <family val="2"/>
      </rPr>
      <t>2022-2026</t>
    </r>
  </si>
  <si>
    <r>
      <rPr>
        <sz val="8.5"/>
        <rFont val="Arial"/>
        <family val="2"/>
      </rPr>
      <t>2022-2031</t>
    </r>
  </si>
  <si>
    <t>Consumption Grants to States (non-health)</t>
  </si>
  <si>
    <t>Investment Grants to States</t>
  </si>
  <si>
    <t>Federal Purchases (NIPA)</t>
  </si>
  <si>
    <t>Medicare (Federal)</t>
  </si>
  <si>
    <t>QUARTERLY TABLE</t>
  </si>
  <si>
    <t>Totals by category, in fiscal years</t>
  </si>
  <si>
    <t>CHIPS</t>
  </si>
  <si>
    <t>CHIPS (2022)</t>
  </si>
  <si>
    <t>CBO less legislation timing shift + IRA</t>
  </si>
  <si>
    <t>Inflation Reduction Act (https://www.cbo.gov/publication/58366)</t>
  </si>
  <si>
    <t>Student loans</t>
  </si>
  <si>
    <t>GDP (Nominal)</t>
  </si>
  <si>
    <t>CBO (as a % of GDP)</t>
  </si>
  <si>
    <r>
      <t xml:space="preserve">Methodology: </t>
    </r>
    <r>
      <rPr>
        <sz val="11"/>
        <color theme="1"/>
        <rFont val="Arial"/>
        <family val="2"/>
      </rPr>
      <t>[...]</t>
    </r>
    <r>
      <rPr>
        <b/>
        <sz val="11"/>
        <color theme="1"/>
        <rFont val="Arial"/>
        <family val="2"/>
      </rPr>
      <t>, Source […]</t>
    </r>
  </si>
  <si>
    <t>federal_student_loans</t>
  </si>
  <si>
    <t>Federal Student Loans</t>
  </si>
  <si>
    <t>https://www.cbo.gov/system/files/2022-09/PL117-169_9-7-22.pdf</t>
  </si>
  <si>
    <t>Outlays</t>
  </si>
  <si>
    <t>federal purchase</t>
  </si>
  <si>
    <t>Maximum Monthly Cap on cost-sharing payments under rx Drug Plans and MA-PD Plans</t>
  </si>
  <si>
    <t>social benefit</t>
  </si>
  <si>
    <t>USDA Assistance and Support for Underserved Farmers, Ranchers, and Foresters</t>
  </si>
  <si>
    <t>Extension and Modification of Credit
for Carbon Oxide Sequestration</t>
  </si>
  <si>
    <t>subsidy</t>
  </si>
  <si>
    <t>Zero-Emission Nuclear Power
Production Creditc</t>
  </si>
  <si>
    <t>Advanced Manufacturing Production Credit</t>
  </si>
  <si>
    <t>Clean energy production credit</t>
  </si>
  <si>
    <t>Revenues</t>
  </si>
  <si>
    <t>Corporate Alternative Minimum Tax</t>
  </si>
  <si>
    <t>Corporate tax</t>
  </si>
  <si>
    <t>Medicare Part B Rebate by Manufacturers and Medicare Pard D rebate</t>
  </si>
  <si>
    <t>Sec. 11101
Sec. 11102</t>
  </si>
  <si>
    <t>Extension and Modification of Credit for alternative fuels
Electricity Produced From Certain
Renewable Resources</t>
  </si>
  <si>
    <t>Extension and Modification of Energy Credit</t>
  </si>
  <si>
    <t>Extension and Modification of Credit for Carbon Oxide Sequestrationc</t>
  </si>
  <si>
    <t>Zero-Emission Nuclear Power Production Creditc</t>
  </si>
  <si>
    <t>Energy Efficient Commercial Buildings</t>
  </si>
  <si>
    <t>Clean energy manufacturing</t>
  </si>
  <si>
    <t>13501, 13502</t>
  </si>
  <si>
    <t>Reinstatement of superfund</t>
  </si>
  <si>
    <t>Incentives for Clean Electricity and Clean Transportation</t>
  </si>
  <si>
    <t>13701, 13702, 13703, 13704</t>
  </si>
  <si>
    <t>Permanent Extension of Tax Rate to Fund Black Lung Disability Trust Fund</t>
  </si>
  <si>
    <t>Increase in Research Credit Against Payroll Tax for Small Businesses</t>
  </si>
  <si>
    <t>Extension of Limitation on Excess Business Losses of Noncorporate Taxpayers</t>
  </si>
  <si>
    <t>13903, 13904</t>
  </si>
  <si>
    <t>Methane Emissions Reduction</t>
  </si>
  <si>
    <t>Excise Tax on Repurchase of Corporate Stock</t>
  </si>
  <si>
    <t>Enhancement of Internal Revenue Service
Resources</t>
  </si>
  <si>
    <t>Improve Affordability and Reduce Premium Costs of Health Insurance</t>
  </si>
  <si>
    <t>Clean fuels</t>
  </si>
  <si>
    <t>13201, 02, 03, 04</t>
  </si>
  <si>
    <t>Extension, Increase, and Modifications of Nonbusiness Energy Property Credit</t>
  </si>
  <si>
    <t>Residential Clean Energy Credit</t>
  </si>
  <si>
    <t>New Energy Efficient Home Credit</t>
  </si>
  <si>
    <t>Clean Vehicles</t>
  </si>
  <si>
    <t>13401, 13402, 13403, 13404</t>
  </si>
  <si>
    <t>Outlays (Table 1-3)</t>
  </si>
  <si>
    <t>Outlays (Table 4-8)</t>
  </si>
  <si>
    <t>Production tax</t>
  </si>
  <si>
    <t>Production tax add factor</t>
  </si>
  <si>
    <t>Updated Nov-21</t>
  </si>
  <si>
    <t>Other legislation (what we haven't accounted for to make our underlying social benefits equal to the counterfactual underlying benefits) and add factor to match history</t>
  </si>
  <si>
    <t>SNAP due to COVID and Thrifty Food Plan (All, including ARP) (Table 2)</t>
  </si>
  <si>
    <t>SNAP due to COVID and Thrifty Food Plan</t>
  </si>
  <si>
    <t>consumption_deflator_growth_ann</t>
  </si>
  <si>
    <t>federal_purchases_deflator_growth_ann</t>
  </si>
  <si>
    <t>consumption_grants_deflator_growth_ann</t>
  </si>
  <si>
    <t>investment_grants_deflator_growth_ann</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</si>
  <si>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</si>
  <si>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</si>
  <si>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</si>
  <si>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</si>
  <si>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</si>
  <si>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</si>
  <si>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</si>
  <si>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</si>
  <si>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</si>
  <si>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</si>
  <si>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</si>
  <si>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</si>
  <si>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</si>
  <si>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</si>
  <si>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</si>
  <si>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</si>
  <si>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</si>
  <si>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</si>
  <si>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</si>
  <si>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</si>
  <si>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</si>
  <si>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</si>
  <si>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</si>
  <si>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</si>
  <si>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</si>
  <si>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</si>
  <si>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</si>
  <si>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</si>
  <si>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</si>
  <si>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</si>
  <si>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</si>
  <si>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</si>
  <si>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</si>
  <si>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</si>
  <si>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</si>
  <si>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</si>
  <si>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</si>
  <si>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</si>
  <si>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</si>
  <si>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</si>
  <si>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</si>
  <si>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</si>
  <si>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</si>
  <si>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</si>
  <si>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</si>
  <si>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</si>
  <si>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</si>
  <si>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</si>
  <si>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</si>
  <si>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</si>
  <si>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</si>
  <si>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</si>
  <si>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</si>
  <si>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</si>
  <si>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</si>
  <si>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</si>
  <si>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</si>
  <si>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</si>
  <si>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</si>
  <si>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</si>
  <si>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</si>
  <si>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</si>
  <si>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</si>
  <si>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</si>
  <si>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</si>
  <si>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</si>
  <si>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</si>
  <si>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</si>
  <si>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</si>
  <si>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</si>
  <si>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</si>
  <si>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</si>
  <si>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</si>
  <si>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</si>
  <si>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</si>
  <si>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</si>
  <si>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</si>
  <si>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</si>
  <si>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</si>
  <si>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</si>
  <si>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</si>
  <si>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</si>
  <si>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</si>
  <si>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</si>
  <si>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</si>
  <si>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</si>
  <si>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</si>
  <si>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</si>
  <si>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</si>
  <si>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</si>
  <si>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</si>
  <si>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</si>
  <si>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</si>
  <si>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</si>
  <si>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</si>
  <si>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</si>
  <si>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</si>
  <si>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</si>
  <si>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</si>
  <si>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</si>
  <si>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</si>
  <si>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</si>
  <si>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</si>
  <si>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</si>
  <si>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</si>
  <si>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</si>
  <si>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</si>
  <si>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</si>
  <si>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</si>
  <si>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</si>
  <si>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</si>
  <si>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</si>
  <si>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</si>
  <si>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</si>
  <si>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</si>
  <si>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</si>
  <si>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</si>
  <si>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</si>
  <si>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</si>
  <si>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</si>
  <si>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</si>
  <si>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</si>
  <si>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</si>
  <si>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</si>
  <si>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</si>
  <si>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</si>
  <si>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</si>
  <si>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</si>
  <si>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</si>
  <si>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</si>
  <si>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</si>
  <si>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</si>
  <si>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</si>
  <si>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</si>
  <si>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</si>
  <si>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</si>
  <si>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</si>
  <si>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</si>
  <si>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</si>
  <si>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</si>
  <si>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</si>
  <si>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</si>
  <si>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</si>
  <si>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</si>
  <si>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</si>
  <si>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</si>
  <si>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</si>
  <si>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</si>
  <si>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</si>
  <si>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</si>
  <si>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</si>
  <si>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</si>
  <si>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</si>
  <si>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</si>
  <si>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</si>
  <si>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</si>
  <si>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</si>
  <si>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</si>
  <si>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</si>
  <si>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</si>
  <si>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</si>
  <si>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</si>
  <si>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</si>
  <si>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</si>
  <si>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</si>
  <si>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</si>
  <si>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</si>
  <si>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</si>
  <si>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</si>
  <si>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</si>
  <si>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</si>
  <si>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</si>
  <si>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</si>
  <si>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</si>
  <si>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</si>
  <si>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</si>
  <si>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</si>
  <si>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</si>
  <si>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</si>
  <si>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</si>
  <si>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</si>
  <si>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</si>
  <si>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</si>
  <si>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</si>
  <si>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</si>
  <si>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</si>
  <si>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</si>
  <si>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</si>
  <si>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</si>
  <si>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</si>
  <si>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</si>
  <si>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</si>
  <si>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</si>
  <si>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</si>
  <si>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</si>
  <si>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</si>
  <si>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</si>
  <si>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</si>
  <si>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</si>
  <si>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</si>
  <si>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</si>
  <si>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</si>
  <si>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</si>
  <si>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</si>
  <si>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</si>
  <si>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</si>
  <si>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</si>
  <si>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</si>
  <si>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</si>
  <si>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</si>
  <si>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</si>
  <si>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</si>
  <si>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</si>
  <si>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</si>
  <si>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</si>
  <si>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projection</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</si>
  <si>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</si>
  <si>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</si>
  <si>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</si>
  <si>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</si>
  <si>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</si>
  <si>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</si>
  <si>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</si>
  <si>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</si>
  <si>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</si>
  <si>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</si>
  <si>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</si>
  <si>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</si>
  <si>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</si>
  <si>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</si>
  <si>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</si>
  <si>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</si>
  <si>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</si>
  <si>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</si>
  <si>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</si>
  <si>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</si>
  <si>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</si>
  <si>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</si>
  <si>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</si>
  <si>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</si>
  <si>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</si>
  <si>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</si>
  <si>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</si>
  <si>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</si>
  <si>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</si>
  <si>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</si>
  <si>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</si>
  <si>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</si>
  <si>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</si>
  <si>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</si>
  <si>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</si>
  <si>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</si>
  <si>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</si>
  <si>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</si>
  <si>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</si>
  <si>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Add factor  for one-time state refunds</t>
  </si>
  <si>
    <t xml:space="preserve">CBO (original) </t>
  </si>
  <si>
    <t>CBO (with payment delay)</t>
  </si>
  <si>
    <t>Federal Tax Base Growth Rates</t>
  </si>
  <si>
    <t>jc_growth</t>
  </si>
  <si>
    <t>jgf_growth</t>
  </si>
  <si>
    <t>jgs_growth</t>
  </si>
  <si>
    <t>jgse_growth</t>
  </si>
  <si>
    <t>jgsi_growth</t>
  </si>
  <si>
    <t>Add factor for total medicaid</t>
  </si>
  <si>
    <t>NOT USED - GROWTH RATES OF BEA TAX BASES</t>
  </si>
  <si>
    <t>Deflators</t>
  </si>
  <si>
    <t>Consumption deflator growth</t>
  </si>
  <si>
    <t>Deflator growth</t>
  </si>
  <si>
    <t xml:space="preserve">Consumption </t>
  </si>
  <si>
    <t>Federal purchases</t>
  </si>
  <si>
    <t>State purchases</t>
  </si>
  <si>
    <t>Consumption grants</t>
  </si>
  <si>
    <t>Investment grants</t>
  </si>
  <si>
    <t>Personal consumption expenditures</t>
  </si>
  <si>
    <t xml:space="preserve">    "c"</t>
  </si>
  <si>
    <t xml:space="preserve">    "gf"</t>
  </si>
  <si>
    <t xml:space="preserve">    "ch"</t>
  </si>
  <si>
    <t xml:space="preserve">    "gfh"</t>
  </si>
  <si>
    <t xml:space="preserve">    "gsh"</t>
  </si>
  <si>
    <t>Final deflator growth</t>
  </si>
  <si>
    <t>Federal purchases deflator growth</t>
  </si>
  <si>
    <t>State purchases deflator growth</t>
  </si>
  <si>
    <t>Consumption grants deflator growth</t>
  </si>
  <si>
    <t>Investment grants deflator growth</t>
  </si>
  <si>
    <t>consumption_deflator_growth_override</t>
  </si>
  <si>
    <t>federal_purchases_deflator_growth_override</t>
  </si>
  <si>
    <t>state_purchases_deflator_growth_override</t>
  </si>
  <si>
    <t>consumption_grants_deflator_growth_override</t>
  </si>
  <si>
    <t>investment_grants_deflator_growth_override</t>
  </si>
  <si>
    <t>Annualized</t>
  </si>
  <si>
    <t>Table 2: Overrides (the table we edit in the forecast period)</t>
  </si>
  <si>
    <t>HISTORY - BEA data</t>
  </si>
  <si>
    <t>Table 1a (uses cbo variables for forecast period in table 1)</t>
  </si>
  <si>
    <t>Quarterly (do not touch)</t>
  </si>
  <si>
    <t>Social insurance add factor</t>
  </si>
  <si>
    <t>2022</t>
  </si>
  <si>
    <t>Goods</t>
  </si>
  <si>
    <t>Services</t>
  </si>
  <si>
    <t>Addenda:</t>
  </si>
  <si>
    <t>PROJECTION -- CBO forecast</t>
  </si>
  <si>
    <t>Consumption add factor</t>
  </si>
  <si>
    <t>Federal purchases add factor</t>
  </si>
  <si>
    <t>State purchases add factor</t>
  </si>
  <si>
    <t>Consumption grants add factor</t>
  </si>
  <si>
    <t>Investment grants add factor</t>
  </si>
  <si>
    <t>PROJECTION (CBO forecast plus any add factors)</t>
  </si>
  <si>
    <t>2021</t>
  </si>
  <si>
    <t xml:space="preserve">This sheet allows us to see how the raw inputs to the FIM have changed; it can help us parse out which changes to our forecast are due to BEA data and which are due to our own formulas. </t>
  </si>
  <si>
    <t>February 2023 CBO Unemployment Rate Projection</t>
  </si>
  <si>
    <t>Add factor for corporate income tax</t>
  </si>
  <si>
    <t>NOT USED (DOES NOT INCLUDE PAYMENT DELAYS)</t>
  </si>
  <si>
    <t>Personal income add factor</t>
  </si>
  <si>
    <r>
      <t>July</t>
    </r>
    <r>
      <rPr>
        <vertAlign val="superscript"/>
        <sz val="11"/>
        <rFont val="Calibri"/>
        <family val="2"/>
      </rPr>
      <t xml:space="preserve"> r</t>
    </r>
    <r>
      <rPr>
        <sz val="11"/>
        <rFont val="Calibri"/>
        <family val="2"/>
      </rPr>
      <t/>
    </r>
  </si>
  <si>
    <t>Compensation of employees</t>
  </si>
  <si>
    <t>Wages and salaries</t>
  </si>
  <si>
    <t>Private industries</t>
  </si>
  <si>
    <t>Goods-producing industries</t>
  </si>
  <si>
    <t>Manufacturing</t>
  </si>
  <si>
    <t>Services-producing industries</t>
  </si>
  <si>
    <t>Trade, transportation, and utilities</t>
  </si>
  <si>
    <t>Other services-producing industries</t>
  </si>
  <si>
    <t>Government</t>
  </si>
  <si>
    <t>Supplements to wages and salaries</t>
  </si>
  <si>
    <r>
      <t>Employer contributions for employee pension and insurance funds</t>
    </r>
    <r>
      <rPr>
        <vertAlign val="superscript"/>
        <sz val="11"/>
        <rFont val="Calibri"/>
        <family val="2"/>
      </rPr>
      <t xml:space="preserve"> 1</t>
    </r>
  </si>
  <si>
    <t>Employer contributions for government social insurance</t>
  </si>
  <si>
    <t>Proprietors' income with inventory valuation and capital consumption adjustments</t>
  </si>
  <si>
    <t>Farm</t>
  </si>
  <si>
    <t>Nonfarm</t>
  </si>
  <si>
    <t>Rental income of persons with capital consumption adjustment</t>
  </si>
  <si>
    <t>Personal income receipts on assets</t>
  </si>
  <si>
    <t>Personal interest income</t>
  </si>
  <si>
    <t>Personal dividend income</t>
  </si>
  <si>
    <t>Personal current transfer receipts</t>
  </si>
  <si>
    <t>Government social benefits to persons</t>
  </si>
  <si>
    <r>
      <t>Social security</t>
    </r>
    <r>
      <rPr>
        <vertAlign val="superscript"/>
        <sz val="11"/>
        <rFont val="Calibri"/>
        <family val="2"/>
      </rPr>
      <t xml:space="preserve"> 2</t>
    </r>
  </si>
  <si>
    <r>
      <t>Medicare</t>
    </r>
    <r>
      <rPr>
        <vertAlign val="superscript"/>
        <sz val="11"/>
        <rFont val="Calibri"/>
        <family val="2"/>
      </rPr>
      <t xml:space="preserve"> 3</t>
    </r>
  </si>
  <si>
    <t>Veterans' benefits</t>
  </si>
  <si>
    <t>Other current transfer receipts, from business (net)</t>
  </si>
  <si>
    <t>Less: Contributions for government social insurance, domestic</t>
  </si>
  <si>
    <t>Equals: Disposable personal income</t>
  </si>
  <si>
    <t>Durable goods</t>
  </si>
  <si>
    <t>Nondurable goods</t>
  </si>
  <si>
    <r>
      <t>Personal interest payments</t>
    </r>
    <r>
      <rPr>
        <vertAlign val="superscript"/>
        <sz val="11"/>
        <rFont val="Calibri"/>
        <family val="2"/>
      </rPr>
      <t xml:space="preserve"> 4</t>
    </r>
  </si>
  <si>
    <t>Personal current transfer payments</t>
  </si>
  <si>
    <t>To government</t>
  </si>
  <si>
    <t>To the rest of the world (net)</t>
  </si>
  <si>
    <t>Personal saving as a percentage of disposable personal income</t>
  </si>
  <si>
    <r>
      <t>Personal income excluding current transfer receipts, billions of chained (2012) dollars</t>
    </r>
    <r>
      <rPr>
        <vertAlign val="superscript"/>
        <sz val="11"/>
        <rFont val="Calibri"/>
        <family val="2"/>
      </rPr>
      <t xml:space="preserve"> 5</t>
    </r>
  </si>
  <si>
    <t>Disposable personal income:</t>
  </si>
  <si>
    <r>
      <t>Total, billions of chained (2012) dollars</t>
    </r>
    <r>
      <rPr>
        <vertAlign val="superscript"/>
        <sz val="11"/>
        <rFont val="Calibri"/>
        <family val="2"/>
      </rPr>
      <t xml:space="preserve"> 5</t>
    </r>
  </si>
  <si>
    <t>Per capita:</t>
  </si>
  <si>
    <t>Current dollars</t>
  </si>
  <si>
    <t>Chained (2012) dollars</t>
  </si>
  <si>
    <r>
      <t>Population (midperiod, thousands)</t>
    </r>
    <r>
      <rPr>
        <vertAlign val="superscript"/>
        <sz val="11"/>
        <rFont val="Calibri"/>
        <family val="2"/>
      </rPr>
      <t xml:space="preserve"> 6</t>
    </r>
  </si>
  <si>
    <t>p Preliminary</t>
  </si>
  <si>
    <t>r Revised. Revisions include changes to series affected by the incorporation of revised wage and salary estimates for the third quarter of 2022.</t>
  </si>
  <si>
    <t>1. Includes actual employer contributions and actuarially imputed employer contributions to reflect benefits accrued by defined benefit pension plan participants through service to employers in the current period.</t>
  </si>
  <si>
    <t>2. Social security benefits include old-age, survivors, and disability insurance benefits that are distributed from the federal old-age and survivors insurance trust fund and the disability insurance trust fund.</t>
  </si>
  <si>
    <t>3. Medicare benefits include hospital and supplementary medical insurance benefits that are distributed from the federal hospital insurance trust fund and the supplementary medical insurance trust fund.</t>
  </si>
  <si>
    <t>4. Consists of nonmortgage interest paid by households.  Note that mortgage interest paid by households is an expense item in the calculation of rental income of persons.</t>
  </si>
  <si>
    <t>5. The current-dollar measure is deflated by the implicit price deflator for personal consumption expenditures.</t>
  </si>
  <si>
    <t>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</si>
  <si>
    <t xml:space="preserve">CBO projection of social security </t>
  </si>
  <si>
    <r>
      <t xml:space="preserve">Counterfactual Social Benefits linear growth factor </t>
    </r>
    <r>
      <rPr>
        <i/>
        <sz val="11"/>
        <color theme="1"/>
        <rFont val="Arial"/>
        <family val="2"/>
      </rPr>
      <t>(based on growth Q1-Q4 2019 growth)</t>
    </r>
  </si>
  <si>
    <r>
      <t xml:space="preserve">Social Security COLA adjustment amount </t>
    </r>
    <r>
      <rPr>
        <i/>
        <sz val="11"/>
        <color theme="1"/>
        <rFont val="Arial"/>
        <family val="2"/>
      </rPr>
      <t>(percentage*social security_[t-1])</t>
    </r>
  </si>
  <si>
    <t>Total Social Security linear growth factor</t>
  </si>
  <si>
    <t>Total Counterfactual Social Benefits growth</t>
  </si>
  <si>
    <t>Adjustment to CBO UR</t>
  </si>
  <si>
    <r>
      <t>Social Security linear growth factor</t>
    </r>
    <r>
      <rPr>
        <i/>
        <sz val="11"/>
        <color theme="1"/>
        <rFont val="Arial"/>
        <family val="2"/>
      </rPr>
      <t xml:space="preserve"> (hardcoded-judgemental)</t>
    </r>
  </si>
  <si>
    <r>
      <t xml:space="preserve">Social Security COLA adjustment </t>
    </r>
    <r>
      <rPr>
        <i/>
        <sz val="11"/>
        <color theme="1"/>
        <rFont val="Arial"/>
        <family val="2"/>
      </rPr>
      <t>(one time percentage added to total benefits)</t>
    </r>
  </si>
  <si>
    <t>Table 1. Personal Income and Its Disposition (Months)</t>
  </si>
  <si>
    <t>Row Labels</t>
  </si>
  <si>
    <t>Qtr1</t>
  </si>
  <si>
    <t>Qtr2</t>
  </si>
  <si>
    <t>Qtr3</t>
  </si>
  <si>
    <t>Qtr4</t>
  </si>
  <si>
    <t>Average of Monthly UR</t>
  </si>
  <si>
    <t>2023</t>
  </si>
  <si>
    <t>2024</t>
  </si>
  <si>
    <t>2025</t>
  </si>
  <si>
    <t>2026</t>
  </si>
  <si>
    <t>Quarter (helper row)</t>
  </si>
  <si>
    <t>Year (helper row)</t>
  </si>
  <si>
    <t>Prepare the Forecast Comparison and Forecast sheets</t>
  </si>
  <si>
    <t>The forecast comparison sheet shows us how much our forecast (what is read into the code) has changed since the last update, in level and percent differences.</t>
  </si>
  <si>
    <t>Table 1: BEA and CBO -- historical data are read in and formulas should be updated when there's a new quarter update</t>
  </si>
  <si>
    <t>Prepare the Historical Overrides and deflators_override sheets</t>
  </si>
  <si>
    <t>We have a few overrides to historical data that we include in these sheets</t>
  </si>
  <si>
    <t>Our projection of UR (based on CBO)</t>
  </si>
  <si>
    <t>Aug.</t>
  </si>
  <si>
    <t>Sept.</t>
  </si>
  <si>
    <t>In the Historical Overrides sheet, add the new quarter to the last column and drag the formulas to the right. In the deflators_override sheet, delete the first column. Add a new quarter to the last column and drag the formula over to the right. (all the quarters in this sheet should be in the forecast period)</t>
  </si>
  <si>
    <r>
      <t xml:space="preserve">Methodology: </t>
    </r>
    <r>
      <rPr>
        <sz val="11"/>
        <color theme="1"/>
        <rFont val="Arial"/>
        <family val="2"/>
      </rPr>
      <t xml:space="preserve">We take Haver's historical investment grants data and hold grants flat at the FY2020 average. </t>
    </r>
  </si>
  <si>
    <t>*note that the medicaid annual growth rate has to be switched to the new fy in q4</t>
  </si>
  <si>
    <r>
      <t>Oct.</t>
    </r>
    <r>
      <rPr>
        <vertAlign val="superscript"/>
        <sz val="11"/>
        <rFont val="Calibri"/>
        <family val="2"/>
      </rPr>
      <t xml:space="preserve"> r</t>
    </r>
    <r>
      <rPr>
        <sz val="11"/>
        <rFont val="Calibri"/>
        <family val="2"/>
      </rPr>
      <t/>
    </r>
  </si>
  <si>
    <r>
      <t>Nov.</t>
    </r>
    <r>
      <rPr>
        <vertAlign val="superscript"/>
        <sz val="11"/>
        <rFont val="Calibri"/>
        <family val="2"/>
      </rPr>
      <t xml:space="preserve"> r</t>
    </r>
    <r>
      <rPr>
        <sz val="11"/>
        <rFont val="Calibri"/>
        <family val="2"/>
      </rPr>
      <t/>
    </r>
  </si>
  <si>
    <r>
      <t>Dec.</t>
    </r>
    <r>
      <rPr>
        <vertAlign val="superscript"/>
        <sz val="11"/>
        <rFont val="Calibri"/>
        <family val="2"/>
      </rPr>
      <t xml:space="preserve"> r</t>
    </r>
    <r>
      <rPr>
        <sz val="11"/>
        <rFont val="Calibri"/>
        <family val="2"/>
      </rPr>
      <t/>
    </r>
  </si>
  <si>
    <t>Medicare add factor</t>
  </si>
  <si>
    <t>https://www.cbo.gov/system/files/2023-03/58983-IDR.pdf</t>
  </si>
  <si>
    <t>On supreme court decision:</t>
  </si>
  <si>
    <t>Total Unemployment Insurance (Federal + State)</t>
  </si>
  <si>
    <t>ARP rebate checks</t>
  </si>
  <si>
    <t>non-ARP rebate checks</t>
  </si>
  <si>
    <t>Eventual 1828</t>
  </si>
  <si>
    <t>(Residual) eventual 1970</t>
  </si>
  <si>
    <t>CTC + UI + Medicare</t>
  </si>
  <si>
    <t>everything else "we've accounted for in detail" (pandemic) = rebate checks (ARP and non-ARP) + ARP other direct aid + SNAP + PPP to NPISH</t>
  </si>
  <si>
    <t>Portion of Social Benefits we've accounted for CTC + UI + medicare pre-pandemic + all other pandemic stuff we've accounted for</t>
  </si>
  <si>
    <t>used in code</t>
  </si>
  <si>
    <t>CTC + UI + Medicare (pre-pandemic stuff we've "accounted for")</t>
  </si>
  <si>
    <t>Everything we've accounted for</t>
  </si>
  <si>
    <t>HAVER</t>
  </si>
  <si>
    <t>(RESIDUAL) Everything we haven't accounted for</t>
  </si>
  <si>
    <t>Quarterly Real Tax Change</t>
  </si>
  <si>
    <t>PCE Deflator</t>
  </si>
  <si>
    <t>Nominal Corporate Tax Change</t>
  </si>
  <si>
    <t>Federal Reserve Bank of St. Louis</t>
  </si>
  <si>
    <t>observation_date</t>
  </si>
  <si>
    <t>Code</t>
  </si>
  <si>
    <t>Spreadsheet</t>
  </si>
  <si>
    <t>Federal Social Benefits from Haver</t>
  </si>
  <si>
    <t>U.I.</t>
  </si>
  <si>
    <t>-</t>
  </si>
  <si>
    <t>Nonprofit Provider Relief Fund</t>
  </si>
  <si>
    <t>Child Tax Credit</t>
  </si>
  <si>
    <t>+</t>
  </si>
  <si>
    <t>SNAP due to COVID</t>
  </si>
  <si>
    <t>Other Vulnerable Excluding SNAP</t>
  </si>
  <si>
    <t>Inflation Reduction Act</t>
  </si>
  <si>
    <t>Code Transfers Contains:</t>
  </si>
  <si>
    <t>Federal Health Outlays</t>
  </si>
  <si>
    <t>ARP Federal Aid to Small Businesses</t>
  </si>
  <si>
    <t>Code definition of Federal Social Benefits</t>
  </si>
  <si>
    <t>Taken out with override</t>
  </si>
  <si>
    <t>Student Loans</t>
  </si>
  <si>
    <t>State Health Outlays</t>
  </si>
  <si>
    <t>Other transfers never included in Federal Social Benefits</t>
  </si>
  <si>
    <t>This is equal to Federal Social Benefits MINUS U.I., Medicare, Rebate Checks, Nonprofit Provider Relief Fund, Other Vulnerable Excluding SNAP, ARP Other Direct Aid, and Inflation Reduction Act</t>
  </si>
  <si>
    <t>This is equal to Federal Social Benefits MINUS U.I., Medicare, Rebate Checks, and Nonprofit Provider Relief Fund before override</t>
  </si>
  <si>
    <t>NIPA consistent corporate taxes</t>
  </si>
  <si>
    <t>Data (Billions)</t>
  </si>
  <si>
    <t>Supply Side IRA Override</t>
  </si>
  <si>
    <t>supply_side_ira_override</t>
  </si>
  <si>
    <t>supply_side_ira</t>
  </si>
  <si>
    <t>March</t>
  </si>
  <si>
    <t>Federal Student Loans Override</t>
  </si>
  <si>
    <t>federal_student_loans_override</t>
  </si>
  <si>
    <t>Personal add factor</t>
  </si>
  <si>
    <t>Individual income growth rate Hutchins Center adjustment</t>
  </si>
  <si>
    <t>Federal + State Non-Corporate</t>
  </si>
  <si>
    <t>what we thought it would be</t>
  </si>
  <si>
    <t>what it actually was</t>
  </si>
  <si>
    <r>
      <t>April</t>
    </r>
    <r>
      <rPr>
        <vertAlign val="superscript"/>
        <sz val="11"/>
        <rFont val="Calibri"/>
        <family val="2"/>
      </rPr>
      <t xml:space="preserve"> r</t>
    </r>
    <r>
      <rPr>
        <sz val="11"/>
        <rFont val="Calibri"/>
        <family val="2"/>
      </rPr>
      <t/>
    </r>
  </si>
  <si>
    <r>
      <t>May</t>
    </r>
    <r>
      <rPr>
        <vertAlign val="superscript"/>
        <sz val="11"/>
        <rFont val="Calibri"/>
        <family val="2"/>
      </rPr>
      <t xml:space="preserve"> r</t>
    </r>
    <r>
      <rPr>
        <sz val="11"/>
        <rFont val="Calibri"/>
        <family val="2"/>
      </rPr>
      <t/>
    </r>
  </si>
  <si>
    <t>Deflators (annualized)</t>
  </si>
  <si>
    <t>these are measured as percentage point diffs</t>
  </si>
  <si>
    <t>state local</t>
  </si>
  <si>
    <t>state + local</t>
  </si>
  <si>
    <t>June</t>
  </si>
  <si>
    <t>July</t>
  </si>
  <si>
    <t>Consumption (CBO)</t>
  </si>
  <si>
    <t>FIM consumption deflator forecast</t>
  </si>
  <si>
    <t>consumption deflator add factor</t>
  </si>
  <si>
    <t xml:space="preserve">2024 Q1 </t>
  </si>
  <si>
    <t xml:space="preserve">2026 Q1 </t>
  </si>
  <si>
    <t>lasgova@usecon</t>
  </si>
  <si>
    <t>Federal + State Personal</t>
  </si>
  <si>
    <t>Federal + State Social Insurance</t>
  </si>
  <si>
    <t>Supply side ira</t>
  </si>
  <si>
    <r>
      <t xml:space="preserve">Methodology: Assume75% of increase over 2019 levels is due to legislation. </t>
    </r>
    <r>
      <rPr>
        <sz val="11"/>
        <color theme="1"/>
        <rFont val="Arial"/>
        <family val="2"/>
      </rPr>
      <t xml:space="preserve">	USE GS estimates (read from chart) 		https://publishing.gs.com/content/research/en/reports/2023/08/18/f5dffb24-0fd6-48a4-8b5b-724c33d4268b.html	     Add on for equipment using Goldman Sachs estimate - assume delay is 3 quarters		   Assume levels off after Q2 of 2025			    Note that an MPC of (1, 0, 0) is applied to all of the values in the code													
												</t>
    </r>
    <r>
      <rPr>
        <b/>
        <sz val="11"/>
        <color theme="1"/>
        <rFont val="Arial"/>
        <family val="2"/>
      </rPr>
      <t xml:space="preserve">											
																							</t>
    </r>
  </si>
  <si>
    <t>2024 Q1 initial update</t>
  </si>
  <si>
    <t>2024 Q1 first revision</t>
  </si>
  <si>
    <t>We haven't put in the CBO rate because the CBO assumes the TCJA expires</t>
  </si>
  <si>
    <t>Customs</t>
  </si>
  <si>
    <t>Excise</t>
  </si>
  <si>
    <t>Corporate Profits with IVA and CCAdj</t>
  </si>
  <si>
    <t>Taxable Personal Income</t>
  </si>
  <si>
    <t>Judgmental Growth Rate</t>
  </si>
  <si>
    <t>*Note from Lorae June 2024: income taxes are up by 200ish</t>
  </si>
  <si>
    <t xml:space="preserve"> Corporate Profits</t>
  </si>
  <si>
    <t>Personal Consumption Expenditures</t>
  </si>
  <si>
    <t>Federal government consumption expenditures</t>
  </si>
  <si>
    <t>State and local government consumption expenditures</t>
  </si>
  <si>
    <t>Real Personal consumption expenditures, chained 2017 dollars</t>
  </si>
  <si>
    <t>Real Federal government consumption expenditures, chained 2017 dollars</t>
  </si>
  <si>
    <t>Real State and local government consumption expenditures, chained 2017</t>
  </si>
  <si>
    <t>Dec.</t>
  </si>
  <si>
    <t>Percentage point</t>
  </si>
  <si>
    <t>percent</t>
  </si>
  <si>
    <t xml:space="preserve">2021 Q1 </t>
  </si>
  <si>
    <t xml:space="preserve">2022 Q1 </t>
  </si>
  <si>
    <t xml:space="preserve">2023 Q1 </t>
  </si>
  <si>
    <r>
      <t>Nov.</t>
    </r>
    <r>
      <rPr>
        <vertAlign val="superscript"/>
        <sz val="11"/>
        <rFont val="Calibri"/>
        <family val="2"/>
      </rPr>
      <t xml:space="preserve"> </t>
    </r>
  </si>
  <si>
    <t>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t>
  </si>
  <si>
    <t xml:space="preserve">PCE deflator (2.8.4 top line) </t>
  </si>
  <si>
    <t>Supply side Ira</t>
  </si>
  <si>
    <t>Goldman used to say 3x but I am shaving it down some until we see some evidence.</t>
  </si>
  <si>
    <t>Real 2022 Dollars</t>
  </si>
  <si>
    <t>equipment spending starts 2 years later, is equal to 2 times investment, and takes 4 quarters</t>
  </si>
  <si>
    <t>Read of GS Graph</t>
  </si>
  <si>
    <t>Average by quarter</t>
  </si>
  <si>
    <t xml:space="preserve">structures </t>
  </si>
  <si>
    <t>equipment</t>
  </si>
  <si>
    <t>adjust to match goldman timing a bit better</t>
  </si>
  <si>
    <t>Total spending $2022</t>
  </si>
  <si>
    <t>Convert to $2017 $</t>
  </si>
  <si>
    <t>FRED Graph Observations</t>
  </si>
  <si>
    <t>Federal Reserve Economic Data</t>
  </si>
  <si>
    <t>Link: https://fred.stlouisfed.org</t>
  </si>
  <si>
    <t>Help: https://fredhelp.stlouisfed.org</t>
  </si>
  <si>
    <t xml:space="preserve">This is the deflator Treausry suggest. I don't know what GS used. </t>
  </si>
  <si>
    <t>Economic Research Division</t>
  </si>
  <si>
    <t>https://home.treasury.gov/news/featured-stories/unpacking-the-boom-in-us-construction-of-manufacturing-facilities</t>
  </si>
  <si>
    <t>WPUID612</t>
  </si>
  <si>
    <t>Producer Price Index by Commodity: Intermediate Demand by Commodity Type: Materials and Components for Construction, Index 1982=100, Annual, Not Seasonally Adjusted</t>
  </si>
  <si>
    <t>Frequency: Annual</t>
  </si>
  <si>
    <t xml:space="preserve">This graph can be found in the FIM folder in a pdf called US Economics Analyst_mid-Year Capex OUtlook </t>
  </si>
  <si>
    <t>Old quarterly real tax change</t>
  </si>
  <si>
    <t>Unemployment Insurance Add Factor</t>
  </si>
  <si>
    <t>Federal Purchases Add Factor</t>
  </si>
  <si>
    <t>We pull in the deflators in Table 1 and adjust them in Table 2. Table 2 is read into the overrides sheet and used in the forecast. Correction: I don't think table 2 is used for anything?</t>
  </si>
  <si>
    <t xml:space="preserve">to do </t>
  </si>
  <si>
    <t>This sheet allows us to see how the raw inputs to the FIM have changed; it can help us parse out which changes to our forecast are due to BEA data revisions and which are due to our own formulas. (We don't do this.)</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</si>
  <si>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 Make sure to close the forecast spreadsheet before running!</t>
    </r>
  </si>
  <si>
    <t>April</t>
  </si>
  <si>
    <t>Oct. r</t>
  </si>
  <si>
    <t>January 2025 CBO Unemployment Rate Projection</t>
  </si>
  <si>
    <t>January 2025 CBO Federal Purchases Growth</t>
  </si>
  <si>
    <t>January 2025 CBO Projection of State and Local purchases</t>
  </si>
  <si>
    <t>January 2025 CBO State and Local Purchases Growth</t>
  </si>
  <si>
    <t>January 2025 CBO Projection of Federal Medicaid Outlays</t>
  </si>
  <si>
    <t>January 2025 CBO Annual Medicare Spending</t>
  </si>
  <si>
    <t>January 2025 CBO Projections of Federal Taxes (Fiscal Years)</t>
  </si>
  <si>
    <t>January 2025 CBO projection of the annual tax base</t>
  </si>
  <si>
    <t>January 2025 CBO Tax Base Quarterly Projections</t>
  </si>
  <si>
    <t>January 2025 CBO economic release</t>
  </si>
  <si>
    <t>Pull updated CBO projections data</t>
  </si>
  <si>
    <t>You may need to download the latest files at:           
https://www.cbo.gov/data/budget-economic-data    
We pull data from the following sheets: "10-Year Budget Projections", "Economic Projections", and "Revenue Projections, by Category"</t>
  </si>
  <si>
    <t>lalgova@usecon</t>
  </si>
  <si>
    <t>Before the BEA releases data on a quarter, we can use their monthly estimates of "Effects of Selected Federal Pandemic Response Programs on Personal Income" to inform our assumptions about the quarter. Don't forget another PCE at the bottom! Drag over cells in yellow before copy pasting (the yellow cell should be the first forecast).</t>
  </si>
  <si>
    <t>Growth rate of deflators</t>
  </si>
  <si>
    <t>II growth rate</t>
  </si>
  <si>
    <t>Copy paste the forecast table from the most recent update (Past Values Only) into the "Previous Forecast" table. Keep the formulas in the first table so the data from Haver can be pulled in.</t>
  </si>
  <si>
    <t>Update the table in the Federal and State Purchases sheet by searching the lasgova, lalgova, and cpgs Haver codes, and entering in the most recent month of data. Note: We don't really look at this</t>
  </si>
  <si>
    <t>Unified and January 2025 CBO Projection of Social Security</t>
  </si>
  <si>
    <t xml:space="preserve">NIPA Social Security Fiscal Year Averages </t>
  </si>
  <si>
    <t xml:space="preserve">NIPA on average is 97.9% of Unified. When CBO comes out, check to make sure that we look good relative to CBO (in terms of this share). </t>
  </si>
  <si>
    <t>Drag forward Construction (cpgs), Federal Corporate Income Taxes (gfrcp), and State Corporate Income Taxes (gsrcp) if initial revision (data comes in one month late) ex: February, May, August, November</t>
  </si>
  <si>
    <t>Jan. r</t>
  </si>
  <si>
    <t>Feb. r</t>
  </si>
  <si>
    <t>Social Security linear growth factor (hardcoded-judgemental)</t>
  </si>
  <si>
    <t>Social Security COLA adjustment (one time percentage added to total benefits)</t>
  </si>
  <si>
    <t>federal purchases deflator add factor</t>
  </si>
  <si>
    <t xml:space="preserve">Real Federal Purchases Growth </t>
  </si>
  <si>
    <t>Uncertainty</t>
  </si>
  <si>
    <t>uncertainty</t>
  </si>
  <si>
    <t>Nov. r</t>
  </si>
  <si>
    <t>Dec. r</t>
  </si>
  <si>
    <t>March r</t>
  </si>
  <si>
    <t>April r</t>
  </si>
  <si>
    <t>Total SNAP (billions)</t>
  </si>
  <si>
    <t>total snap benefits fy 2023 (bil)</t>
  </si>
  <si>
    <t>usda (bil)</t>
  </si>
  <si>
    <t>total snap benefits fy 2022 (bil)</t>
  </si>
  <si>
    <t>Change to Total SNAP due to OBBBA (billions)</t>
  </si>
  <si>
    <t>SNAP due to COVID and Thrifty Food Plan (billions)</t>
  </si>
  <si>
    <t>Individual Income add factor due to OBBBA</t>
  </si>
  <si>
    <t>Individual Income from CBO</t>
  </si>
  <si>
    <t>Individual Income including OBBBA add factor</t>
  </si>
  <si>
    <t>Hutchins Center calculated Federal Purchases Growth</t>
  </si>
  <si>
    <t>January 2025 CBO Projection of Federal Purchases (billions)</t>
  </si>
  <si>
    <t>add factor due to OBBBA (billions)</t>
  </si>
  <si>
    <t>2025 Q2 Second Revision (June) - post changes</t>
  </si>
  <si>
    <t>Corporate Taxes add factor due to OBBBA</t>
  </si>
  <si>
    <t>Corporate Taxes including OBBBA add factor</t>
  </si>
  <si>
    <t>Personal income add factor due to OBBBA</t>
  </si>
  <si>
    <t xml:space="preserve">   Corporate taxes add factor due to OBBBA</t>
  </si>
  <si>
    <t>Do we do this?</t>
  </si>
  <si>
    <t>Done?</t>
  </si>
  <si>
    <t>2025 Q3 Initial Release (July)</t>
  </si>
  <si>
    <t>name</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</si>
  <si>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</si>
  <si>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</si>
  <si>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</si>
  <si>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</si>
  <si>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</si>
  <si>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</si>
  <si>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</si>
  <si>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</si>
  <si>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</si>
  <si>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</si>
  <si>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</si>
  <si>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</si>
  <si>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</si>
  <si>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</si>
  <si>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</si>
  <si>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</si>
  <si>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</si>
  <si>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</si>
  <si>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</si>
  <si>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</si>
  <si>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</si>
  <si>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</si>
  <si>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</si>
  <si>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</si>
  <si>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</si>
  <si>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</si>
  <si>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</si>
  <si>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</si>
  <si>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</si>
  <si>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</si>
  <si>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</si>
  <si>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</si>
  <si>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</si>
  <si>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</si>
  <si>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</si>
  <si>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</si>
  <si>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</si>
  <si>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</si>
  <si>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</si>
  <si>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</si>
  <si>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</si>
  <si>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</si>
  <si>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</si>
  <si>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</si>
  <si>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</si>
  <si>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</si>
  <si>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</si>
  <si>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</si>
  <si>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</si>
  <si>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</si>
  <si>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</si>
  <si>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</si>
  <si>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</si>
  <si>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</si>
  <si>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</si>
  <si>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</si>
  <si>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</si>
  <si>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</si>
  <si>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</si>
  <si>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</si>
  <si>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</si>
  <si>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</si>
  <si>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</si>
  <si>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</si>
  <si>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</si>
  <si>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</si>
  <si>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</si>
  <si>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</si>
  <si>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</si>
  <si>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</si>
  <si>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</si>
  <si>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</si>
  <si>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</si>
  <si>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</si>
  <si>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</si>
  <si>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</si>
  <si>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</si>
  <si>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</si>
  <si>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</si>
  <si>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</si>
  <si>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</si>
  <si>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</si>
  <si>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</si>
  <si>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</si>
  <si>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</si>
  <si>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</si>
  <si>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</si>
  <si>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</si>
  <si>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</si>
  <si>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</si>
  <si>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</si>
  <si>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</si>
  <si>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</si>
  <si>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</si>
  <si>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</si>
  <si>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</si>
  <si>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</si>
  <si>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</si>
  <si>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</si>
  <si>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</si>
  <si>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</si>
  <si>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</si>
  <si>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</si>
  <si>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</si>
  <si>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</si>
  <si>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</si>
  <si>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</si>
  <si>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</si>
  <si>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</si>
  <si>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</si>
  <si>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</si>
  <si>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</si>
  <si>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</si>
  <si>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</si>
  <si>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</si>
  <si>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</si>
  <si>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</si>
  <si>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</si>
  <si>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</si>
  <si>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</si>
  <si>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</si>
  <si>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</si>
  <si>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</si>
  <si>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</si>
  <si>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</si>
  <si>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</si>
  <si>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</si>
  <si>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</si>
  <si>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</si>
  <si>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</si>
  <si>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</si>
  <si>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</si>
  <si>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</si>
  <si>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</si>
  <si>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</si>
  <si>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</si>
  <si>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</si>
  <si>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</si>
  <si>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</si>
  <si>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</si>
  <si>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</si>
  <si>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</si>
  <si>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</si>
  <si>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</si>
  <si>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</si>
  <si>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</si>
  <si>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</si>
  <si>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</si>
  <si>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</si>
  <si>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</si>
  <si>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</si>
  <si>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</si>
  <si>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</si>
  <si>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</si>
  <si>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</si>
  <si>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</si>
  <si>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</si>
  <si>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</si>
  <si>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</si>
  <si>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</si>
  <si>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</si>
  <si>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</si>
  <si>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</si>
  <si>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</si>
  <si>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</si>
  <si>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</si>
  <si>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</si>
  <si>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</si>
  <si>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</si>
  <si>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</si>
  <si>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</si>
  <si>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</si>
  <si>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</si>
  <si>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</si>
  <si>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</si>
  <si>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</si>
  <si>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</si>
  <si>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</si>
  <si>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</si>
  <si>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</si>
  <si>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</si>
  <si>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</si>
  <si>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</si>
  <si>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</si>
  <si>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</si>
  <si>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</si>
  <si>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</si>
  <si>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</si>
  <si>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</si>
  <si>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</si>
  <si>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</si>
  <si>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</si>
  <si>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</si>
  <si>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</si>
  <si>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</si>
  <si>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</si>
  <si>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</si>
  <si>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</si>
  <si>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</si>
  <si>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</si>
  <si>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</si>
  <si>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</si>
  <si>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</si>
  <si>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</si>
  <si>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</si>
  <si>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</si>
  <si>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</si>
  <si>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</si>
  <si>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</si>
  <si>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</si>
  <si>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</si>
  <si>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</si>
  <si>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</si>
  <si>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</si>
  <si>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</si>
  <si>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</si>
  <si>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</si>
  <si>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</si>
  <si>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</si>
  <si>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</si>
  <si>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</si>
  <si>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</si>
  <si>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gdp</t>
  </si>
  <si>
    <t>gdph</t>
  </si>
  <si>
    <t>jgdp</t>
  </si>
  <si>
    <t>c</t>
  </si>
  <si>
    <t>ch</t>
  </si>
  <si>
    <t>jc</t>
  </si>
  <si>
    <t>jgf</t>
  </si>
  <si>
    <t>jgs</t>
  </si>
  <si>
    <t>jgse</t>
  </si>
  <si>
    <t>jgsi</t>
  </si>
  <si>
    <t>yptmr</t>
  </si>
  <si>
    <t>yptmd</t>
  </si>
  <si>
    <t>yptu</t>
  </si>
  <si>
    <t>gtfp</t>
  </si>
  <si>
    <t>ypog</t>
  </si>
  <si>
    <t>yptx</t>
  </si>
  <si>
    <t>ytpi</t>
  </si>
  <si>
    <t>yctlg</t>
  </si>
  <si>
    <t>g</t>
  </si>
  <si>
    <t>grcsi</t>
  </si>
  <si>
    <t>dc</t>
  </si>
  <si>
    <t>gf</t>
  </si>
  <si>
    <t>gs</t>
  </si>
  <si>
    <t>gfh</t>
  </si>
  <si>
    <t>gsh</t>
  </si>
  <si>
    <t>gfrpt</t>
  </si>
  <si>
    <t>gfrpri</t>
  </si>
  <si>
    <t>gfrcp</t>
  </si>
  <si>
    <t>gfrs</t>
  </si>
  <si>
    <t>gftfp</t>
  </si>
  <si>
    <t>gfeg</t>
  </si>
  <si>
    <t>gsrpt</t>
  </si>
  <si>
    <t>gsrpri</t>
  </si>
  <si>
    <t>gsrcp</t>
  </si>
  <si>
    <t>gsrs</t>
  </si>
  <si>
    <t>gstfp</t>
  </si>
  <si>
    <t>gset</t>
  </si>
  <si>
    <t>gfeghhx</t>
  </si>
  <si>
    <t>gfeghdx</t>
  </si>
  <si>
    <t>gfeigx</t>
  </si>
  <si>
    <t>gfsub</t>
  </si>
  <si>
    <t>gssub</t>
  </si>
  <si>
    <t>gsub</t>
  </si>
  <si>
    <t>gftfpe</t>
  </si>
  <si>
    <t>gftfpr</t>
  </si>
  <si>
    <t>gftfpp</t>
  </si>
  <si>
    <t>gftfpv</t>
  </si>
  <si>
    <t>gfsubp</t>
  </si>
  <si>
    <t>gfsubg</t>
  </si>
  <si>
    <t>gfsube</t>
  </si>
  <si>
    <t>gfsubs</t>
  </si>
  <si>
    <t>gfsubf</t>
  </si>
  <si>
    <t>gfsubv</t>
  </si>
  <si>
    <t>gfsubk</t>
  </si>
  <si>
    <t>gfegc</t>
  </si>
  <si>
    <t>gfege</t>
  </si>
  <si>
    <t>gfegv</t>
  </si>
  <si>
    <t>yptue</t>
  </si>
  <si>
    <t>yptup</t>
  </si>
  <si>
    <t>yptuc</t>
  </si>
  <si>
    <t>gftfpu</t>
  </si>
  <si>
    <t>yptub</t>
  </si>
  <si>
    <t>yptol</t>
  </si>
  <si>
    <t>gfctp</t>
  </si>
  <si>
    <t>gftffx</t>
  </si>
  <si>
    <t>cpiu</t>
  </si>
  <si>
    <t>pcw</t>
  </si>
  <si>
    <t>gdppothq</t>
  </si>
  <si>
    <t>gdppotq</t>
  </si>
  <si>
    <t>recessq</t>
  </si>
  <si>
    <t>lasgova</t>
  </si>
  <si>
    <t>lalgova</t>
  </si>
  <si>
    <t>cpgs</t>
  </si>
  <si>
    <t>jgdp_growth</t>
  </si>
  <si>
    <t>jc_growth</t>
  </si>
  <si>
    <t>jgf_growth</t>
  </si>
  <si>
    <t>jgs_growth</t>
  </si>
  <si>
    <t>jgse_growth</t>
  </si>
  <si>
    <t>jgsi_growth</t>
  </si>
  <si>
    <t>ylwsd</t>
  </si>
  <si>
    <t>yop</t>
  </si>
  <si>
    <t>yri</t>
  </si>
  <si>
    <t>ypiar</t>
  </si>
  <si>
    <t>ycpd</t>
  </si>
  <si>
    <t>gfsubr</t>
  </si>
  <si>
    <t>gfsubd</t>
  </si>
  <si>
    <t>gftfbdx</t>
  </si>
  <si>
    <t>yptocm</t>
  </si>
  <si>
    <t>May r</t>
  </si>
  <si>
    <t>June p</t>
  </si>
  <si>
    <t>add 20</t>
  </si>
  <si>
    <t>minus 6</t>
  </si>
  <si>
    <r>
      <t>Social security</t>
    </r>
    <r>
      <rPr>
        <vertAlign val="superscript"/>
        <sz val="11"/>
        <rFont val="Calibri"/>
        <family val="2"/>
        <scheme val="minor"/>
      </rPr>
      <t xml:space="preserve"> 2</t>
    </r>
  </si>
  <si>
    <t>everything else "we've accounted for in detail" (pandemic) = rebate checks (ARP and non-ARP) + ARP other direct aid + SNAP + PPP to NPISH + Social Security + IRA</t>
  </si>
  <si>
    <t>underlying + other - ss (june)</t>
  </si>
  <si>
    <t xml:space="preserve">Q2 </t>
  </si>
  <si>
    <t>OLD</t>
  </si>
  <si>
    <t>NEW</t>
  </si>
  <si>
    <t>NIPA</t>
  </si>
  <si>
    <t>delta</t>
  </si>
  <si>
    <t>diff in delta</t>
  </si>
  <si>
    <t>delta = NEW - OLD</t>
  </si>
  <si>
    <t>Underlying + leg - SS</t>
  </si>
  <si>
    <t>SS</t>
  </si>
  <si>
    <t>underlying + leg</t>
  </si>
  <si>
    <t>OLD METHOD</t>
  </si>
  <si>
    <t>OBBBA</t>
  </si>
  <si>
    <t>Customs duties</t>
  </si>
  <si>
    <t>Excise and other</t>
  </si>
  <si>
    <t>gfrid</t>
  </si>
  <si>
    <t>gfrie+gfrio</t>
  </si>
  <si>
    <t xml:space="preserve">Personal Income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</si>
</sst>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0.000%"/>
    <numFmt numFmtId="165" formatCode="#,##0.0"/>
    <numFmt numFmtId="166" formatCode="yyyy\-mm\-dd"/>
    <numFmt numFmtId="167" formatCode="0.0%"/>
    <numFmt numFmtId="168" formatCode="0.0"/>
    <numFmt numFmtId="169" formatCode="0.000"/>
    <numFmt numFmtId="170" formatCode="#,##0.0000"/>
    <numFmt numFmtId="171" formatCode="#,##0.000"/>
    <numFmt numFmtId="172" formatCode="0.00000000000000"/>
    <numFmt numFmtId="173" formatCode="0.0000000000000"/>
    <numFmt numFmtId="174" formatCode="[$-409]mmm\-yy;@"/>
    <numFmt numFmtId="175" formatCode="0_);\(0\)"/>
    <numFmt numFmtId="176" formatCode="_(* #,##0_);_(* \(#,##0\);_(* &quot;-&quot;??_);_(@_)"/>
    <numFmt numFmtId="177" formatCode="0.0000"/>
    <numFmt numFmtId="178" formatCode="0.0000%"/>
  </numFmts>
  <fonts count="71" x14ac:knownFonts="1">
    <font>
      <sz val="11"/>
      <color theme="1"/>
      <name val="Calibri"/>
      <family val="2"/>
      <scheme val="minor"/>
    </font>
    <font>
      <sz val="11"/>
      <color theme="1"/>
      <name val="Calibri"/>
      <family val="2"/>
    </font>
    <font>
      <b/>
      <sz val="11"/>
      <color theme="1"/>
      <name val="Calibri"/>
      <family val="2"/>
    </font>
    <font>
      <sz val="11"/>
      <color theme="1"/>
      <name val="Arial"/>
      <family val="2"/>
    </font>
    <font>
      <i/>
      <sz val="11"/>
      <color theme="1"/>
      <name val="Calibri"/>
      <family val="2"/>
    </font>
    <font>
      <b/>
      <i/>
      <sz val="11"/>
      <color theme="1"/>
      <name val="Calibri"/>
      <family val="2"/>
    </font>
    <font>
      <b/>
      <i/>
      <sz val="11"/>
      <color rgb="FF000000"/>
      <name val="Calibri"/>
      <family val="2"/>
    </font>
    <font>
      <sz val="11"/>
      <color rgb="FF000000"/>
      <name val="Calibri"/>
      <family val="2"/>
    </font>
    <font>
      <b/>
      <sz val="11"/>
      <color rgb="FF000000"/>
      <name val="Calibri"/>
      <family val="2"/>
    </font>
    <font>
      <sz val="11"/>
      <color rgb="FF44546A"/>
      <name val="Arial"/>
      <family val="2"/>
    </font>
    <font>
      <sz val="7"/>
      <color theme="1"/>
      <name val="Segoe UI"/>
      <family val="2"/>
    </font>
    <font>
      <u/>
      <sz val="11"/>
      <color theme="10"/>
      <name val="Calibri"/>
      <family val="2"/>
    </font>
    <font>
      <b/>
      <sz val="11"/>
      <color theme="1"/>
      <name val="Arial"/>
      <family val="2"/>
    </font>
    <font>
      <u/>
      <sz val="11"/>
      <color theme="10"/>
      <name val="Calibri"/>
      <family val="2"/>
      <scheme val="minor"/>
    </font>
    <font>
      <b/>
      <sz val="8"/>
      <color rgb="FF4F4F4F"/>
      <name val="Segoe UI"/>
      <family val="2"/>
    </font>
    <font>
      <b/>
      <sz val="16"/>
      <color theme="1"/>
      <name val="Calibri"/>
      <family val="2"/>
    </font>
    <font>
      <sz val="11"/>
      <color theme="1"/>
      <name val="Calibri"/>
      <family val="2"/>
    </font>
    <font>
      <sz val="11"/>
      <color theme="5" tint="0.79998168889431442"/>
      <name val="Calibri"/>
      <family val="2"/>
    </font>
    <font>
      <b/>
      <sz val="11"/>
      <color rgb="FF4F4F4F"/>
      <name val="Segoe UI"/>
      <family val="2"/>
    </font>
    <font>
      <sz val="12"/>
      <color theme="1"/>
      <name val="Calibri"/>
      <family val="2"/>
    </font>
    <font>
      <b/>
      <sz val="12"/>
      <color theme="1"/>
      <name val="Calibri"/>
      <family val="2"/>
    </font>
    <font>
      <i/>
      <sz val="11"/>
      <color theme="1"/>
      <name val="Arial"/>
      <family val="2"/>
    </font>
    <font>
      <sz val="11"/>
      <color rgb="FFFF0000"/>
      <name val="Arial"/>
      <family val="2"/>
    </font>
    <font>
      <sz val="11"/>
      <color rgb="FF393B3E"/>
      <name val="Arial"/>
      <family val="2"/>
    </font>
    <font>
      <b/>
      <i/>
      <sz val="11"/>
      <color theme="1"/>
      <name val="Arial"/>
      <family val="2"/>
    </font>
    <font>
      <sz val="11"/>
      <color rgb="FF000000"/>
      <name val="Arial"/>
      <family val="2"/>
    </font>
    <font>
      <sz val="7"/>
      <color rgb="FF242424"/>
      <name val="Segoe UI"/>
      <family val="2"/>
    </font>
    <font>
      <b/>
      <i/>
      <sz val="10"/>
      <color theme="1"/>
      <name val="Arial"/>
      <family val="2"/>
    </font>
    <font>
      <b/>
      <sz val="10"/>
      <color theme="1"/>
      <name val="Arial"/>
      <family val="2"/>
    </font>
    <font>
      <b/>
      <sz val="9"/>
      <color theme="1"/>
      <name val="Arial"/>
      <family val="2"/>
    </font>
    <font>
      <sz val="11"/>
      <color indexed="8"/>
      <name val="Arial"/>
      <family val="2"/>
    </font>
    <font>
      <sz val="11"/>
      <color rgb="FF0070C0"/>
      <name val="Arial"/>
      <family val="2"/>
    </font>
    <font>
      <sz val="11"/>
      <color theme="8" tint="-0.249977111117893"/>
      <name val="Arial"/>
      <family val="2"/>
    </font>
    <font>
      <sz val="10"/>
      <color theme="1"/>
      <name val="Arial"/>
      <family val="2"/>
    </font>
    <font>
      <b/>
      <sz val="11"/>
      <color rgb="FF000000"/>
      <name val="Arial"/>
      <family val="2"/>
    </font>
    <font>
      <b/>
      <sz val="11"/>
      <color theme="0"/>
      <name val="Arial"/>
      <family val="2"/>
    </font>
    <font>
      <i/>
      <sz val="11"/>
      <color rgb="FF000000"/>
      <name val="Arial"/>
      <family val="2"/>
    </font>
    <font>
      <sz val="11"/>
      <color rgb="FFFF0000"/>
      <name val="Calibri"/>
      <family val="2"/>
    </font>
    <font>
      <sz val="11"/>
      <color rgb="FF242424"/>
      <name val="Arial"/>
      <family val="2"/>
    </font>
    <font>
      <sz val="10"/>
      <color theme="1"/>
      <name val="Calibri"/>
      <family val="2"/>
    </font>
    <font>
      <i/>
      <sz val="10"/>
      <color theme="1"/>
      <name val="Arial"/>
      <family val="2"/>
    </font>
    <font>
      <sz val="11"/>
      <color theme="3"/>
      <name val="Arial"/>
      <family val="2"/>
    </font>
    <font>
      <sz val="11"/>
      <color theme="1"/>
      <name val="Calibri Light"/>
      <family val="2"/>
    </font>
    <font>
      <sz val="11"/>
      <color rgb="FF1F497D"/>
      <name val="Arial"/>
      <family val="2"/>
    </font>
    <font>
      <sz val="9"/>
      <color theme="1"/>
      <name val="Arial"/>
      <family val="2"/>
    </font>
    <font>
      <sz val="9"/>
      <color rgb="FF000000"/>
      <name val="Arial"/>
      <family val="2"/>
    </font>
    <font>
      <sz val="8.5"/>
      <color rgb="FF000000"/>
      <name val="Arial"/>
      <family val="2"/>
    </font>
    <font>
      <sz val="8.5"/>
      <color theme="1"/>
      <name val="Arial"/>
      <family val="2"/>
    </font>
    <font>
      <u/>
      <sz val="9"/>
      <color theme="10"/>
      <name val="Arial"/>
      <family val="2"/>
    </font>
    <font>
      <sz val="8"/>
      <color theme="1"/>
      <name val="Calibri"/>
      <family val="2"/>
    </font>
    <font>
      <sz val="9"/>
      <color theme="1"/>
      <name val="Calibri"/>
      <family val="2"/>
    </font>
    <font>
      <sz val="11"/>
      <color rgb="FF333333"/>
      <name val="Arial"/>
      <family val="2"/>
    </font>
    <font>
      <sz val="16"/>
      <color theme="1"/>
      <name val="Arial"/>
      <family val="2"/>
    </font>
    <font>
      <sz val="8"/>
      <color rgb="FF000000"/>
      <name val="Arial"/>
      <family val="2"/>
    </font>
    <font>
      <b/>
      <i/>
      <sz val="8"/>
      <color rgb="FF980000"/>
      <name val="Arial"/>
      <family val="2"/>
    </font>
    <font>
      <sz val="10"/>
      <color rgb="FF000000"/>
      <name val="Arial"/>
      <family val="2"/>
    </font>
    <font>
      <sz val="10"/>
      <color rgb="FF980000"/>
      <name val="Arial"/>
      <family val="2"/>
    </font>
    <font>
      <b/>
      <i/>
      <sz val="8"/>
      <color rgb="FF000000"/>
      <name val="Arial"/>
      <family val="2"/>
    </font>
    <font>
      <sz val="11"/>
      <color rgb="FF980000"/>
      <name val="Calibri"/>
      <family val="2"/>
    </font>
    <font>
      <b/>
      <sz val="11"/>
      <color theme="1"/>
      <name val="Calibri"/>
      <family val="2"/>
    </font>
    <font>
      <vertAlign val="superscript"/>
      <sz val="11"/>
      <color theme="1"/>
      <name val="Calibri"/>
      <family val="2"/>
      <scheme val="minor"/>
    </font>
    <font>
      <vertAlign val="superscript"/>
      <sz val="11"/>
      <name val="Arial"/>
      <family val="2"/>
    </font>
    <font>
      <b/>
      <sz val="11"/>
      <color theme="1"/>
      <name val="Calibri"/>
      <family val="2"/>
      <scheme val="minor"/>
    </font>
    <font>
      <b/>
      <sz val="11"/>
      <name val="Calibri"/>
      <family val="2"/>
      <scheme val="minor"/>
    </font>
    <font>
      <sz val="11"/>
      <name val="Calibri"/>
      <family val="2"/>
      <scheme val="minor"/>
    </font>
    <font>
      <vertAlign val="superscript"/>
      <sz val="11"/>
      <name val="Calibri"/>
      <family val="2"/>
    </font>
    <font>
      <sz val="11"/>
      <name val="Calibri"/>
      <family val="2"/>
    </font>
    <font>
      <sz val="8.5"/>
      <name val="Arial"/>
      <family val="2"/>
    </font>
    <font>
      <sz val="11"/>
      <color rgb="FF000000"/>
      <name val="Calibri"/>
      <family val="2"/>
      <scheme val="minor"/>
    </font>
    <font>
      <vertAlign val="superscript"/>
      <sz val="11"/>
      <name val="Calibri"/>
      <family val="2"/>
      <scheme val="minor"/>
    </font>
    <font>
      <sz val="8"/>
      <name val="Calibri"/>
      <family val="2"/>
      <scheme val="minor"/>
    </font>
  </fonts>
  <fills count="50">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2CC"/>
        <bgColor rgb="FF000000"/>
      </patternFill>
    </fill>
    <fill>
      <patternFill patternType="solid">
        <fgColor rgb="FFD9E1F2"/>
        <bgColor rgb="FF000000"/>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C6E0B4"/>
        <bgColor indexed="64"/>
      </patternFill>
    </fill>
    <fill>
      <patternFill patternType="solid">
        <fgColor theme="9" tint="0.39997558519241921"/>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rgb="FFFF0000"/>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rgb="FFFDFDCB"/>
        <bgColor rgb="FF000000"/>
      </patternFill>
    </fill>
    <fill>
      <patternFill patternType="solid">
        <fgColor theme="8" tint="0.39997558519241921"/>
        <bgColor indexed="64"/>
      </patternFill>
    </fill>
    <fill>
      <patternFill patternType="solid">
        <fgColor theme="2"/>
        <bgColor indexed="64"/>
      </patternFill>
    </fill>
    <fill>
      <patternFill patternType="solid">
        <fgColor rgb="FF00B0F0"/>
        <bgColor indexed="64"/>
      </patternFill>
    </fill>
    <fill>
      <patternFill patternType="solid">
        <fgColor theme="5"/>
        <bgColor indexed="64"/>
      </patternFill>
    </fill>
    <fill>
      <patternFill patternType="solid">
        <fgColor rgb="FFE7E6E6"/>
      </patternFill>
    </fill>
    <fill>
      <patternFill patternType="solid">
        <fgColor rgb="FF92D050"/>
        <bgColor indexed="64"/>
      </patternFill>
    </fill>
    <fill>
      <patternFill patternType="solid">
        <fgColor rgb="FF00B050"/>
        <bgColor indexed="64"/>
      </patternFill>
    </fill>
    <fill>
      <patternFill patternType="solid">
        <fgColor rgb="FFCC66FF"/>
        <bgColor indexed="64"/>
      </patternFill>
    </fill>
    <fill>
      <patternFill patternType="solid">
        <fgColor theme="7" tint="0.59999389629810485"/>
        <bgColor indexed="64"/>
      </patternFill>
    </fill>
    <fill>
      <patternFill patternType="solid">
        <fgColor rgb="FF00CC99"/>
        <bgColor indexed="64"/>
      </patternFill>
    </fill>
    <fill>
      <patternFill patternType="solid">
        <fgColor theme="0" tint="-0.14999847407452621"/>
        <bgColor indexed="64"/>
      </patternFill>
    </fill>
    <fill>
      <patternFill patternType="solid">
        <fgColor theme="7"/>
        <bgColor indexed="64"/>
      </patternFill>
    </fill>
    <fill>
      <patternFill patternType="solid">
        <fgColor rgb="FFFFFFFF"/>
        <bgColor rgb="FFFFFFFF"/>
      </patternFill>
    </fill>
    <fill>
      <patternFill patternType="solid">
        <fgColor rgb="FFFFEFF5"/>
        <bgColor indexed="64"/>
      </patternFill>
    </fill>
    <fill>
      <patternFill patternType="solid">
        <fgColor rgb="FFA9D08E"/>
        <bgColor rgb="FFA9D08E"/>
      </patternFill>
    </fill>
    <fill>
      <patternFill patternType="solid">
        <fgColor rgb="FFFADCBC"/>
        <bgColor indexed="64"/>
      </patternFill>
    </fill>
    <fill>
      <patternFill patternType="solid">
        <fgColor rgb="FFB4C6E7"/>
        <bgColor rgb="FFB4C6E7"/>
      </patternFill>
    </fill>
    <fill>
      <patternFill patternType="solid">
        <fgColor rgb="FFBF8F00"/>
        <bgColor rgb="FFBF8F00"/>
      </patternFill>
    </fill>
    <fill>
      <patternFill patternType="solid">
        <fgColor theme="9"/>
        <bgColor theme="9"/>
      </patternFill>
    </fill>
    <fill>
      <patternFill patternType="solid">
        <fgColor rgb="FFFFC000"/>
        <bgColor rgb="FFFFC000"/>
      </patternFill>
    </fill>
    <fill>
      <patternFill patternType="solid">
        <fgColor rgb="FFB3FFFF"/>
        <bgColor indexed="64"/>
      </patternFill>
    </fill>
    <fill>
      <patternFill patternType="solid">
        <fgColor rgb="FFFFFF00"/>
        <bgColor rgb="FF000000"/>
      </patternFill>
    </fill>
    <fill>
      <patternFill patternType="solid">
        <fgColor rgb="FFF4B084"/>
        <bgColor rgb="FF000000"/>
      </patternFill>
    </fill>
    <fill>
      <patternFill patternType="solid">
        <fgColor rgb="FFF8CBAD"/>
        <bgColor rgb="FF000000"/>
      </patternFill>
    </fill>
    <fill>
      <patternFill patternType="solid">
        <fgColor rgb="FFFCE4D6"/>
        <bgColor rgb="FF000000"/>
      </patternFill>
    </fill>
  </fills>
  <borders count="52">
    <border>
      <left/>
      <right/>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top style="thin">
        <color auto="1"/>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hair">
        <color auto="1"/>
      </left>
      <right/>
      <top style="hair">
        <color auto="1"/>
      </top>
      <bottom/>
      <diagonal/>
    </border>
    <border>
      <left style="hair">
        <color auto="1"/>
      </left>
      <right/>
      <top/>
      <bottom/>
      <diagonal/>
    </border>
    <border>
      <left style="hair">
        <color auto="1"/>
      </left>
      <right/>
      <top/>
      <bottom style="hair">
        <color auto="1"/>
      </bottom>
      <diagonal/>
    </border>
    <border>
      <left/>
      <right style="thin">
        <color indexed="64"/>
      </right>
      <top style="thin">
        <color theme="0" tint="-0.14999847407452621"/>
      </top>
      <bottom style="thin">
        <color theme="0" tint="-0.14999847407452621"/>
      </bottom>
      <diagonal/>
    </border>
    <border>
      <left style="hair">
        <color auto="1"/>
      </left>
      <right style="hair">
        <color auto="1"/>
      </right>
      <top style="hair">
        <color auto="1"/>
      </top>
      <bottom style="hair">
        <color auto="1"/>
      </bottom>
      <diagonal/>
    </border>
    <border>
      <left/>
      <right/>
      <top style="hair">
        <color indexed="64"/>
      </top>
      <bottom/>
      <diagonal/>
    </border>
    <border>
      <left/>
      <right/>
      <top/>
      <bottom style="medium">
        <color theme="0" tint="-0.499984740745262"/>
      </bottom>
      <diagonal/>
    </border>
    <border>
      <left/>
      <right style="hair">
        <color auto="1"/>
      </right>
      <top style="hair">
        <color auto="1"/>
      </top>
      <bottom/>
      <diagonal/>
    </border>
    <border>
      <left/>
      <right style="hair">
        <color auto="1"/>
      </right>
      <top/>
      <bottom/>
      <diagonal/>
    </border>
    <border>
      <left/>
      <right style="hair">
        <color auto="1"/>
      </right>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top style="hair">
        <color indexed="64"/>
      </top>
      <bottom style="hair">
        <color indexed="64"/>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top/>
      <bottom style="hair">
        <color indexed="64"/>
      </bottom>
      <diagonal/>
    </border>
    <border>
      <left/>
      <right style="thin">
        <color indexed="64"/>
      </right>
      <top style="thin">
        <color auto="1"/>
      </top>
      <bottom style="thin">
        <color indexed="64"/>
      </bottom>
      <diagonal/>
    </border>
    <border>
      <left/>
      <right/>
      <top style="thin">
        <color theme="0" tint="-0.14999847407452621"/>
      </top>
      <bottom style="thin">
        <color theme="0" tint="-0.14999847407452621"/>
      </bottom>
      <diagonal/>
    </border>
    <border>
      <left/>
      <right style="thin">
        <color auto="1"/>
      </right>
      <top/>
      <bottom/>
      <diagonal/>
    </border>
    <border>
      <left/>
      <right/>
      <top style="thin">
        <color indexed="64"/>
      </top>
      <bottom/>
      <diagonal/>
    </border>
    <border>
      <left/>
      <right/>
      <top style="thin">
        <color auto="1"/>
      </top>
      <bottom style="thin">
        <color indexed="64"/>
      </bottom>
      <diagonal/>
    </border>
    <border>
      <left style="thin">
        <color auto="1"/>
      </left>
      <right style="thin">
        <color auto="1"/>
      </right>
      <top style="thin">
        <color auto="1"/>
      </top>
      <bottom style="thin">
        <color auto="1"/>
      </bottom>
      <diagonal/>
    </border>
    <border>
      <left/>
      <right/>
      <top/>
      <bottom style="thin">
        <color rgb="FFFFFF00"/>
      </bottom>
      <diagonal/>
    </border>
    <border>
      <left style="thin">
        <color indexed="64"/>
      </left>
      <right/>
      <top/>
      <bottom style="thin">
        <color rgb="FFFFFF00"/>
      </bottom>
      <diagonal/>
    </border>
    <border>
      <left/>
      <right style="thin">
        <color rgb="FFFFFF00"/>
      </right>
      <top/>
      <bottom style="thin">
        <color rgb="FFFFFF00"/>
      </bottom>
      <diagonal/>
    </border>
    <border>
      <left style="thin">
        <color indexed="64"/>
      </left>
      <right/>
      <top style="thin">
        <color auto="1"/>
      </top>
      <bottom style="thin">
        <color indexed="64"/>
      </bottom>
      <diagonal/>
    </border>
    <border>
      <left style="thin">
        <color indexed="64"/>
      </left>
      <right/>
      <top style="hair">
        <color indexed="64"/>
      </top>
      <bottom/>
      <diagonal/>
    </border>
    <border>
      <left style="thin">
        <color indexed="64"/>
      </left>
      <right/>
      <top/>
      <bottom style="hair">
        <color indexed="64"/>
      </bottom>
      <diagonal/>
    </border>
    <border>
      <left/>
      <right style="thin">
        <color indexed="9"/>
      </right>
      <top/>
      <bottom/>
      <diagonal/>
    </border>
    <border>
      <left/>
      <right/>
      <top style="dashed">
        <color indexed="64"/>
      </top>
      <bottom/>
      <diagonal/>
    </border>
    <border>
      <left style="thin">
        <color indexed="64"/>
      </left>
      <right/>
      <top/>
      <bottom style="dashed">
        <color indexed="64"/>
      </bottom>
      <diagonal/>
    </border>
    <border>
      <left/>
      <right/>
      <top/>
      <bottom style="dashed">
        <color indexed="64"/>
      </bottom>
      <diagonal/>
    </border>
    <border>
      <left style="thick">
        <color theme="9"/>
      </left>
      <right style="thick">
        <color theme="9"/>
      </right>
      <top style="thick">
        <color theme="9"/>
      </top>
      <bottom style="thick">
        <color theme="9"/>
      </bottom>
      <diagonal/>
    </border>
    <border>
      <left/>
      <right/>
      <top/>
      <bottom style="thin">
        <color rgb="FF000000"/>
      </bottom>
      <diagonal/>
    </border>
    <border>
      <left/>
      <right/>
      <top style="thin">
        <color rgb="FF000000"/>
      </top>
      <bottom/>
      <diagonal/>
    </border>
    <border>
      <left/>
      <right style="thin">
        <color indexed="64"/>
      </right>
      <top/>
      <bottom/>
      <diagonal/>
    </border>
  </borders>
  <cellStyleXfs count="2">
    <xf numFmtId="0" fontId="0" fillId="0" borderId="0"/>
    <xf numFmtId="0" fontId="13" fillId="0" borderId="0" applyNumberFormat="0" applyFill="0" applyBorder="0" applyAlignment="0" applyProtection="0"/>
  </cellStyleXfs>
  <cellXfs count="1481">
    <xf numFmtId="0" fontId="0" fillId="0" borderId="0" xfId="0"/>
    <xf numFmtId="0" fontId="1" fillId="2" borderId="1" xfId="0" applyFont="1" applyFill="1" applyBorder="1" applyAlignment="1">
      <alignment vertical="top" wrapText="1"/>
    </xf>
    <xf numFmtId="0" fontId="1" fillId="2" borderId="2" xfId="0" applyFont="1" applyFill="1" applyBorder="1" applyAlignment="1">
      <alignment vertical="top"/>
    </xf>
    <xf numFmtId="0" fontId="1" fillId="2" borderId="1" xfId="0" applyFont="1" applyFill="1" applyBorder="1" applyAlignment="1">
      <alignment vertical="top"/>
    </xf>
    <xf numFmtId="0" fontId="2" fillId="2" borderId="3" xfId="0" applyFont="1" applyFill="1" applyBorder="1" applyAlignment="1">
      <alignment vertical="top"/>
    </xf>
    <xf numFmtId="0" fontId="2" fillId="2" borderId="1" xfId="0" applyFont="1" applyFill="1" applyBorder="1" applyAlignment="1">
      <alignment vertical="top"/>
    </xf>
    <xf numFmtId="0" fontId="3" fillId="0" borderId="0" xfId="0" applyFont="1" applyAlignment="1">
      <alignment vertical="top" wrapText="1"/>
    </xf>
    <xf numFmtId="0" fontId="1" fillId="2" borderId="7" xfId="0" applyFont="1" applyFill="1" applyBorder="1" applyAlignment="1">
      <alignment vertical="top"/>
    </xf>
    <xf numFmtId="0" fontId="1" fillId="2" borderId="0" xfId="0" applyFont="1" applyFill="1" applyAlignment="1">
      <alignment vertical="top"/>
    </xf>
    <xf numFmtId="0" fontId="1" fillId="2" borderId="4" xfId="0" applyFont="1" applyFill="1" applyBorder="1" applyAlignment="1">
      <alignment vertical="top"/>
    </xf>
    <xf numFmtId="0" fontId="1" fillId="2" borderId="8" xfId="0" applyFont="1" applyFill="1" applyBorder="1" applyAlignment="1">
      <alignment vertical="top"/>
    </xf>
    <xf numFmtId="0" fontId="4" fillId="2" borderId="1" xfId="0" applyFont="1" applyFill="1" applyBorder="1" applyAlignment="1">
      <alignment vertical="top"/>
    </xf>
    <xf numFmtId="0" fontId="1" fillId="2" borderId="6" xfId="0" applyFont="1" applyFill="1" applyBorder="1" applyAlignment="1">
      <alignment vertical="top"/>
    </xf>
    <xf numFmtId="0" fontId="1" fillId="2" borderId="5" xfId="0" applyFont="1" applyFill="1" applyBorder="1" applyAlignment="1">
      <alignment vertical="top"/>
    </xf>
    <xf numFmtId="0" fontId="1" fillId="0" borderId="0" xfId="0" applyFont="1" applyAlignment="1">
      <alignment wrapText="1"/>
    </xf>
    <xf numFmtId="0" fontId="1" fillId="0" borderId="12" xfId="0" applyFont="1" applyBorder="1" applyAlignment="1">
      <alignment wrapText="1"/>
    </xf>
    <xf numFmtId="0" fontId="8" fillId="0" borderId="0" xfId="0" applyFont="1" applyAlignment="1">
      <alignment wrapText="1"/>
    </xf>
    <xf numFmtId="0" fontId="7" fillId="0" borderId="1" xfId="0" applyFont="1" applyBorder="1" applyAlignment="1">
      <alignment wrapText="1"/>
    </xf>
    <xf numFmtId="0" fontId="1" fillId="0" borderId="1" xfId="0" applyFont="1" applyBorder="1" applyAlignment="1">
      <alignment wrapText="1"/>
    </xf>
    <xf numFmtId="0" fontId="7" fillId="0" borderId="1" xfId="0" applyFont="1" applyBorder="1" applyAlignment="1">
      <alignment horizontal="left" wrapText="1"/>
    </xf>
    <xf numFmtId="0" fontId="1" fillId="0" borderId="2" xfId="0" applyFont="1" applyBorder="1" applyAlignment="1">
      <alignment wrapText="1"/>
    </xf>
    <xf numFmtId="0" fontId="1" fillId="0" borderId="7"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0" fontId="8" fillId="5" borderId="9" xfId="0" applyFont="1" applyFill="1" applyBorder="1" applyAlignment="1">
      <alignment horizontal="center" wrapText="1"/>
    </xf>
    <xf numFmtId="0" fontId="8" fillId="5" borderId="10" xfId="0" applyFont="1" applyFill="1" applyBorder="1" applyAlignment="1">
      <alignment horizontal="center" wrapText="1"/>
    </xf>
    <xf numFmtId="0" fontId="8" fillId="5" borderId="11" xfId="0" applyFont="1" applyFill="1" applyBorder="1" applyAlignment="1">
      <alignment horizontal="center" wrapText="1"/>
    </xf>
    <xf numFmtId="0" fontId="9" fillId="0" borderId="0" xfId="0" applyFont="1" applyAlignment="1">
      <alignment wrapText="1"/>
    </xf>
    <xf numFmtId="0" fontId="10" fillId="0" borderId="0" xfId="0" applyFont="1" applyAlignment="1">
      <alignment vertical="center" wrapText="1"/>
    </xf>
    <xf numFmtId="0" fontId="1" fillId="0" borderId="0" xfId="0" applyFont="1" applyAlignment="1">
      <alignment horizontal="left" wrapText="1"/>
    </xf>
    <xf numFmtId="0" fontId="11" fillId="0" borderId="0" xfId="0" applyFont="1" applyAlignment="1">
      <alignment wrapText="1"/>
    </xf>
    <xf numFmtId="0" fontId="2" fillId="0" borderId="0" xfId="0" applyFont="1" applyAlignment="1">
      <alignment wrapText="1"/>
    </xf>
    <xf numFmtId="0" fontId="6" fillId="0" borderId="14" xfId="0" applyFont="1" applyBorder="1" applyAlignment="1">
      <alignment horizontal="center" wrapText="1"/>
    </xf>
    <xf numFmtId="0" fontId="7" fillId="0" borderId="0" xfId="0" applyFont="1" applyAlignment="1">
      <alignment wrapText="1"/>
    </xf>
    <xf numFmtId="0" fontId="7" fillId="0" borderId="13" xfId="0" applyFont="1" applyBorder="1" applyAlignment="1">
      <alignment wrapText="1"/>
    </xf>
    <xf numFmtId="0" fontId="1" fillId="0" borderId="7" xfId="0" applyFont="1" applyBorder="1"/>
    <xf numFmtId="3" fontId="3" fillId="0" borderId="0" xfId="0" applyNumberFormat="1" applyFont="1" applyAlignment="1">
      <alignment horizontal="center" vertical="top" wrapText="1"/>
    </xf>
    <xf numFmtId="3" fontId="3" fillId="0" borderId="0" xfId="0" applyNumberFormat="1" applyFont="1" applyAlignment="1">
      <alignment horizontal="center" wrapText="1"/>
    </xf>
    <xf numFmtId="164" fontId="1" fillId="0" borderId="0" xfId="0" applyNumberFormat="1" applyFont="1" applyAlignment="1">
      <alignment horizontal="left"/>
    </xf>
    <xf numFmtId="165" fontId="3" fillId="0" borderId="0" xfId="0" applyNumberFormat="1" applyFont="1" applyAlignment="1">
      <alignment horizontal="center" vertical="top" wrapText="1"/>
    </xf>
    <xf numFmtId="0" fontId="7" fillId="0" borderId="0" xfId="0" applyFont="1" applyAlignment="1">
      <alignment horizontal="left"/>
    </xf>
    <xf numFmtId="0" fontId="1" fillId="0" borderId="1" xfId="0" applyFont="1" applyBorder="1" applyAlignment="1">
      <alignment horizontal="left"/>
    </xf>
    <xf numFmtId="0" fontId="1" fillId="0" borderId="0" xfId="0" applyFont="1" applyAlignment="1">
      <alignment horizontal="left" vertical="top"/>
    </xf>
    <xf numFmtId="0" fontId="1" fillId="0" borderId="0" xfId="0" applyFont="1" applyAlignment="1">
      <alignment horizontal="left"/>
    </xf>
    <xf numFmtId="0" fontId="7" fillId="0" borderId="0" xfId="0" applyFont="1" applyAlignment="1">
      <alignment horizontal="left" indent="2"/>
    </xf>
    <xf numFmtId="0" fontId="1" fillId="0" borderId="0" xfId="0" applyFont="1" applyAlignment="1">
      <alignment horizontal="left" indent="2"/>
    </xf>
    <xf numFmtId="0" fontId="1" fillId="0" borderId="1" xfId="0" applyFont="1" applyBorder="1" applyAlignment="1">
      <alignment horizontal="left" vertical="top"/>
    </xf>
    <xf numFmtId="0" fontId="2" fillId="0" borderId="0" xfId="0" applyFont="1" applyAlignment="1">
      <alignment horizontal="left"/>
    </xf>
    <xf numFmtId="166" fontId="1" fillId="0" borderId="0" xfId="0" applyNumberFormat="1" applyFont="1" applyAlignment="1">
      <alignment horizontal="left"/>
    </xf>
    <xf numFmtId="10" fontId="1" fillId="0" borderId="0" xfId="0" applyNumberFormat="1" applyFont="1" applyAlignment="1">
      <alignment horizontal="left"/>
    </xf>
    <xf numFmtId="165" fontId="1" fillId="0" borderId="0" xfId="0" applyNumberFormat="1" applyFont="1" applyAlignment="1">
      <alignment horizontal="left" vertical="top" wrapText="1"/>
    </xf>
    <xf numFmtId="3" fontId="1" fillId="0" borderId="0" xfId="0" applyNumberFormat="1" applyFont="1" applyAlignment="1">
      <alignment horizontal="left" vertical="top" wrapText="1"/>
    </xf>
    <xf numFmtId="0" fontId="1" fillId="0" borderId="5" xfId="0" applyFont="1" applyBorder="1" applyAlignment="1">
      <alignment horizontal="left"/>
    </xf>
    <xf numFmtId="165" fontId="1" fillId="0" borderId="0" xfId="0" applyNumberFormat="1" applyFont="1" applyAlignment="1">
      <alignment horizontal="left"/>
    </xf>
    <xf numFmtId="1" fontId="3" fillId="0" borderId="0" xfId="0" applyNumberFormat="1" applyFont="1" applyAlignment="1">
      <alignment horizontal="center" wrapText="1"/>
    </xf>
    <xf numFmtId="0" fontId="12" fillId="0" borderId="0" xfId="0" applyFont="1" applyAlignment="1">
      <alignment horizontal="center" vertical="top" wrapText="1"/>
    </xf>
    <xf numFmtId="0" fontId="1" fillId="0" borderId="0" xfId="0" applyFont="1"/>
    <xf numFmtId="0" fontId="1" fillId="0" borderId="0" xfId="0" applyFont="1" applyAlignment="1">
      <alignment vertical="top" wrapText="1"/>
    </xf>
    <xf numFmtId="0" fontId="1" fillId="0" borderId="14" xfId="0" applyFont="1" applyBorder="1"/>
    <xf numFmtId="0" fontId="1" fillId="0" borderId="13" xfId="0" applyFont="1" applyBorder="1"/>
    <xf numFmtId="0" fontId="1" fillId="0" borderId="12" xfId="0" applyFont="1" applyBorder="1"/>
    <xf numFmtId="0" fontId="1" fillId="0" borderId="3" xfId="0" applyFont="1" applyBorder="1" applyAlignment="1">
      <alignment wrapText="1"/>
    </xf>
    <xf numFmtId="0" fontId="1" fillId="0" borderId="5" xfId="0" applyFont="1" applyBorder="1" applyAlignment="1">
      <alignment wrapText="1"/>
    </xf>
    <xf numFmtId="0" fontId="1" fillId="0" borderId="7" xfId="0" applyFont="1" applyBorder="1" applyAlignment="1">
      <alignment vertical="center" wrapText="1"/>
    </xf>
    <xf numFmtId="0" fontId="2" fillId="6" borderId="9" xfId="0" applyFont="1" applyFill="1" applyBorder="1" applyAlignment="1">
      <alignment horizontal="center" wrapText="1"/>
    </xf>
    <xf numFmtId="0" fontId="2" fillId="6" borderId="10" xfId="0" applyFont="1" applyFill="1" applyBorder="1" applyAlignment="1">
      <alignment horizontal="center" wrapText="1"/>
    </xf>
    <xf numFmtId="0" fontId="2" fillId="6" borderId="11" xfId="0" applyFont="1" applyFill="1" applyBorder="1" applyAlignment="1">
      <alignment horizontal="center" wrapText="1"/>
    </xf>
    <xf numFmtId="0" fontId="1" fillId="0" borderId="1" xfId="0" applyFont="1" applyBorder="1"/>
    <xf numFmtId="0" fontId="4" fillId="0" borderId="0" xfId="0" applyFont="1" applyAlignment="1">
      <alignment vertical="center" wrapText="1"/>
    </xf>
    <xf numFmtId="0" fontId="2" fillId="0" borderId="0" xfId="0" applyFont="1"/>
    <xf numFmtId="0" fontId="2" fillId="0" borderId="0" xfId="0" applyFont="1" applyAlignment="1">
      <alignment horizontal="center"/>
    </xf>
    <xf numFmtId="0" fontId="1" fillId="7" borderId="0" xfId="0" applyFont="1" applyFill="1"/>
    <xf numFmtId="3" fontId="1" fillId="7" borderId="0" xfId="0" applyNumberFormat="1" applyFont="1" applyFill="1"/>
    <xf numFmtId="1" fontId="1" fillId="7" borderId="0" xfId="0" applyNumberFormat="1" applyFont="1" applyFill="1"/>
    <xf numFmtId="3" fontId="1" fillId="0" borderId="0" xfId="0" applyNumberFormat="1" applyFont="1"/>
    <xf numFmtId="1" fontId="1" fillId="0" borderId="0" xfId="0" applyNumberFormat="1" applyFont="1"/>
    <xf numFmtId="167" fontId="1" fillId="7" borderId="0" xfId="0" applyNumberFormat="1" applyFont="1" applyFill="1" applyAlignment="1">
      <alignment horizontal="center"/>
    </xf>
    <xf numFmtId="10" fontId="1" fillId="0" borderId="1" xfId="0" applyNumberFormat="1" applyFont="1" applyBorder="1"/>
    <xf numFmtId="0" fontId="2" fillId="8" borderId="0" xfId="0" applyFont="1" applyFill="1" applyAlignment="1">
      <alignment horizontal="center"/>
    </xf>
    <xf numFmtId="167" fontId="1" fillId="0" borderId="0" xfId="0" applyNumberFormat="1" applyFont="1" applyAlignment="1">
      <alignment horizontal="center"/>
    </xf>
    <xf numFmtId="1" fontId="1" fillId="0" borderId="0" xfId="0" applyNumberFormat="1" applyFont="1" applyAlignment="1">
      <alignment horizontal="center"/>
    </xf>
    <xf numFmtId="164" fontId="1" fillId="0" borderId="0" xfId="0" applyNumberFormat="1" applyFont="1"/>
    <xf numFmtId="167" fontId="1" fillId="0" borderId="0" xfId="0" applyNumberFormat="1" applyFont="1"/>
    <xf numFmtId="164" fontId="1" fillId="0" borderId="0" xfId="0" applyNumberFormat="1" applyFont="1" applyAlignment="1">
      <alignment horizontal="center"/>
    </xf>
    <xf numFmtId="165" fontId="2" fillId="9" borderId="15" xfId="0" applyNumberFormat="1" applyFont="1" applyFill="1" applyBorder="1" applyAlignment="1">
      <alignment horizontal="right"/>
    </xf>
    <xf numFmtId="165" fontId="2" fillId="9" borderId="16" xfId="0" applyNumberFormat="1" applyFont="1" applyFill="1" applyBorder="1" applyAlignment="1">
      <alignment horizontal="right"/>
    </xf>
    <xf numFmtId="165" fontId="1" fillId="9" borderId="16" xfId="0" applyNumberFormat="1" applyFont="1" applyFill="1" applyBorder="1" applyAlignment="1">
      <alignment horizontal="right"/>
    </xf>
    <xf numFmtId="1" fontId="1" fillId="10" borderId="0" xfId="0" applyNumberFormat="1" applyFont="1" applyFill="1" applyAlignment="1">
      <alignment horizontal="center"/>
    </xf>
    <xf numFmtId="3" fontId="1" fillId="9" borderId="16" xfId="0" applyNumberFormat="1" applyFont="1" applyFill="1" applyBorder="1" applyAlignment="1">
      <alignment horizontal="right"/>
    </xf>
    <xf numFmtId="0" fontId="14" fillId="11" borderId="0" xfId="0" applyFont="1" applyFill="1" applyAlignment="1">
      <alignment horizontal="right" vertical="center"/>
    </xf>
    <xf numFmtId="0" fontId="1" fillId="9" borderId="0" xfId="0" applyFont="1" applyFill="1"/>
    <xf numFmtId="3" fontId="1" fillId="9" borderId="17" xfId="0" applyNumberFormat="1" applyFont="1" applyFill="1" applyBorder="1" applyAlignment="1">
      <alignment horizontal="right"/>
    </xf>
    <xf numFmtId="2" fontId="1" fillId="9" borderId="4" xfId="0" applyNumberFormat="1" applyFont="1" applyFill="1" applyBorder="1"/>
    <xf numFmtId="2" fontId="1" fillId="9" borderId="18" xfId="0" applyNumberFormat="1" applyFont="1" applyFill="1" applyBorder="1"/>
    <xf numFmtId="2" fontId="1" fillId="12" borderId="4" xfId="0" applyNumberFormat="1" applyFont="1" applyFill="1" applyBorder="1"/>
    <xf numFmtId="2" fontId="1" fillId="0" borderId="0" xfId="0" applyNumberFormat="1" applyFont="1"/>
    <xf numFmtId="10" fontId="1" fillId="0" borderId="0" xfId="0" applyNumberFormat="1" applyFont="1"/>
    <xf numFmtId="168" fontId="1" fillId="10" borderId="0" xfId="0" applyNumberFormat="1" applyFont="1" applyFill="1" applyAlignment="1">
      <alignment horizontal="left" indent="1"/>
    </xf>
    <xf numFmtId="49" fontId="1" fillId="10" borderId="0" xfId="0" applyNumberFormat="1" applyFont="1" applyFill="1" applyAlignment="1">
      <alignment horizontal="left" wrapText="1" indent="1"/>
    </xf>
    <xf numFmtId="0" fontId="1" fillId="0" borderId="0" xfId="0" applyFont="1" applyAlignment="1">
      <alignment horizontal="left" wrapText="1" indent="3"/>
    </xf>
    <xf numFmtId="49" fontId="1" fillId="0" borderId="0" xfId="0" applyNumberFormat="1" applyFont="1" applyAlignment="1">
      <alignment horizontal="left" wrapText="1" indent="1"/>
    </xf>
    <xf numFmtId="168" fontId="1" fillId="0" borderId="0" xfId="0" applyNumberFormat="1" applyFont="1" applyAlignment="1">
      <alignment horizontal="left" wrapText="1" indent="1"/>
    </xf>
    <xf numFmtId="0" fontId="1" fillId="0" borderId="0" xfId="0" applyFont="1" applyAlignment="1">
      <alignment horizontal="left" indent="1"/>
    </xf>
    <xf numFmtId="168" fontId="15" fillId="0" borderId="0" xfId="0" applyNumberFormat="1" applyFont="1" applyAlignment="1">
      <alignment horizontal="center"/>
    </xf>
    <xf numFmtId="0" fontId="16" fillId="10" borderId="0" xfId="0" applyFont="1" applyFill="1"/>
    <xf numFmtId="2" fontId="1" fillId="10" borderId="0" xfId="0" applyNumberFormat="1" applyFont="1" applyFill="1"/>
    <xf numFmtId="168" fontId="1" fillId="9" borderId="19" xfId="0" applyNumberFormat="1" applyFont="1" applyFill="1" applyBorder="1" applyAlignment="1">
      <alignment horizontal="center"/>
    </xf>
    <xf numFmtId="2" fontId="1" fillId="10" borderId="4" xfId="0" applyNumberFormat="1" applyFont="1" applyFill="1" applyBorder="1"/>
    <xf numFmtId="2" fontId="1" fillId="10" borderId="18" xfId="0" applyNumberFormat="1" applyFont="1" applyFill="1" applyBorder="1"/>
    <xf numFmtId="10" fontId="1" fillId="12" borderId="0" xfId="0" applyNumberFormat="1" applyFont="1" applyFill="1"/>
    <xf numFmtId="0" fontId="16" fillId="13" borderId="0" xfId="0" applyFont="1" applyFill="1"/>
    <xf numFmtId="0" fontId="16" fillId="9" borderId="0" xfId="0" applyFont="1" applyFill="1"/>
    <xf numFmtId="165" fontId="2" fillId="9" borderId="20" xfId="0" applyNumberFormat="1" applyFont="1" applyFill="1" applyBorder="1" applyAlignment="1">
      <alignment horizontal="right"/>
    </xf>
    <xf numFmtId="165" fontId="2" fillId="9" borderId="0" xfId="0" applyNumberFormat="1" applyFont="1" applyFill="1" applyAlignment="1">
      <alignment horizontal="right"/>
    </xf>
    <xf numFmtId="165" fontId="1" fillId="9" borderId="0" xfId="0" applyNumberFormat="1" applyFont="1" applyFill="1" applyAlignment="1">
      <alignment horizontal="right"/>
    </xf>
    <xf numFmtId="0" fontId="1" fillId="10" borderId="0" xfId="0" applyFont="1" applyFill="1"/>
    <xf numFmtId="3" fontId="1" fillId="9" borderId="0" xfId="0" applyNumberFormat="1" applyFont="1" applyFill="1" applyAlignment="1">
      <alignment horizontal="right"/>
    </xf>
    <xf numFmtId="168" fontId="1" fillId="0" borderId="26" xfId="0" applyNumberFormat="1" applyFont="1" applyBorder="1" applyAlignment="1">
      <alignment horizontal="center"/>
    </xf>
    <xf numFmtId="3" fontId="1" fillId="9" borderId="31" xfId="0" applyNumberFormat="1" applyFont="1" applyFill="1" applyBorder="1" applyAlignment="1">
      <alignment horizontal="right"/>
    </xf>
    <xf numFmtId="168" fontId="1" fillId="10" borderId="19" xfId="0" applyNumberFormat="1" applyFont="1" applyFill="1" applyBorder="1" applyAlignment="1">
      <alignment horizontal="center"/>
    </xf>
    <xf numFmtId="165" fontId="2" fillId="10" borderId="20" xfId="0" applyNumberFormat="1" applyFont="1" applyFill="1" applyBorder="1" applyAlignment="1">
      <alignment horizontal="right"/>
    </xf>
    <xf numFmtId="165" fontId="2" fillId="10" borderId="0" xfId="0" applyNumberFormat="1" applyFont="1" applyFill="1" applyAlignment="1">
      <alignment horizontal="right"/>
    </xf>
    <xf numFmtId="165" fontId="1" fillId="10" borderId="0" xfId="0" applyNumberFormat="1" applyFont="1" applyFill="1" applyAlignment="1">
      <alignment horizontal="right"/>
    </xf>
    <xf numFmtId="3" fontId="1" fillId="10" borderId="0" xfId="0" applyNumberFormat="1" applyFont="1" applyFill="1" applyAlignment="1">
      <alignment horizontal="right"/>
    </xf>
    <xf numFmtId="3" fontId="1" fillId="10" borderId="31" xfId="0" applyNumberFormat="1" applyFont="1" applyFill="1" applyBorder="1" applyAlignment="1">
      <alignment horizontal="right"/>
    </xf>
    <xf numFmtId="168" fontId="1" fillId="13" borderId="19" xfId="0" applyNumberFormat="1" applyFont="1" applyFill="1" applyBorder="1" applyAlignment="1">
      <alignment horizontal="center"/>
    </xf>
    <xf numFmtId="165" fontId="2" fillId="13" borderId="22" xfId="0" applyNumberFormat="1" applyFont="1" applyFill="1" applyBorder="1" applyAlignment="1">
      <alignment horizontal="right"/>
    </xf>
    <xf numFmtId="165" fontId="2" fillId="13" borderId="23" xfId="0" applyNumberFormat="1" applyFont="1" applyFill="1" applyBorder="1" applyAlignment="1">
      <alignment horizontal="right"/>
    </xf>
    <xf numFmtId="165" fontId="1" fillId="13" borderId="23" xfId="0" applyNumberFormat="1" applyFont="1" applyFill="1" applyBorder="1" applyAlignment="1">
      <alignment horizontal="right"/>
    </xf>
    <xf numFmtId="3" fontId="1" fillId="13" borderId="23" xfId="0" applyNumberFormat="1" applyFont="1" applyFill="1" applyBorder="1" applyAlignment="1">
      <alignment horizontal="right"/>
    </xf>
    <xf numFmtId="3" fontId="1" fillId="13" borderId="24" xfId="0" applyNumberFormat="1" applyFont="1" applyFill="1" applyBorder="1" applyAlignment="1">
      <alignment horizontal="right"/>
    </xf>
    <xf numFmtId="168" fontId="1" fillId="10" borderId="0" xfId="0" applyNumberFormat="1" applyFont="1" applyFill="1" applyAlignment="1">
      <alignment horizontal="left" wrapText="1" indent="1"/>
    </xf>
    <xf numFmtId="0" fontId="1" fillId="10" borderId="0" xfId="0" applyFont="1" applyFill="1" applyAlignment="1">
      <alignment horizontal="left" indent="1"/>
    </xf>
    <xf numFmtId="17" fontId="12" fillId="10" borderId="32" xfId="0" applyNumberFormat="1" applyFont="1" applyFill="1" applyBorder="1" applyAlignment="1">
      <alignment horizontal="left" wrapText="1"/>
    </xf>
    <xf numFmtId="1" fontId="1" fillId="0" borderId="22" xfId="0" applyNumberFormat="1" applyFont="1" applyBorder="1" applyAlignment="1">
      <alignment horizontal="center"/>
    </xf>
    <xf numFmtId="1" fontId="1" fillId="0" borderId="23" xfId="0" applyNumberFormat="1" applyFont="1" applyBorder="1" applyAlignment="1">
      <alignment horizontal="center"/>
    </xf>
    <xf numFmtId="1" fontId="1" fillId="0" borderId="23" xfId="0" applyNumberFormat="1" applyFont="1" applyBorder="1" applyAlignment="1">
      <alignment horizontal="center" vertical="top"/>
    </xf>
    <xf numFmtId="1" fontId="1" fillId="0" borderId="24" xfId="0" applyNumberFormat="1" applyFont="1" applyBorder="1" applyAlignment="1">
      <alignment horizontal="center"/>
    </xf>
    <xf numFmtId="168" fontId="1" fillId="0" borderId="0" xfId="0" applyNumberFormat="1" applyFont="1" applyAlignment="1">
      <alignment horizontal="center"/>
    </xf>
    <xf numFmtId="17" fontId="12" fillId="3" borderId="32" xfId="0" applyNumberFormat="1" applyFont="1" applyFill="1" applyBorder="1" applyAlignment="1">
      <alignment horizontal="left" wrapText="1"/>
    </xf>
    <xf numFmtId="168" fontId="1" fillId="0" borderId="0" xfId="0" applyNumberFormat="1" applyFont="1" applyAlignment="1">
      <alignment horizontal="left" indent="1"/>
    </xf>
    <xf numFmtId="168" fontId="1" fillId="0" borderId="19" xfId="0" applyNumberFormat="1" applyFont="1" applyBorder="1" applyAlignment="1">
      <alignment horizontal="center"/>
    </xf>
    <xf numFmtId="165" fontId="2" fillId="0" borderId="15" xfId="0" applyNumberFormat="1" applyFont="1" applyBorder="1" applyAlignment="1">
      <alignment horizontal="right"/>
    </xf>
    <xf numFmtId="165" fontId="2" fillId="0" borderId="20" xfId="0" applyNumberFormat="1" applyFont="1" applyBorder="1" applyAlignment="1">
      <alignment horizontal="right"/>
    </xf>
    <xf numFmtId="165" fontId="2" fillId="0" borderId="16" xfId="0" applyNumberFormat="1" applyFont="1" applyBorder="1" applyAlignment="1">
      <alignment horizontal="right"/>
    </xf>
    <xf numFmtId="165" fontId="2" fillId="0" borderId="0" xfId="0" applyNumberFormat="1" applyFont="1" applyAlignment="1">
      <alignment horizontal="right"/>
    </xf>
    <xf numFmtId="165" fontId="1" fillId="0" borderId="16" xfId="0" applyNumberFormat="1" applyFont="1" applyBorder="1" applyAlignment="1">
      <alignment horizontal="right"/>
    </xf>
    <xf numFmtId="165" fontId="1" fillId="0" borderId="0" xfId="0" applyNumberFormat="1" applyFont="1" applyAlignment="1">
      <alignment horizontal="right"/>
    </xf>
    <xf numFmtId="3" fontId="1" fillId="0" borderId="16" xfId="0" applyNumberFormat="1" applyFont="1" applyBorder="1" applyAlignment="1">
      <alignment horizontal="right"/>
    </xf>
    <xf numFmtId="3" fontId="1" fillId="0" borderId="0" xfId="0" applyNumberFormat="1" applyFont="1" applyAlignment="1">
      <alignment horizontal="right"/>
    </xf>
    <xf numFmtId="3" fontId="1" fillId="0" borderId="17" xfId="0" applyNumberFormat="1" applyFont="1" applyBorder="1" applyAlignment="1">
      <alignment horizontal="right"/>
    </xf>
    <xf numFmtId="3" fontId="1" fillId="0" borderId="31" xfId="0" applyNumberFormat="1" applyFont="1" applyBorder="1" applyAlignment="1">
      <alignment horizontal="right"/>
    </xf>
    <xf numFmtId="1" fontId="1" fillId="12" borderId="23" xfId="0" applyNumberFormat="1" applyFont="1" applyFill="1" applyBorder="1" applyAlignment="1">
      <alignment horizontal="center"/>
    </xf>
    <xf numFmtId="0" fontId="11" fillId="0" borderId="0" xfId="0" applyFont="1"/>
    <xf numFmtId="0" fontId="1" fillId="12" borderId="0" xfId="0" applyFont="1" applyFill="1" applyAlignment="1">
      <alignment horizontal="left" indent="3"/>
    </xf>
    <xf numFmtId="165" fontId="1" fillId="12" borderId="16" xfId="0" applyNumberFormat="1" applyFont="1" applyFill="1" applyBorder="1" applyAlignment="1">
      <alignment horizontal="right"/>
    </xf>
    <xf numFmtId="165" fontId="1" fillId="12" borderId="0" xfId="0" applyNumberFormat="1" applyFont="1" applyFill="1" applyAlignment="1">
      <alignment horizontal="right"/>
    </xf>
    <xf numFmtId="165" fontId="2" fillId="13" borderId="15" xfId="0" applyNumberFormat="1" applyFont="1" applyFill="1" applyBorder="1" applyAlignment="1">
      <alignment horizontal="right"/>
    </xf>
    <xf numFmtId="2" fontId="1" fillId="12" borderId="18" xfId="0" applyNumberFormat="1" applyFont="1" applyFill="1" applyBorder="1"/>
    <xf numFmtId="165" fontId="2" fillId="13" borderId="16" xfId="0" applyNumberFormat="1" applyFont="1" applyFill="1" applyBorder="1" applyAlignment="1">
      <alignment horizontal="right"/>
    </xf>
    <xf numFmtId="165" fontId="1" fillId="13" borderId="16" xfId="0" applyNumberFormat="1" applyFont="1" applyFill="1" applyBorder="1" applyAlignment="1">
      <alignment horizontal="right"/>
    </xf>
    <xf numFmtId="3" fontId="1" fillId="13" borderId="16" xfId="0" applyNumberFormat="1" applyFont="1" applyFill="1" applyBorder="1" applyAlignment="1">
      <alignment horizontal="right"/>
    </xf>
    <xf numFmtId="3" fontId="1" fillId="13" borderId="17" xfId="0" applyNumberFormat="1" applyFont="1" applyFill="1" applyBorder="1" applyAlignment="1">
      <alignment horizontal="right"/>
    </xf>
    <xf numFmtId="0" fontId="2" fillId="12" borderId="0" xfId="0" applyFont="1" applyFill="1" applyAlignment="1">
      <alignment horizontal="left" wrapText="1" indent="1"/>
    </xf>
    <xf numFmtId="165" fontId="2" fillId="12" borderId="16" xfId="0" applyNumberFormat="1" applyFont="1" applyFill="1" applyBorder="1" applyAlignment="1">
      <alignment horizontal="right"/>
    </xf>
    <xf numFmtId="165" fontId="2" fillId="12" borderId="0" xfId="0" applyNumberFormat="1" applyFont="1" applyFill="1" applyAlignment="1">
      <alignment horizontal="right"/>
    </xf>
    <xf numFmtId="0" fontId="2" fillId="12" borderId="0" xfId="0" applyFont="1" applyFill="1" applyAlignment="1">
      <alignment horizontal="left"/>
    </xf>
    <xf numFmtId="0" fontId="1" fillId="0" borderId="0" xfId="0" applyFont="1" applyAlignment="1">
      <alignment horizontal="left" vertical="center" indent="2"/>
    </xf>
    <xf numFmtId="0" fontId="2" fillId="0" borderId="0" xfId="0" applyFont="1" applyAlignment="1">
      <alignment horizontal="left" indent="1"/>
    </xf>
    <xf numFmtId="0" fontId="2" fillId="0" borderId="0" xfId="0" applyFont="1" applyAlignment="1">
      <alignment horizontal="left" indent="2"/>
    </xf>
    <xf numFmtId="0" fontId="1" fillId="0" borderId="0" xfId="0" applyFont="1" applyAlignment="1">
      <alignment horizontal="left" indent="4"/>
    </xf>
    <xf numFmtId="0" fontId="1" fillId="0" borderId="0" xfId="0" applyFont="1" applyAlignment="1">
      <alignment horizontal="left" wrapText="1" indent="2"/>
    </xf>
    <xf numFmtId="168" fontId="15" fillId="13" borderId="0" xfId="0" applyNumberFormat="1" applyFont="1" applyFill="1" applyAlignment="1">
      <alignment horizontal="center"/>
    </xf>
    <xf numFmtId="0" fontId="1" fillId="0" borderId="0" xfId="0" applyFont="1" applyAlignment="1">
      <alignment horizontal="left" indent="3"/>
    </xf>
    <xf numFmtId="0" fontId="2" fillId="13" borderId="0" xfId="0" applyFont="1" applyFill="1" applyAlignment="1">
      <alignment horizontal="center"/>
    </xf>
    <xf numFmtId="168" fontId="1" fillId="13" borderId="0" xfId="0" applyNumberFormat="1" applyFont="1" applyFill="1" applyAlignment="1">
      <alignment horizontal="center"/>
    </xf>
    <xf numFmtId="1" fontId="1" fillId="13" borderId="0" xfId="0" applyNumberFormat="1" applyFont="1" applyFill="1" applyAlignment="1">
      <alignment horizontal="center"/>
    </xf>
    <xf numFmtId="168" fontId="1" fillId="13" borderId="0" xfId="0" applyNumberFormat="1" applyFont="1" applyFill="1" applyAlignment="1">
      <alignment horizontal="left" indent="1"/>
    </xf>
    <xf numFmtId="49" fontId="1" fillId="13" borderId="0" xfId="0" applyNumberFormat="1" applyFont="1" applyFill="1" applyAlignment="1">
      <alignment horizontal="left" wrapText="1" indent="1"/>
    </xf>
    <xf numFmtId="168" fontId="1" fillId="13" borderId="0" xfId="0" applyNumberFormat="1" applyFont="1" applyFill="1" applyAlignment="1">
      <alignment horizontal="left" wrapText="1" indent="1"/>
    </xf>
    <xf numFmtId="0" fontId="1" fillId="13" borderId="0" xfId="0" applyFont="1" applyFill="1" applyAlignment="1">
      <alignment horizontal="left" indent="1"/>
    </xf>
    <xf numFmtId="17" fontId="12" fillId="13" borderId="32" xfId="0" applyNumberFormat="1" applyFont="1" applyFill="1" applyBorder="1" applyAlignment="1">
      <alignment horizontal="left" wrapText="1"/>
    </xf>
    <xf numFmtId="0" fontId="1" fillId="0" borderId="0" xfId="0" applyFont="1" applyAlignment="1">
      <alignment horizontal="left" indent="5"/>
    </xf>
    <xf numFmtId="168" fontId="15" fillId="9" borderId="0" xfId="0" applyNumberFormat="1" applyFont="1" applyFill="1" applyAlignment="1">
      <alignment horizontal="center"/>
    </xf>
    <xf numFmtId="0" fontId="2" fillId="9" borderId="0" xfId="0" applyFont="1" applyFill="1"/>
    <xf numFmtId="0" fontId="2" fillId="9" borderId="0" xfId="0" applyFont="1" applyFill="1" applyAlignment="1">
      <alignment horizontal="center"/>
    </xf>
    <xf numFmtId="168" fontId="1" fillId="9" borderId="0" xfId="0" applyNumberFormat="1" applyFont="1" applyFill="1" applyAlignment="1">
      <alignment horizontal="center"/>
    </xf>
    <xf numFmtId="1" fontId="1" fillId="9" borderId="0" xfId="0" applyNumberFormat="1" applyFont="1" applyFill="1" applyAlignment="1">
      <alignment horizontal="center"/>
    </xf>
    <xf numFmtId="0" fontId="1" fillId="0" borderId="0" xfId="0" applyFont="1" applyAlignment="1">
      <alignment horizontal="left" wrapText="1" indent="5"/>
    </xf>
    <xf numFmtId="168" fontId="1" fillId="9" borderId="0" xfId="0" applyNumberFormat="1" applyFont="1" applyFill="1" applyAlignment="1">
      <alignment horizontal="left" indent="1"/>
    </xf>
    <xf numFmtId="49" fontId="1" fillId="9" borderId="0" xfId="0" applyNumberFormat="1" applyFont="1" applyFill="1" applyAlignment="1">
      <alignment horizontal="left" wrapText="1" indent="1"/>
    </xf>
    <xf numFmtId="168" fontId="1" fillId="9" borderId="0" xfId="0" applyNumberFormat="1" applyFont="1" applyFill="1" applyAlignment="1">
      <alignment horizontal="left" wrapText="1" indent="1"/>
    </xf>
    <xf numFmtId="0" fontId="1" fillId="9" borderId="0" xfId="0" applyFont="1" applyFill="1" applyAlignment="1">
      <alignment horizontal="left" indent="1"/>
    </xf>
    <xf numFmtId="17" fontId="12" fillId="9" borderId="32" xfId="0" applyNumberFormat="1" applyFont="1" applyFill="1" applyBorder="1" applyAlignment="1">
      <alignment horizontal="left" wrapText="1"/>
    </xf>
    <xf numFmtId="168" fontId="15" fillId="10" borderId="0" xfId="0" applyNumberFormat="1" applyFont="1" applyFill="1" applyAlignment="1">
      <alignment horizontal="center"/>
    </xf>
    <xf numFmtId="0" fontId="2" fillId="10" borderId="0" xfId="0" applyFont="1" applyFill="1"/>
    <xf numFmtId="165" fontId="2" fillId="13" borderId="20" xfId="0" applyNumberFormat="1" applyFont="1" applyFill="1" applyBorder="1" applyAlignment="1">
      <alignment horizontal="right"/>
    </xf>
    <xf numFmtId="165" fontId="2" fillId="13" borderId="0" xfId="0" applyNumberFormat="1" applyFont="1" applyFill="1" applyAlignment="1">
      <alignment horizontal="right"/>
    </xf>
    <xf numFmtId="0" fontId="2" fillId="10" borderId="0" xfId="0" applyFont="1" applyFill="1" applyAlignment="1">
      <alignment horizontal="center"/>
    </xf>
    <xf numFmtId="2" fontId="1" fillId="13" borderId="0" xfId="0" applyNumberFormat="1" applyFont="1" applyFill="1"/>
    <xf numFmtId="2" fontId="1" fillId="13" borderId="33" xfId="0" applyNumberFormat="1" applyFont="1" applyFill="1" applyBorder="1"/>
    <xf numFmtId="2" fontId="2" fillId="13" borderId="0" xfId="0" applyNumberFormat="1" applyFont="1" applyFill="1"/>
    <xf numFmtId="0" fontId="17" fillId="13" borderId="0" xfId="0" applyFont="1" applyFill="1"/>
    <xf numFmtId="0" fontId="1" fillId="13" borderId="0" xfId="0" applyFont="1" applyFill="1"/>
    <xf numFmtId="0" fontId="2" fillId="13" borderId="0" xfId="0" applyFont="1" applyFill="1"/>
    <xf numFmtId="165" fontId="1" fillId="13" borderId="0" xfId="0" applyNumberFormat="1" applyFont="1" applyFill="1" applyAlignment="1">
      <alignment horizontal="right"/>
    </xf>
    <xf numFmtId="0" fontId="18" fillId="11" borderId="0" xfId="0" applyFont="1" applyFill="1" applyAlignment="1">
      <alignment horizontal="right" vertical="center"/>
    </xf>
    <xf numFmtId="2" fontId="1" fillId="9" borderId="0" xfId="0" applyNumberFormat="1" applyFont="1" applyFill="1"/>
    <xf numFmtId="2" fontId="2" fillId="9" borderId="0" xfId="0" applyNumberFormat="1" applyFont="1" applyFill="1"/>
    <xf numFmtId="2" fontId="2" fillId="10" borderId="0" xfId="0" applyNumberFormat="1" applyFont="1" applyFill="1"/>
    <xf numFmtId="3" fontId="1" fillId="13" borderId="0" xfId="0" applyNumberFormat="1" applyFont="1" applyFill="1" applyAlignment="1">
      <alignment horizontal="right"/>
    </xf>
    <xf numFmtId="3" fontId="1" fillId="13" borderId="31" xfId="0" applyNumberFormat="1" applyFont="1" applyFill="1" applyBorder="1" applyAlignment="1">
      <alignment horizontal="right"/>
    </xf>
    <xf numFmtId="0" fontId="2" fillId="0" borderId="0" xfId="0" applyFont="1" applyAlignment="1">
      <alignment horizontal="left" wrapText="1" indent="1"/>
    </xf>
    <xf numFmtId="168" fontId="1" fillId="10" borderId="0" xfId="0" applyNumberFormat="1" applyFont="1" applyFill="1" applyAlignment="1">
      <alignment horizontal="center"/>
    </xf>
    <xf numFmtId="0" fontId="1" fillId="0" borderId="0" xfId="0" applyFont="1" applyAlignment="1">
      <alignment horizontal="center"/>
    </xf>
    <xf numFmtId="0" fontId="20" fillId="0" borderId="0" xfId="0" applyFont="1"/>
    <xf numFmtId="0" fontId="19" fillId="0" borderId="0" xfId="0" applyFont="1" applyAlignment="1">
      <alignment horizontal="left" indent="1"/>
    </xf>
    <xf numFmtId="0" fontId="19" fillId="0" borderId="0" xfId="0" applyFont="1" applyAlignment="1">
      <alignment horizontal="left" wrapText="1" indent="1"/>
    </xf>
    <xf numFmtId="0" fontId="19" fillId="0" borderId="0" xfId="0" applyFont="1" applyAlignment="1">
      <alignment horizontal="left" indent="2"/>
    </xf>
    <xf numFmtId="0" fontId="19" fillId="0" borderId="0" xfId="0" applyFont="1" applyAlignment="1">
      <alignment horizontal="center" wrapText="1"/>
    </xf>
    <xf numFmtId="9" fontId="19" fillId="0" borderId="0" xfId="0" applyNumberFormat="1" applyFont="1" applyAlignment="1">
      <alignment horizontal="center"/>
    </xf>
    <xf numFmtId="0" fontId="20" fillId="0" borderId="0" xfId="0" applyFont="1" applyAlignment="1">
      <alignment horizontal="center"/>
    </xf>
    <xf numFmtId="167" fontId="19" fillId="0" borderId="0" xfId="0" applyNumberFormat="1" applyFont="1" applyAlignment="1">
      <alignment horizontal="center"/>
    </xf>
    <xf numFmtId="0" fontId="12" fillId="3" borderId="0" xfId="0" applyFont="1" applyFill="1" applyAlignment="1">
      <alignment horizontal="center"/>
    </xf>
    <xf numFmtId="0" fontId="12" fillId="0" borderId="0" xfId="0" applyFont="1" applyAlignment="1">
      <alignment horizontal="left" vertical="top" wrapText="1"/>
    </xf>
    <xf numFmtId="0" fontId="3" fillId="7" borderId="1" xfId="0" applyFont="1" applyFill="1" applyBorder="1" applyAlignment="1">
      <alignment horizontal="center"/>
    </xf>
    <xf numFmtId="0" fontId="3" fillId="7" borderId="0" xfId="0" applyFont="1" applyFill="1" applyAlignment="1">
      <alignment horizontal="center"/>
    </xf>
    <xf numFmtId="0" fontId="3" fillId="8" borderId="35" xfId="0" applyFont="1" applyFill="1" applyBorder="1" applyAlignment="1">
      <alignment horizontal="center"/>
    </xf>
    <xf numFmtId="0" fontId="3" fillId="8" borderId="6" xfId="0" applyFont="1" applyFill="1" applyBorder="1" applyAlignment="1">
      <alignment horizontal="center"/>
    </xf>
    <xf numFmtId="0" fontId="1" fillId="8" borderId="0" xfId="0" applyFont="1" applyFill="1"/>
    <xf numFmtId="0" fontId="3" fillId="7" borderId="34" xfId="0" applyFont="1" applyFill="1" applyBorder="1"/>
    <xf numFmtId="0" fontId="3" fillId="7" borderId="0" xfId="0" applyFont="1" applyFill="1"/>
    <xf numFmtId="0" fontId="3" fillId="7" borderId="4" xfId="0" applyFont="1" applyFill="1" applyBorder="1" applyAlignment="1">
      <alignment horizontal="center"/>
    </xf>
    <xf numFmtId="0" fontId="3" fillId="0" borderId="0" xfId="0" applyFont="1" applyAlignment="1">
      <alignment horizontal="center"/>
    </xf>
    <xf numFmtId="0" fontId="3" fillId="0" borderId="0" xfId="0" applyFont="1" applyAlignment="1">
      <alignment horizontal="left"/>
    </xf>
    <xf numFmtId="165" fontId="3" fillId="8" borderId="0" xfId="0" applyNumberFormat="1" applyFont="1" applyFill="1" applyAlignment="1">
      <alignment horizontal="center"/>
    </xf>
    <xf numFmtId="3" fontId="3" fillId="8" borderId="2" xfId="0" applyNumberFormat="1" applyFont="1" applyFill="1" applyBorder="1" applyAlignment="1">
      <alignment horizontal="center"/>
    </xf>
    <xf numFmtId="168" fontId="3" fillId="8" borderId="0" xfId="0" applyNumberFormat="1" applyFont="1" applyFill="1"/>
    <xf numFmtId="168" fontId="3" fillId="0" borderId="0" xfId="0" applyNumberFormat="1" applyFont="1"/>
    <xf numFmtId="0" fontId="1" fillId="0" borderId="4" xfId="0" applyFont="1" applyBorder="1"/>
    <xf numFmtId="0" fontId="1" fillId="0" borderId="8" xfId="0" applyFont="1" applyBorder="1"/>
    <xf numFmtId="165" fontId="3" fillId="0" borderId="0" xfId="0" applyNumberFormat="1" applyFont="1" applyAlignment="1">
      <alignment horizontal="center"/>
    </xf>
    <xf numFmtId="165" fontId="3" fillId="0" borderId="4" xfId="0" applyNumberFormat="1" applyFont="1" applyBorder="1" applyAlignment="1">
      <alignment horizontal="center"/>
    </xf>
    <xf numFmtId="165" fontId="21" fillId="0" borderId="0" xfId="0" applyNumberFormat="1" applyFont="1" applyAlignment="1">
      <alignment horizontal="center"/>
    </xf>
    <xf numFmtId="3" fontId="21" fillId="0" borderId="0" xfId="0" applyNumberFormat="1" applyFont="1" applyAlignment="1">
      <alignment horizontal="center"/>
    </xf>
    <xf numFmtId="0" fontId="3" fillId="0" borderId="0" xfId="0" applyFont="1" applyAlignment="1">
      <alignment horizontal="center" wrapText="1"/>
    </xf>
    <xf numFmtId="3" fontId="3" fillId="0" borderId="0" xfId="0" applyNumberFormat="1" applyFont="1" applyAlignment="1">
      <alignment horizontal="center"/>
    </xf>
    <xf numFmtId="0" fontId="3" fillId="7" borderId="0" xfId="0" applyFont="1" applyFill="1" applyAlignment="1">
      <alignment horizontal="center" wrapText="1"/>
    </xf>
    <xf numFmtId="165" fontId="21" fillId="8" borderId="0" xfId="0" applyNumberFormat="1" applyFont="1" applyFill="1" applyAlignment="1">
      <alignment horizontal="center"/>
    </xf>
    <xf numFmtId="0" fontId="3" fillId="0" borderId="0" xfId="0" applyFont="1"/>
    <xf numFmtId="168" fontId="3" fillId="12" borderId="0" xfId="0" applyNumberFormat="1" applyFont="1" applyFill="1"/>
    <xf numFmtId="2" fontId="1" fillId="3" borderId="3" xfId="0" applyNumberFormat="1" applyFont="1" applyFill="1" applyBorder="1"/>
    <xf numFmtId="0" fontId="3" fillId="3" borderId="35" xfId="0" applyFont="1" applyFill="1" applyBorder="1"/>
    <xf numFmtId="0" fontId="3" fillId="3" borderId="35" xfId="0" applyFont="1" applyFill="1" applyBorder="1" applyAlignment="1">
      <alignment horizontal="center"/>
    </xf>
    <xf numFmtId="0" fontId="3" fillId="0" borderId="1" xfId="0" applyFont="1" applyBorder="1" applyAlignment="1">
      <alignment horizontal="left" vertical="top" wrapText="1"/>
    </xf>
    <xf numFmtId="0" fontId="3" fillId="0" borderId="0" xfId="0" applyFont="1" applyAlignment="1">
      <alignment horizontal="left" vertical="top" wrapText="1"/>
    </xf>
    <xf numFmtId="0" fontId="3" fillId="0" borderId="1" xfId="0" applyFont="1" applyBorder="1" applyAlignment="1">
      <alignment horizontal="left" wrapText="1"/>
    </xf>
    <xf numFmtId="0" fontId="3" fillId="0" borderId="0" xfId="0" applyFont="1" applyAlignment="1">
      <alignment horizontal="left" wrapText="1"/>
    </xf>
    <xf numFmtId="0" fontId="3" fillId="0" borderId="3" xfId="0" applyFont="1" applyBorder="1" applyAlignment="1">
      <alignment horizontal="left"/>
    </xf>
    <xf numFmtId="4" fontId="3" fillId="0" borderId="0" xfId="0" applyNumberFormat="1" applyFont="1" applyAlignment="1">
      <alignment horizontal="center"/>
    </xf>
    <xf numFmtId="0" fontId="3" fillId="0" borderId="3" xfId="0" applyFont="1" applyBorder="1" applyAlignment="1">
      <alignment horizontal="center"/>
    </xf>
    <xf numFmtId="0" fontId="3" fillId="0" borderId="0" xfId="0" applyFont="1" applyAlignment="1">
      <alignment horizontal="left" vertical="top"/>
    </xf>
    <xf numFmtId="0" fontId="21" fillId="0" borderId="0" xfId="0" applyFont="1" applyAlignment="1">
      <alignment horizontal="left" wrapText="1"/>
    </xf>
    <xf numFmtId="0" fontId="1" fillId="3" borderId="2" xfId="0" applyFont="1" applyFill="1" applyBorder="1"/>
    <xf numFmtId="0" fontId="3" fillId="3" borderId="7" xfId="0" applyFont="1" applyFill="1" applyBorder="1"/>
    <xf numFmtId="0" fontId="3" fillId="3" borderId="7" xfId="0" applyFont="1" applyFill="1" applyBorder="1" applyAlignment="1">
      <alignment horizontal="center"/>
    </xf>
    <xf numFmtId="165" fontId="21" fillId="0" borderId="1" xfId="0" applyNumberFormat="1" applyFont="1" applyBorder="1" applyAlignment="1">
      <alignment horizontal="center"/>
    </xf>
    <xf numFmtId="0" fontId="21" fillId="0" borderId="0" xfId="0" applyFont="1"/>
    <xf numFmtId="0" fontId="3" fillId="0" borderId="1" xfId="0" applyFont="1" applyBorder="1" applyAlignment="1">
      <alignment horizontal="left" vertical="top"/>
    </xf>
    <xf numFmtId="0" fontId="3" fillId="0" borderId="0" xfId="0" applyFont="1" applyAlignment="1">
      <alignment horizontal="left" indent="1"/>
    </xf>
    <xf numFmtId="3" fontId="3" fillId="0" borderId="0" xfId="0" applyNumberFormat="1" applyFont="1" applyAlignment="1">
      <alignment horizontal="right"/>
    </xf>
    <xf numFmtId="3" fontId="3" fillId="8" borderId="7" xfId="0" applyNumberFormat="1" applyFont="1" applyFill="1" applyBorder="1" applyAlignment="1">
      <alignment horizontal="center"/>
    </xf>
    <xf numFmtId="0" fontId="21" fillId="0" borderId="1" xfId="0" applyFont="1" applyBorder="1" applyAlignment="1">
      <alignment horizontal="left" wrapText="1"/>
    </xf>
    <xf numFmtId="0" fontId="3" fillId="8" borderId="7" xfId="0" applyFont="1" applyFill="1" applyBorder="1" applyAlignment="1">
      <alignment horizontal="center"/>
    </xf>
    <xf numFmtId="0" fontId="3" fillId="0" borderId="5" xfId="0" applyFont="1" applyBorder="1" applyAlignment="1">
      <alignment horizontal="left"/>
    </xf>
    <xf numFmtId="0" fontId="3" fillId="0" borderId="1" xfId="0" applyFont="1" applyBorder="1" applyAlignment="1">
      <alignment horizontal="center" wrapText="1"/>
    </xf>
    <xf numFmtId="0" fontId="3" fillId="0" borderId="1" xfId="0" applyFont="1" applyBorder="1" applyAlignment="1">
      <alignment horizontal="center"/>
    </xf>
    <xf numFmtId="14" fontId="1" fillId="0" borderId="1" xfId="0" applyNumberFormat="1" applyFont="1" applyBorder="1"/>
    <xf numFmtId="14" fontId="1" fillId="0" borderId="2" xfId="0" applyNumberFormat="1" applyFont="1" applyBorder="1"/>
    <xf numFmtId="165" fontId="3" fillId="8" borderId="5" xfId="0" applyNumberFormat="1" applyFont="1" applyFill="1" applyBorder="1" applyAlignment="1">
      <alignment horizontal="center"/>
    </xf>
    <xf numFmtId="0" fontId="2" fillId="0" borderId="0" xfId="0" applyFont="1" applyAlignment="1">
      <alignment horizontal="center" wrapText="1"/>
    </xf>
    <xf numFmtId="169" fontId="1" fillId="0" borderId="0" xfId="0" applyNumberFormat="1" applyFont="1"/>
    <xf numFmtId="0" fontId="2" fillId="3" borderId="3" xfId="0" applyFont="1" applyFill="1" applyBorder="1" applyAlignment="1">
      <alignment horizontal="center" wrapText="1"/>
    </xf>
    <xf numFmtId="0" fontId="2" fillId="3" borderId="6" xfId="0" applyFont="1" applyFill="1" applyBorder="1" applyAlignment="1">
      <alignment wrapText="1"/>
    </xf>
    <xf numFmtId="0" fontId="3" fillId="0" borderId="0" xfId="0" applyFont="1" applyAlignment="1">
      <alignment wrapText="1"/>
    </xf>
    <xf numFmtId="0" fontId="3" fillId="7" borderId="8" xfId="0" applyFont="1" applyFill="1" applyBorder="1" applyAlignment="1">
      <alignment horizontal="center"/>
    </xf>
    <xf numFmtId="0" fontId="3" fillId="7" borderId="2" xfId="0" applyFont="1" applyFill="1" applyBorder="1" applyAlignment="1">
      <alignment horizontal="center"/>
    </xf>
    <xf numFmtId="0" fontId="3" fillId="7" borderId="7" xfId="0" applyFont="1" applyFill="1" applyBorder="1" applyAlignment="1">
      <alignment horizontal="center"/>
    </xf>
    <xf numFmtId="0" fontId="3" fillId="0" borderId="5" xfId="0" applyFont="1" applyBorder="1" applyAlignment="1">
      <alignment horizontal="center"/>
    </xf>
    <xf numFmtId="0" fontId="12" fillId="0" borderId="1" xfId="0" applyFont="1" applyBorder="1"/>
    <xf numFmtId="3" fontId="3" fillId="8" borderId="8" xfId="0" applyNumberFormat="1" applyFont="1" applyFill="1" applyBorder="1" applyAlignment="1">
      <alignment horizontal="center"/>
    </xf>
    <xf numFmtId="0" fontId="3" fillId="0" borderId="1" xfId="0" applyFont="1" applyBorder="1" applyAlignment="1">
      <alignment horizontal="left"/>
    </xf>
    <xf numFmtId="3" fontId="3" fillId="7" borderId="7" xfId="0" applyNumberFormat="1" applyFont="1" applyFill="1" applyBorder="1" applyAlignment="1">
      <alignment horizontal="center"/>
    </xf>
    <xf numFmtId="0" fontId="3" fillId="7" borderId="1" xfId="0" applyFont="1" applyFill="1" applyBorder="1"/>
    <xf numFmtId="0" fontId="3" fillId="8" borderId="0" xfId="0" applyFont="1" applyFill="1"/>
    <xf numFmtId="0" fontId="3" fillId="8" borderId="5" xfId="0" applyFont="1" applyFill="1" applyBorder="1" applyAlignment="1">
      <alignment horizontal="center"/>
    </xf>
    <xf numFmtId="0" fontId="3" fillId="7" borderId="3" xfId="0" applyFont="1" applyFill="1" applyBorder="1" applyAlignment="1">
      <alignment horizontal="center"/>
    </xf>
    <xf numFmtId="0" fontId="3" fillId="7" borderId="5" xfId="0" applyFont="1" applyFill="1" applyBorder="1" applyAlignment="1">
      <alignment horizontal="center"/>
    </xf>
    <xf numFmtId="0" fontId="3" fillId="7" borderId="6" xfId="0" applyFont="1" applyFill="1" applyBorder="1" applyAlignment="1">
      <alignment horizontal="center"/>
    </xf>
    <xf numFmtId="0" fontId="3" fillId="8" borderId="2" xfId="0" applyFont="1" applyFill="1" applyBorder="1" applyAlignment="1">
      <alignment horizontal="center"/>
    </xf>
    <xf numFmtId="0" fontId="3" fillId="7" borderId="35" xfId="0" applyFont="1" applyFill="1" applyBorder="1" applyAlignment="1">
      <alignment horizontal="center"/>
    </xf>
    <xf numFmtId="0" fontId="3" fillId="8" borderId="8" xfId="0" applyFont="1" applyFill="1" applyBorder="1" applyAlignment="1">
      <alignment horizontal="center"/>
    </xf>
    <xf numFmtId="0" fontId="3" fillId="7" borderId="35" xfId="0" applyFont="1" applyFill="1" applyBorder="1"/>
    <xf numFmtId="0" fontId="3" fillId="3" borderId="0" xfId="0" applyFont="1" applyFill="1" applyAlignment="1">
      <alignment horizontal="center"/>
    </xf>
    <xf numFmtId="0" fontId="3" fillId="8" borderId="14" xfId="0" applyFont="1" applyFill="1" applyBorder="1" applyAlignment="1">
      <alignment horizontal="center"/>
    </xf>
    <xf numFmtId="0" fontId="3" fillId="8" borderId="12" xfId="0" applyFont="1" applyFill="1" applyBorder="1" applyAlignment="1">
      <alignment horizontal="center"/>
    </xf>
    <xf numFmtId="3" fontId="3" fillId="7" borderId="0" xfId="0" applyNumberFormat="1" applyFont="1" applyFill="1" applyAlignment="1">
      <alignment horizontal="center"/>
    </xf>
    <xf numFmtId="3" fontId="21" fillId="7" borderId="0" xfId="0" applyNumberFormat="1" applyFont="1" applyFill="1" applyAlignment="1">
      <alignment horizontal="center"/>
    </xf>
    <xf numFmtId="165" fontId="3" fillId="8" borderId="6" xfId="0" applyNumberFormat="1" applyFont="1" applyFill="1" applyBorder="1" applyAlignment="1">
      <alignment horizontal="center"/>
    </xf>
    <xf numFmtId="0" fontId="3" fillId="7" borderId="6" xfId="0" applyFont="1" applyFill="1" applyBorder="1"/>
    <xf numFmtId="0" fontId="3" fillId="3" borderId="0" xfId="0" applyFont="1" applyFill="1"/>
    <xf numFmtId="165" fontId="21" fillId="8" borderId="4" xfId="0" applyNumberFormat="1" applyFont="1" applyFill="1" applyBorder="1" applyAlignment="1">
      <alignment horizontal="center"/>
    </xf>
    <xf numFmtId="3" fontId="21" fillId="7" borderId="4" xfId="0" applyNumberFormat="1" applyFont="1" applyFill="1" applyBorder="1" applyAlignment="1">
      <alignment horizontal="center"/>
    </xf>
    <xf numFmtId="0" fontId="3" fillId="7" borderId="4" xfId="0" applyFont="1" applyFill="1" applyBorder="1" applyAlignment="1">
      <alignment horizontal="center" wrapText="1"/>
    </xf>
    <xf numFmtId="165" fontId="3" fillId="8" borderId="4" xfId="0" applyNumberFormat="1" applyFont="1" applyFill="1" applyBorder="1" applyAlignment="1">
      <alignment horizontal="center"/>
    </xf>
    <xf numFmtId="3" fontId="3" fillId="7" borderId="4" xfId="0" applyNumberFormat="1" applyFont="1" applyFill="1" applyBorder="1" applyAlignment="1">
      <alignment horizontal="center"/>
    </xf>
    <xf numFmtId="0" fontId="3" fillId="0" borderId="38" xfId="0" applyFont="1" applyBorder="1"/>
    <xf numFmtId="0" fontId="3" fillId="0" borderId="39" xfId="0" applyFont="1" applyBorder="1" applyAlignment="1">
      <alignment horizontal="center"/>
    </xf>
    <xf numFmtId="0" fontId="3" fillId="0" borderId="38" xfId="0" applyFont="1" applyBorder="1" applyAlignment="1">
      <alignment horizontal="center"/>
    </xf>
    <xf numFmtId="165" fontId="3" fillId="0" borderId="38" xfId="0" applyNumberFormat="1" applyFont="1" applyBorder="1" applyAlignment="1">
      <alignment horizontal="center"/>
    </xf>
    <xf numFmtId="0" fontId="3" fillId="0" borderId="35" xfId="0" applyFont="1" applyBorder="1" applyAlignment="1">
      <alignment horizontal="center"/>
    </xf>
    <xf numFmtId="2" fontId="1" fillId="3" borderId="0" xfId="0" applyNumberFormat="1" applyFont="1" applyFill="1"/>
    <xf numFmtId="0" fontId="1" fillId="3" borderId="0" xfId="0" applyFont="1" applyFill="1"/>
    <xf numFmtId="4" fontId="3" fillId="0" borderId="4" xfId="0" applyNumberFormat="1" applyFont="1" applyBorder="1" applyAlignment="1">
      <alignment horizontal="center"/>
    </xf>
    <xf numFmtId="168" fontId="3" fillId="8" borderId="38" xfId="0" applyNumberFormat="1" applyFont="1" applyFill="1" applyBorder="1"/>
    <xf numFmtId="168" fontId="3" fillId="8" borderId="40" xfId="0" applyNumberFormat="1" applyFont="1" applyFill="1" applyBorder="1"/>
    <xf numFmtId="0" fontId="12" fillId="7" borderId="41" xfId="0" applyFont="1" applyFill="1" applyBorder="1" applyAlignment="1">
      <alignment horizontal="center"/>
    </xf>
    <xf numFmtId="0" fontId="12" fillId="7" borderId="36" xfId="0" applyFont="1" applyFill="1" applyBorder="1" applyAlignment="1">
      <alignment horizontal="center"/>
    </xf>
    <xf numFmtId="0" fontId="3" fillId="8" borderId="1" xfId="0" applyFont="1" applyFill="1" applyBorder="1" applyAlignment="1">
      <alignment horizontal="center"/>
    </xf>
    <xf numFmtId="0" fontId="3" fillId="8" borderId="0" xfId="0" applyFont="1" applyFill="1" applyAlignment="1">
      <alignment horizontal="center"/>
    </xf>
    <xf numFmtId="0" fontId="12" fillId="13" borderId="36" xfId="0" applyFont="1" applyFill="1" applyBorder="1" applyAlignment="1">
      <alignment horizontal="center" vertical="center" wrapText="1"/>
    </xf>
    <xf numFmtId="0" fontId="12" fillId="0" borderId="0" xfId="0" applyFont="1" applyAlignment="1">
      <alignment horizontal="center"/>
    </xf>
    <xf numFmtId="0" fontId="3" fillId="7" borderId="1" xfId="0" applyFont="1" applyFill="1" applyBorder="1" applyAlignment="1">
      <alignment wrapText="1"/>
    </xf>
    <xf numFmtId="0" fontId="3" fillId="7" borderId="0" xfId="0" applyFont="1" applyFill="1" applyAlignment="1">
      <alignment wrapText="1"/>
    </xf>
    <xf numFmtId="0" fontId="3" fillId="7" borderId="34" xfId="0" applyFont="1" applyFill="1" applyBorder="1" applyAlignment="1">
      <alignment wrapText="1"/>
    </xf>
    <xf numFmtId="0" fontId="3" fillId="8" borderId="6" xfId="0" applyFont="1" applyFill="1" applyBorder="1"/>
    <xf numFmtId="165" fontId="3" fillId="8" borderId="0" xfId="0" applyNumberFormat="1" applyFont="1" applyFill="1" applyAlignment="1">
      <alignment horizontal="center" vertical="top" wrapText="1"/>
    </xf>
    <xf numFmtId="3" fontId="3" fillId="8" borderId="4" xfId="0" applyNumberFormat="1" applyFont="1" applyFill="1" applyBorder="1" applyAlignment="1">
      <alignment horizontal="center"/>
    </xf>
    <xf numFmtId="0" fontId="3" fillId="8" borderId="35" xfId="0" applyFont="1" applyFill="1" applyBorder="1"/>
    <xf numFmtId="165" fontId="1" fillId="0" borderId="0" xfId="0" applyNumberFormat="1" applyFont="1"/>
    <xf numFmtId="3" fontId="3" fillId="0" borderId="7" xfId="0" applyNumberFormat="1" applyFont="1" applyBorder="1" applyAlignment="1">
      <alignment horizontal="center" vertical="top"/>
    </xf>
    <xf numFmtId="168" fontId="3" fillId="0" borderId="4" xfId="0" applyNumberFormat="1" applyFont="1" applyBorder="1" applyAlignment="1">
      <alignment horizontal="center"/>
    </xf>
    <xf numFmtId="165" fontId="3" fillId="0" borderId="8" xfId="0" applyNumberFormat="1" applyFont="1" applyBorder="1" applyAlignment="1">
      <alignment horizontal="center"/>
    </xf>
    <xf numFmtId="165" fontId="3" fillId="0" borderId="0" xfId="0" applyNumberFormat="1" applyFont="1" applyAlignment="1">
      <alignment horizontal="center" vertical="top"/>
    </xf>
    <xf numFmtId="0" fontId="1" fillId="0" borderId="2" xfId="0" applyFont="1" applyBorder="1"/>
    <xf numFmtId="165" fontId="3" fillId="0" borderId="0" xfId="0" applyNumberFormat="1" applyFont="1" applyAlignment="1">
      <alignment horizontal="center" wrapText="1"/>
    </xf>
    <xf numFmtId="165" fontId="3" fillId="0" borderId="7" xfId="0" applyNumberFormat="1" applyFont="1" applyBorder="1" applyAlignment="1">
      <alignment horizontal="center" wrapText="1"/>
    </xf>
    <xf numFmtId="165" fontId="12" fillId="0" borderId="0" xfId="0" applyNumberFormat="1" applyFont="1" applyAlignment="1">
      <alignment horizontal="center" vertical="top" wrapText="1"/>
    </xf>
    <xf numFmtId="165" fontId="21" fillId="0" borderId="35" xfId="0" applyNumberFormat="1" applyFont="1" applyBorder="1" applyAlignment="1">
      <alignment horizontal="center"/>
    </xf>
    <xf numFmtId="2" fontId="3" fillId="0" borderId="7" xfId="0" applyNumberFormat="1" applyFont="1" applyBorder="1"/>
    <xf numFmtId="165" fontId="3" fillId="8" borderId="0" xfId="0" applyNumberFormat="1" applyFont="1" applyFill="1" applyAlignment="1">
      <alignment horizontal="center" wrapText="1"/>
    </xf>
    <xf numFmtId="165" fontId="3" fillId="14" borderId="0" xfId="0" applyNumberFormat="1" applyFont="1" applyFill="1" applyAlignment="1">
      <alignment horizontal="center" wrapText="1"/>
    </xf>
    <xf numFmtId="165" fontId="3" fillId="14" borderId="0" xfId="0" applyNumberFormat="1" applyFont="1" applyFill="1" applyAlignment="1">
      <alignment horizontal="center" vertical="top" wrapText="1"/>
    </xf>
    <xf numFmtId="1" fontId="3" fillId="7" borderId="0" xfId="0" applyNumberFormat="1" applyFont="1" applyFill="1" applyAlignment="1">
      <alignment horizontal="center" wrapText="1"/>
    </xf>
    <xf numFmtId="1" fontId="3" fillId="7" borderId="0" xfId="0" applyNumberFormat="1" applyFont="1" applyFill="1" applyAlignment="1">
      <alignment horizontal="center"/>
    </xf>
    <xf numFmtId="3" fontId="3" fillId="12" borderId="0" xfId="0" applyNumberFormat="1" applyFont="1" applyFill="1" applyAlignment="1">
      <alignment horizontal="center" wrapText="1"/>
    </xf>
    <xf numFmtId="3" fontId="3" fillId="8" borderId="0" xfId="0" applyNumberFormat="1" applyFont="1" applyFill="1" applyAlignment="1">
      <alignment horizontal="center"/>
    </xf>
    <xf numFmtId="3" fontId="3" fillId="8" borderId="0" xfId="0" applyNumberFormat="1" applyFont="1" applyFill="1" applyAlignment="1">
      <alignment horizontal="center" wrapText="1"/>
    </xf>
    <xf numFmtId="165" fontId="21" fillId="0" borderId="0" xfId="0" applyNumberFormat="1" applyFont="1" applyAlignment="1">
      <alignment horizontal="center" wrapText="1"/>
    </xf>
    <xf numFmtId="0" fontId="3" fillId="0" borderId="0" xfId="0" applyFont="1" applyAlignment="1">
      <alignment horizontal="left" vertical="top" wrapText="1" indent="2"/>
    </xf>
    <xf numFmtId="165" fontId="12" fillId="8" borderId="0" xfId="0" applyNumberFormat="1" applyFont="1" applyFill="1" applyAlignment="1">
      <alignment horizontal="center" vertical="top" wrapText="1"/>
    </xf>
    <xf numFmtId="168" fontId="3" fillId="8" borderId="0" xfId="0" applyNumberFormat="1" applyFont="1" applyFill="1" applyAlignment="1">
      <alignment horizontal="center" wrapText="1"/>
    </xf>
    <xf numFmtId="0" fontId="3" fillId="3" borderId="32" xfId="0" applyFont="1" applyFill="1" applyBorder="1" applyAlignment="1">
      <alignment horizontal="center" vertical="center" wrapText="1"/>
    </xf>
    <xf numFmtId="165" fontId="3" fillId="12" borderId="0" xfId="0" applyNumberFormat="1" applyFont="1" applyFill="1" applyAlignment="1">
      <alignment horizontal="center" vertical="top" wrapText="1"/>
    </xf>
    <xf numFmtId="165" fontId="3" fillId="2" borderId="0" xfId="0" applyNumberFormat="1" applyFont="1" applyFill="1" applyAlignment="1">
      <alignment horizontal="center" wrapText="1"/>
    </xf>
    <xf numFmtId="0" fontId="3" fillId="0" borderId="3" xfId="0" applyFont="1" applyBorder="1" applyAlignment="1">
      <alignment horizontal="left" wrapText="1"/>
    </xf>
    <xf numFmtId="0" fontId="3" fillId="0" borderId="3" xfId="0" applyFont="1" applyBorder="1" applyAlignment="1">
      <alignment horizontal="center" wrapText="1"/>
    </xf>
    <xf numFmtId="0" fontId="3" fillId="0" borderId="35" xfId="0" applyFont="1" applyBorder="1" applyAlignment="1">
      <alignment horizontal="center" wrapText="1"/>
    </xf>
    <xf numFmtId="165" fontId="3" fillId="0" borderId="35" xfId="0" applyNumberFormat="1" applyFont="1" applyBorder="1" applyAlignment="1">
      <alignment horizontal="center" wrapText="1"/>
    </xf>
    <xf numFmtId="3" fontId="3" fillId="0" borderId="4" xfId="0" applyNumberFormat="1" applyFont="1" applyBorder="1" applyAlignment="1">
      <alignment horizontal="center" wrapText="1"/>
    </xf>
    <xf numFmtId="0" fontId="3" fillId="0" borderId="7" xfId="0" applyFont="1" applyBorder="1"/>
    <xf numFmtId="3" fontId="3" fillId="0" borderId="1" xfId="0" applyNumberFormat="1" applyFont="1" applyBorder="1" applyAlignment="1">
      <alignment horizontal="center" vertical="top" wrapText="1"/>
    </xf>
    <xf numFmtId="2" fontId="3" fillId="8" borderId="7" xfId="0" applyNumberFormat="1" applyFont="1" applyFill="1" applyBorder="1"/>
    <xf numFmtId="165" fontId="21" fillId="8" borderId="35" xfId="0" applyNumberFormat="1" applyFont="1" applyFill="1" applyBorder="1" applyAlignment="1">
      <alignment horizontal="center"/>
    </xf>
    <xf numFmtId="0" fontId="3" fillId="0" borderId="1" xfId="0" applyFont="1" applyBorder="1" applyAlignment="1">
      <alignment horizontal="left" vertical="top" wrapText="1" indent="2"/>
    </xf>
    <xf numFmtId="3" fontId="3" fillId="0" borderId="4" xfId="0" applyNumberFormat="1" applyFont="1" applyBorder="1" applyAlignment="1">
      <alignment horizontal="center"/>
    </xf>
    <xf numFmtId="3" fontId="3" fillId="7" borderId="7" xfId="0" applyNumberFormat="1" applyFont="1" applyFill="1" applyBorder="1" applyAlignment="1">
      <alignment horizontal="center" vertical="top" wrapText="1"/>
    </xf>
    <xf numFmtId="1" fontId="3" fillId="0" borderId="3" xfId="0" applyNumberFormat="1" applyFont="1" applyBorder="1" applyAlignment="1">
      <alignment horizontal="center"/>
    </xf>
    <xf numFmtId="1" fontId="3" fillId="0" borderId="35" xfId="0" applyNumberFormat="1" applyFont="1" applyBorder="1" applyAlignment="1">
      <alignment horizontal="center"/>
    </xf>
    <xf numFmtId="1" fontId="3" fillId="7" borderId="35" xfId="0" applyNumberFormat="1" applyFont="1" applyFill="1" applyBorder="1" applyAlignment="1">
      <alignment horizontal="center"/>
    </xf>
    <xf numFmtId="0" fontId="21" fillId="0" borderId="0" xfId="0" applyFont="1" applyAlignment="1">
      <alignment horizontal="left"/>
    </xf>
    <xf numFmtId="0" fontId="21" fillId="0" borderId="3" xfId="0" applyFont="1" applyBorder="1" applyAlignment="1">
      <alignment horizontal="left"/>
    </xf>
    <xf numFmtId="0" fontId="21" fillId="0" borderId="35" xfId="0" applyFont="1" applyBorder="1" applyAlignment="1">
      <alignment horizontal="left"/>
    </xf>
    <xf numFmtId="1" fontId="3" fillId="0" borderId="1" xfId="0" applyNumberFormat="1" applyFont="1" applyBorder="1" applyAlignment="1">
      <alignment horizontal="center" wrapText="1"/>
    </xf>
    <xf numFmtId="165" fontId="3" fillId="0" borderId="5" xfId="0" applyNumberFormat="1" applyFont="1" applyBorder="1" applyAlignment="1">
      <alignment horizontal="center" wrapText="1"/>
    </xf>
    <xf numFmtId="165" fontId="3" fillId="15" borderId="0" xfId="0" applyNumberFormat="1" applyFont="1" applyFill="1" applyAlignment="1">
      <alignment horizontal="center" wrapText="1"/>
    </xf>
    <xf numFmtId="165" fontId="3" fillId="0" borderId="0" xfId="0" applyNumberFormat="1" applyFont="1" applyAlignment="1">
      <alignment vertical="top" wrapText="1"/>
    </xf>
    <xf numFmtId="0" fontId="3" fillId="0" borderId="2" xfId="0" applyFont="1" applyBorder="1" applyAlignment="1">
      <alignment horizontal="left" vertical="top" wrapText="1" indent="2"/>
    </xf>
    <xf numFmtId="0" fontId="3" fillId="0" borderId="4" xfId="0" applyFont="1" applyBorder="1" applyAlignment="1">
      <alignment vertical="top" wrapText="1"/>
    </xf>
    <xf numFmtId="0" fontId="3" fillId="0" borderId="1" xfId="0" applyFont="1" applyBorder="1" applyAlignment="1">
      <alignment horizontal="left" wrapText="1" indent="4"/>
    </xf>
    <xf numFmtId="0" fontId="12" fillId="0" borderId="0" xfId="0" applyFont="1" applyAlignment="1">
      <alignment horizontal="left" wrapText="1"/>
    </xf>
    <xf numFmtId="3" fontId="3" fillId="0" borderId="0" xfId="0" applyNumberFormat="1" applyFont="1" applyAlignment="1">
      <alignment horizontal="center" vertical="top"/>
    </xf>
    <xf numFmtId="3" fontId="3" fillId="0" borderId="8" xfId="0" applyNumberFormat="1" applyFont="1" applyBorder="1" applyAlignment="1">
      <alignment horizontal="center" wrapText="1"/>
    </xf>
    <xf numFmtId="0" fontId="3" fillId="0" borderId="41" xfId="0" applyFont="1" applyBorder="1" applyAlignment="1">
      <alignment wrapText="1"/>
    </xf>
    <xf numFmtId="0" fontId="3" fillId="0" borderId="36" xfId="0" applyFont="1" applyBorder="1"/>
    <xf numFmtId="3" fontId="3" fillId="0" borderId="0" xfId="0" applyNumberFormat="1" applyFont="1" applyAlignment="1">
      <alignment vertical="top" wrapText="1"/>
    </xf>
    <xf numFmtId="3" fontId="3" fillId="0" borderId="6" xfId="0" applyNumberFormat="1" applyFont="1" applyBorder="1" applyAlignment="1">
      <alignment horizontal="center"/>
    </xf>
    <xf numFmtId="3" fontId="3" fillId="0" borderId="2" xfId="0" applyNumberFormat="1" applyFont="1" applyBorder="1" applyAlignment="1">
      <alignment horizontal="center" vertical="top" wrapText="1"/>
    </xf>
    <xf numFmtId="0" fontId="3" fillId="0" borderId="0" xfId="0" applyFont="1" applyAlignment="1">
      <alignment horizontal="left" wrapText="1" indent="2"/>
    </xf>
    <xf numFmtId="3" fontId="3" fillId="0" borderId="7" xfId="0" applyNumberFormat="1" applyFont="1" applyBorder="1" applyAlignment="1">
      <alignment horizontal="center" vertical="top" wrapText="1"/>
    </xf>
    <xf numFmtId="0" fontId="3" fillId="0" borderId="0" xfId="0" applyFont="1" applyAlignment="1">
      <alignment horizontal="left" wrapText="1" indent="4"/>
    </xf>
    <xf numFmtId="0" fontId="3" fillId="0" borderId="4" xfId="0" applyFont="1" applyBorder="1" applyAlignment="1">
      <alignment wrapText="1"/>
    </xf>
    <xf numFmtId="0" fontId="3" fillId="0" borderId="2" xfId="0" applyFont="1" applyBorder="1" applyAlignment="1">
      <alignment horizontal="left" wrapText="1" indent="4"/>
    </xf>
    <xf numFmtId="3" fontId="22" fillId="0" borderId="0" xfId="0" applyNumberFormat="1" applyFont="1" applyAlignment="1">
      <alignment horizontal="center" wrapText="1"/>
    </xf>
    <xf numFmtId="3" fontId="3" fillId="0" borderId="7" xfId="0" applyNumberFormat="1" applyFont="1" applyBorder="1" applyAlignment="1">
      <alignment horizontal="center" wrapText="1"/>
    </xf>
    <xf numFmtId="168" fontId="3" fillId="0" borderId="1" xfId="0" applyNumberFormat="1" applyFont="1" applyBorder="1" applyAlignment="1">
      <alignment horizontal="center" wrapText="1"/>
    </xf>
    <xf numFmtId="168" fontId="3" fillId="0" borderId="2" xfId="0" applyNumberFormat="1" applyFont="1" applyBorder="1" applyAlignment="1">
      <alignment horizontal="center" wrapText="1"/>
    </xf>
    <xf numFmtId="0" fontId="23" fillId="0" borderId="0" xfId="0" applyFont="1"/>
    <xf numFmtId="165" fontId="3" fillId="8" borderId="7" xfId="0" applyNumberFormat="1" applyFont="1" applyFill="1" applyBorder="1" applyAlignment="1">
      <alignment horizontal="center" wrapText="1"/>
    </xf>
    <xf numFmtId="0" fontId="12" fillId="0" borderId="0" xfId="0" applyFont="1" applyAlignment="1">
      <alignment wrapText="1"/>
    </xf>
    <xf numFmtId="3" fontId="3" fillId="0" borderId="0" xfId="0" applyNumberFormat="1" applyFont="1" applyAlignment="1">
      <alignment horizontal="left" vertical="top" wrapText="1"/>
    </xf>
    <xf numFmtId="168" fontId="3" fillId="0" borderId="0" xfId="0" applyNumberFormat="1" applyFont="1" applyAlignment="1">
      <alignment horizontal="center" wrapText="1"/>
    </xf>
    <xf numFmtId="165" fontId="3" fillId="0" borderId="0" xfId="0" applyNumberFormat="1" applyFont="1" applyAlignment="1">
      <alignment wrapText="1"/>
    </xf>
    <xf numFmtId="0" fontId="12" fillId="0" borderId="1" xfId="0" applyFont="1" applyBorder="1" applyAlignment="1">
      <alignment horizontal="left" vertical="top" wrapText="1"/>
    </xf>
    <xf numFmtId="3" fontId="12" fillId="0" borderId="32" xfId="0" applyNumberFormat="1" applyFont="1" applyBorder="1" applyAlignment="1">
      <alignment horizontal="left" wrapText="1"/>
    </xf>
    <xf numFmtId="165" fontId="3" fillId="0" borderId="13" xfId="0" applyNumberFormat="1" applyFont="1" applyBorder="1" applyAlignment="1">
      <alignment horizontal="center" wrapText="1"/>
    </xf>
    <xf numFmtId="168" fontId="3" fillId="0" borderId="13" xfId="0" applyNumberFormat="1" applyFont="1" applyBorder="1" applyAlignment="1">
      <alignment horizontal="center" wrapText="1"/>
    </xf>
    <xf numFmtId="3" fontId="3" fillId="0" borderId="12" xfId="0" applyNumberFormat="1" applyFont="1" applyBorder="1" applyAlignment="1">
      <alignment horizontal="center" vertical="top"/>
    </xf>
    <xf numFmtId="0" fontId="12" fillId="0" borderId="0" xfId="0" applyFont="1" applyAlignment="1">
      <alignment horizontal="center" vertical="center" wrapText="1"/>
    </xf>
    <xf numFmtId="165" fontId="3" fillId="0" borderId="8" xfId="0" applyNumberFormat="1" applyFont="1" applyBorder="1" applyAlignment="1">
      <alignment horizontal="center" wrapText="1"/>
    </xf>
    <xf numFmtId="3" fontId="3" fillId="0" borderId="8" xfId="0" applyNumberFormat="1" applyFont="1" applyBorder="1" applyAlignment="1">
      <alignment horizontal="center"/>
    </xf>
    <xf numFmtId="165" fontId="3" fillId="8" borderId="5" xfId="0" applyNumberFormat="1" applyFont="1" applyFill="1" applyBorder="1" applyAlignment="1">
      <alignment horizontal="center" wrapText="1"/>
    </xf>
    <xf numFmtId="0" fontId="12" fillId="0" borderId="1" xfId="0" applyFont="1" applyBorder="1" applyAlignment="1">
      <alignment horizontal="left" vertical="top" wrapText="1" indent="2"/>
    </xf>
    <xf numFmtId="165" fontId="3" fillId="14" borderId="7" xfId="0" applyNumberFormat="1" applyFont="1" applyFill="1" applyBorder="1" applyAlignment="1">
      <alignment horizontal="center" wrapText="1"/>
    </xf>
    <xf numFmtId="0" fontId="3" fillId="0" borderId="1" xfId="0" applyFont="1" applyBorder="1" applyAlignment="1">
      <alignment horizontal="left" wrapText="1" indent="2"/>
    </xf>
    <xf numFmtId="0" fontId="3" fillId="0" borderId="5" xfId="0" applyFont="1" applyBorder="1" applyAlignment="1">
      <alignment horizontal="center" wrapText="1"/>
    </xf>
    <xf numFmtId="0" fontId="3" fillId="0" borderId="14" xfId="0" applyFont="1" applyBorder="1" applyAlignment="1">
      <alignment horizontal="center"/>
    </xf>
    <xf numFmtId="0" fontId="12" fillId="0" borderId="41" xfId="0" applyFont="1" applyBorder="1" applyAlignment="1">
      <alignment horizontal="center" wrapText="1"/>
    </xf>
    <xf numFmtId="0" fontId="12" fillId="0" borderId="41" xfId="0" applyFont="1" applyBorder="1" applyAlignment="1">
      <alignment wrapText="1"/>
    </xf>
    <xf numFmtId="3" fontId="12" fillId="0" borderId="36" xfId="0" applyNumberFormat="1" applyFont="1" applyBorder="1" applyAlignment="1">
      <alignment horizontal="center" wrapText="1"/>
    </xf>
    <xf numFmtId="0" fontId="3" fillId="0" borderId="1" xfId="0" applyFont="1" applyBorder="1" applyAlignment="1">
      <alignment vertical="top" wrapText="1"/>
    </xf>
    <xf numFmtId="0" fontId="3" fillId="0" borderId="1" xfId="0" applyFont="1" applyBorder="1" applyAlignment="1">
      <alignment horizontal="left" vertical="top" wrapText="1" indent="1"/>
    </xf>
    <xf numFmtId="0" fontId="3" fillId="0" borderId="1" xfId="0" applyFont="1" applyBorder="1" applyAlignment="1">
      <alignment horizontal="left" wrapText="1" indent="1"/>
    </xf>
    <xf numFmtId="0" fontId="12" fillId="0" borderId="1" xfId="0" applyFont="1" applyBorder="1" applyAlignment="1">
      <alignment horizontal="left" wrapText="1"/>
    </xf>
    <xf numFmtId="3" fontId="3" fillId="0" borderId="1" xfId="0" applyNumberFormat="1" applyFont="1" applyBorder="1" applyAlignment="1">
      <alignment horizontal="center" wrapText="1"/>
    </xf>
    <xf numFmtId="0" fontId="21" fillId="0" borderId="1" xfId="0" applyFont="1" applyBorder="1" applyAlignment="1">
      <alignment wrapText="1"/>
    </xf>
    <xf numFmtId="165" fontId="3" fillId="0" borderId="1" xfId="0" applyNumberFormat="1" applyFont="1" applyBorder="1" applyAlignment="1">
      <alignment horizontal="center" vertical="top" wrapText="1"/>
    </xf>
    <xf numFmtId="0" fontId="3" fillId="0" borderId="8" xfId="0" applyFont="1" applyBorder="1"/>
    <xf numFmtId="0" fontId="3" fillId="8" borderId="4" xfId="0" applyFont="1" applyFill="1" applyBorder="1" applyAlignment="1">
      <alignment horizontal="center"/>
    </xf>
    <xf numFmtId="165" fontId="3" fillId="0" borderId="35" xfId="0" applyNumberFormat="1" applyFont="1" applyBorder="1" applyAlignment="1">
      <alignment horizontal="center"/>
    </xf>
    <xf numFmtId="3" fontId="3" fillId="0" borderId="0" xfId="0" applyNumberFormat="1" applyFont="1" applyAlignment="1">
      <alignment vertical="top"/>
    </xf>
    <xf numFmtId="1" fontId="3" fillId="0" borderId="0" xfId="0" applyNumberFormat="1" applyFont="1" applyAlignment="1">
      <alignment horizontal="center"/>
    </xf>
    <xf numFmtId="0" fontId="3" fillId="7" borderId="5" xfId="0" applyFont="1" applyFill="1" applyBorder="1"/>
    <xf numFmtId="0" fontId="3" fillId="0" borderId="41" xfId="0" applyFont="1" applyBorder="1"/>
    <xf numFmtId="0" fontId="3" fillId="0" borderId="0" xfId="0" applyFont="1" applyAlignment="1">
      <alignment horizontal="center" vertical="center"/>
    </xf>
    <xf numFmtId="2" fontId="3" fillId="16" borderId="0" xfId="0" applyNumberFormat="1" applyFont="1" applyFill="1"/>
    <xf numFmtId="0" fontId="3" fillId="16" borderId="0" xfId="0" applyFont="1" applyFill="1"/>
    <xf numFmtId="168" fontId="3" fillId="16" borderId="0" xfId="0" applyNumberFormat="1" applyFont="1" applyFill="1"/>
    <xf numFmtId="0" fontId="24" fillId="17" borderId="1" xfId="0" applyFont="1" applyFill="1" applyBorder="1" applyAlignment="1">
      <alignment horizontal="center" vertical="center" wrapText="1"/>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10" fontId="3" fillId="7" borderId="0" xfId="0" applyNumberFormat="1" applyFont="1" applyFill="1" applyAlignment="1">
      <alignment horizontal="center" vertical="center"/>
    </xf>
    <xf numFmtId="168" fontId="3" fillId="8" borderId="0" xfId="0" applyNumberFormat="1" applyFont="1" applyFill="1" applyAlignment="1">
      <alignment horizontal="center" vertical="center"/>
    </xf>
    <xf numFmtId="10" fontId="3" fillId="8" borderId="0" xfId="0" applyNumberFormat="1" applyFont="1" applyFill="1" applyAlignment="1">
      <alignment horizontal="center" vertical="center"/>
    </xf>
    <xf numFmtId="0" fontId="7" fillId="0" borderId="0" xfId="0" applyFont="1" applyAlignment="1">
      <alignment horizontal="left" vertical="center" wrapText="1"/>
    </xf>
    <xf numFmtId="0" fontId="1" fillId="0" borderId="7" xfId="0" applyFont="1" applyBorder="1" applyAlignment="1">
      <alignment horizontal="left"/>
    </xf>
    <xf numFmtId="0" fontId="7" fillId="0" borderId="7" xfId="0" applyFont="1" applyBorder="1" applyAlignment="1">
      <alignment horizontal="left" vertical="center" wrapText="1"/>
    </xf>
    <xf numFmtId="0" fontId="1" fillId="0" borderId="7" xfId="0" applyFont="1" applyBorder="1" applyAlignment="1">
      <alignment horizontal="left" vertical="center"/>
    </xf>
    <xf numFmtId="0" fontId="1" fillId="0" borderId="8" xfId="0" applyFont="1" applyBorder="1" applyAlignment="1">
      <alignment horizontal="left" vertical="center"/>
    </xf>
    <xf numFmtId="0" fontId="11" fillId="0" borderId="5" xfId="0" applyFont="1" applyBorder="1"/>
    <xf numFmtId="0" fontId="3" fillId="7" borderId="3" xfId="0" applyFont="1" applyFill="1" applyBorder="1"/>
    <xf numFmtId="165" fontId="3" fillId="8" borderId="7" xfId="0" applyNumberFormat="1" applyFont="1" applyFill="1" applyBorder="1" applyAlignment="1">
      <alignment horizontal="center"/>
    </xf>
    <xf numFmtId="1" fontId="3" fillId="0" borderId="0" xfId="0" applyNumberFormat="1" applyFont="1"/>
    <xf numFmtId="1" fontId="3" fillId="16" borderId="0" xfId="0" applyNumberFormat="1" applyFont="1" applyFill="1"/>
    <xf numFmtId="0" fontId="3" fillId="7" borderId="2" xfId="0" applyFont="1" applyFill="1" applyBorder="1" applyAlignment="1">
      <alignment horizontal="center" vertical="center"/>
    </xf>
    <xf numFmtId="0" fontId="3" fillId="7" borderId="7" xfId="0" applyFont="1" applyFill="1" applyBorder="1" applyAlignment="1">
      <alignment horizontal="center" vertical="center"/>
    </xf>
    <xf numFmtId="0" fontId="3" fillId="7" borderId="8" xfId="0" applyFont="1" applyFill="1" applyBorder="1" applyAlignment="1">
      <alignment horizontal="center" vertical="center"/>
    </xf>
    <xf numFmtId="165" fontId="3" fillId="7" borderId="0" xfId="0" applyNumberFormat="1" applyFont="1" applyFill="1" applyAlignment="1">
      <alignment horizontal="center"/>
    </xf>
    <xf numFmtId="17" fontId="12" fillId="3" borderId="37" xfId="0" applyNumberFormat="1" applyFont="1" applyFill="1" applyBorder="1" applyAlignment="1">
      <alignment horizontal="left" wrapText="1"/>
    </xf>
    <xf numFmtId="0" fontId="12" fillId="3" borderId="3" xfId="0" applyFont="1" applyFill="1" applyBorder="1" applyAlignment="1">
      <alignment horizontal="left" wrapText="1"/>
    </xf>
    <xf numFmtId="17" fontId="12" fillId="3" borderId="5" xfId="0" applyNumberFormat="1" applyFont="1" applyFill="1" applyBorder="1" applyAlignment="1">
      <alignment horizontal="left" vertical="top" wrapText="1"/>
    </xf>
    <xf numFmtId="3" fontId="3" fillId="0" borderId="7" xfId="0" applyNumberFormat="1" applyFont="1" applyBorder="1" applyAlignment="1">
      <alignment horizontal="center" vertical="center"/>
    </xf>
    <xf numFmtId="3" fontId="3" fillId="0" borderId="0" xfId="0" applyNumberFormat="1" applyFont="1" applyAlignment="1">
      <alignment horizontal="center" vertical="center"/>
    </xf>
    <xf numFmtId="168" fontId="3" fillId="0" borderId="0" xfId="0" applyNumberFormat="1" applyFont="1" applyAlignment="1">
      <alignment horizontal="center" vertical="center"/>
    </xf>
    <xf numFmtId="3" fontId="3" fillId="8" borderId="0" xfId="0" applyNumberFormat="1" applyFont="1" applyFill="1" applyAlignment="1">
      <alignment horizontal="center" vertical="center"/>
    </xf>
    <xf numFmtId="1" fontId="21" fillId="8" borderId="0" xfId="0" applyNumberFormat="1" applyFont="1" applyFill="1" applyAlignment="1">
      <alignment horizontal="center" vertical="center"/>
    </xf>
    <xf numFmtId="165" fontId="3" fillId="12" borderId="0" xfId="0" applyNumberFormat="1" applyFont="1" applyFill="1" applyAlignment="1">
      <alignment horizontal="center"/>
    </xf>
    <xf numFmtId="3" fontId="21" fillId="8" borderId="0" xfId="0" applyNumberFormat="1" applyFont="1" applyFill="1" applyAlignment="1">
      <alignment horizontal="center"/>
    </xf>
    <xf numFmtId="3" fontId="3" fillId="0" borderId="35" xfId="0" applyNumberFormat="1" applyFont="1" applyBorder="1" applyAlignment="1">
      <alignment horizontal="center"/>
    </xf>
    <xf numFmtId="165" fontId="3" fillId="0" borderId="5" xfId="0" applyNumberFormat="1" applyFont="1" applyBorder="1" applyAlignment="1">
      <alignment horizontal="center"/>
    </xf>
    <xf numFmtId="165" fontId="3" fillId="0" borderId="7" xfId="0" applyNumberFormat="1" applyFont="1" applyBorder="1" applyAlignment="1">
      <alignment horizontal="center"/>
    </xf>
    <xf numFmtId="0" fontId="3" fillId="0" borderId="0" xfId="0" applyFont="1" applyAlignment="1">
      <alignment horizontal="center" vertical="center" wrapText="1"/>
    </xf>
    <xf numFmtId="165" fontId="3" fillId="0" borderId="0" xfId="0" applyNumberFormat="1" applyFont="1" applyAlignment="1">
      <alignment horizontal="center" vertical="center"/>
    </xf>
    <xf numFmtId="168" fontId="3" fillId="7" borderId="0" xfId="0" applyNumberFormat="1" applyFont="1" applyFill="1" applyAlignment="1">
      <alignment horizontal="center" vertical="center"/>
    </xf>
    <xf numFmtId="0" fontId="24" fillId="0" borderId="3" xfId="0" applyFont="1" applyBorder="1" applyAlignment="1">
      <alignment horizontal="center" vertical="center" wrapText="1"/>
    </xf>
    <xf numFmtId="0" fontId="3" fillId="0" borderId="35" xfId="0" applyFont="1" applyBorder="1" applyAlignment="1">
      <alignment horizontal="center" vertical="center"/>
    </xf>
    <xf numFmtId="3" fontId="3" fillId="0" borderId="35" xfId="0" applyNumberFormat="1" applyFont="1" applyBorder="1" applyAlignment="1">
      <alignment horizontal="center" vertical="center"/>
    </xf>
    <xf numFmtId="3" fontId="3" fillId="7" borderId="35" xfId="0" applyNumberFormat="1" applyFont="1" applyFill="1" applyBorder="1" applyAlignment="1">
      <alignment horizontal="center"/>
    </xf>
    <xf numFmtId="0" fontId="24" fillId="0" borderId="1" xfId="0" applyFont="1" applyBorder="1" applyAlignment="1">
      <alignment horizontal="center" vertical="center" wrapText="1"/>
    </xf>
    <xf numFmtId="0" fontId="3" fillId="7" borderId="4" xfId="0" applyFont="1" applyFill="1" applyBorder="1" applyAlignment="1">
      <alignment horizontal="center" vertical="center"/>
    </xf>
    <xf numFmtId="0" fontId="3" fillId="0" borderId="2" xfId="0" applyFont="1" applyBorder="1" applyAlignment="1">
      <alignment horizontal="center" vertical="center" wrapText="1"/>
    </xf>
    <xf numFmtId="0" fontId="3" fillId="0" borderId="7" xfId="0" applyFont="1" applyBorder="1" applyAlignment="1">
      <alignment horizontal="center" vertical="center" wrapText="1"/>
    </xf>
    <xf numFmtId="3" fontId="3" fillId="8" borderId="7" xfId="0" applyNumberFormat="1" applyFont="1"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wrapText="1"/>
    </xf>
    <xf numFmtId="0" fontId="3" fillId="0" borderId="2" xfId="0" applyFont="1" applyBorder="1" applyAlignment="1">
      <alignment horizontal="left" wrapText="1"/>
    </xf>
    <xf numFmtId="0" fontId="3" fillId="0" borderId="7" xfId="0" applyFont="1" applyBorder="1" applyAlignment="1">
      <alignment horizontal="left" wrapText="1"/>
    </xf>
    <xf numFmtId="0" fontId="3" fillId="0" borderId="35" xfId="0" applyFont="1" applyBorder="1" applyAlignment="1">
      <alignment horizontal="left"/>
    </xf>
    <xf numFmtId="165" fontId="3" fillId="2" borderId="35" xfId="0" applyNumberFormat="1" applyFont="1" applyFill="1" applyBorder="1" applyAlignment="1">
      <alignment horizontal="center"/>
    </xf>
    <xf numFmtId="168" fontId="12" fillId="0" borderId="0" xfId="0" applyNumberFormat="1" applyFont="1"/>
    <xf numFmtId="170" fontId="3" fillId="0" borderId="0" xfId="0" applyNumberFormat="1" applyFont="1" applyAlignment="1">
      <alignment horizontal="center"/>
    </xf>
    <xf numFmtId="3" fontId="3" fillId="0" borderId="7" xfId="0" applyNumberFormat="1" applyFont="1" applyBorder="1" applyAlignment="1">
      <alignment horizontal="center"/>
    </xf>
    <xf numFmtId="165" fontId="3" fillId="0" borderId="0" xfId="0" applyNumberFormat="1" applyFont="1"/>
    <xf numFmtId="0" fontId="3" fillId="0" borderId="3" xfId="0" applyFont="1" applyBorder="1" applyAlignment="1">
      <alignment wrapText="1"/>
    </xf>
    <xf numFmtId="0" fontId="3" fillId="0" borderId="2" xfId="0" applyFont="1" applyBorder="1" applyAlignment="1">
      <alignment vertical="top" wrapText="1"/>
    </xf>
    <xf numFmtId="0" fontId="21" fillId="0" borderId="1" xfId="0" applyFont="1" applyBorder="1" applyAlignment="1">
      <alignment horizontal="left" vertical="top" wrapText="1"/>
    </xf>
    <xf numFmtId="0" fontId="24" fillId="0" borderId="1" xfId="0" applyFont="1" applyBorder="1" applyAlignment="1">
      <alignment wrapText="1"/>
    </xf>
    <xf numFmtId="0" fontId="21" fillId="0" borderId="0" xfId="0" applyFont="1" applyAlignment="1">
      <alignment horizontal="center" wrapText="1"/>
    </xf>
    <xf numFmtId="0" fontId="3" fillId="0" borderId="7" xfId="0" applyFont="1" applyBorder="1" applyAlignment="1">
      <alignment horizontal="center" wrapText="1"/>
    </xf>
    <xf numFmtId="168" fontId="3" fillId="0" borderId="0" xfId="0" applyNumberFormat="1" applyFont="1" applyAlignment="1">
      <alignment horizontal="center"/>
    </xf>
    <xf numFmtId="0" fontId="12" fillId="0" borderId="3" xfId="0" applyFont="1" applyBorder="1" applyAlignment="1">
      <alignment horizontal="center" vertical="top" wrapText="1"/>
    </xf>
    <xf numFmtId="0" fontId="12" fillId="0" borderId="0" xfId="0" applyFont="1" applyAlignment="1">
      <alignment horizontal="center" wrapText="1"/>
    </xf>
    <xf numFmtId="3" fontId="3" fillId="0" borderId="5" xfId="0" applyNumberFormat="1" applyFont="1" applyBorder="1" applyAlignment="1">
      <alignment horizontal="center" wrapText="1"/>
    </xf>
    <xf numFmtId="168" fontId="12" fillId="0" borderId="0" xfId="0" applyNumberFormat="1" applyFont="1" applyAlignment="1">
      <alignment horizontal="center" wrapText="1"/>
    </xf>
    <xf numFmtId="168" fontId="12" fillId="0" borderId="7" xfId="0" applyNumberFormat="1" applyFont="1" applyBorder="1" applyAlignment="1">
      <alignment horizontal="center" wrapText="1"/>
    </xf>
    <xf numFmtId="0" fontId="4" fillId="0" borderId="0" xfId="0" applyFont="1"/>
    <xf numFmtId="0" fontId="1" fillId="0" borderId="35" xfId="0" applyFont="1" applyBorder="1"/>
    <xf numFmtId="3" fontId="12" fillId="0" borderId="0" xfId="0" applyNumberFormat="1" applyFont="1" applyAlignment="1">
      <alignment horizontal="center" wrapText="1"/>
    </xf>
    <xf numFmtId="3" fontId="12" fillId="0" borderId="7" xfId="0" applyNumberFormat="1" applyFont="1" applyBorder="1" applyAlignment="1">
      <alignment horizontal="center" wrapText="1"/>
    </xf>
    <xf numFmtId="0" fontId="1" fillId="18" borderId="0" xfId="0" applyFont="1" applyFill="1"/>
    <xf numFmtId="0" fontId="1" fillId="8" borderId="35" xfId="0" applyFont="1" applyFill="1" applyBorder="1"/>
    <xf numFmtId="3" fontId="21" fillId="8" borderId="0" xfId="0" applyNumberFormat="1" applyFont="1" applyFill="1" applyAlignment="1">
      <alignment horizontal="center" wrapText="1"/>
    </xf>
    <xf numFmtId="3" fontId="3" fillId="0" borderId="35" xfId="0" applyNumberFormat="1" applyFont="1" applyBorder="1" applyAlignment="1">
      <alignment horizontal="center" wrapText="1"/>
    </xf>
    <xf numFmtId="3" fontId="21" fillId="0" borderId="0" xfId="0" applyNumberFormat="1" applyFont="1" applyAlignment="1">
      <alignment horizontal="center" wrapText="1"/>
    </xf>
    <xf numFmtId="1" fontId="21" fillId="0" borderId="7" xfId="0" applyNumberFormat="1" applyFont="1" applyBorder="1" applyAlignment="1">
      <alignment horizontal="center"/>
    </xf>
    <xf numFmtId="3" fontId="3" fillId="8" borderId="35" xfId="0" applyNumberFormat="1" applyFont="1" applyFill="1" applyBorder="1" applyAlignment="1">
      <alignment horizontal="center" wrapText="1"/>
    </xf>
    <xf numFmtId="1" fontId="3" fillId="8" borderId="0" xfId="0" applyNumberFormat="1" applyFont="1" applyFill="1" applyAlignment="1">
      <alignment horizontal="center" wrapText="1"/>
    </xf>
    <xf numFmtId="3" fontId="12" fillId="8" borderId="0" xfId="0" applyNumberFormat="1" applyFont="1" applyFill="1" applyAlignment="1">
      <alignment horizontal="center" wrapText="1"/>
    </xf>
    <xf numFmtId="1" fontId="1" fillId="8" borderId="0" xfId="0" applyNumberFormat="1" applyFont="1" applyFill="1"/>
    <xf numFmtId="0" fontId="12" fillId="0" borderId="0" xfId="0" applyFont="1"/>
    <xf numFmtId="1" fontId="12" fillId="0" borderId="0" xfId="0" applyNumberFormat="1" applyFont="1"/>
    <xf numFmtId="3" fontId="12" fillId="0" borderId="0" xfId="0" applyNumberFormat="1" applyFont="1"/>
    <xf numFmtId="168" fontId="1" fillId="0" borderId="0" xfId="0" applyNumberFormat="1" applyFont="1"/>
    <xf numFmtId="1" fontId="1" fillId="12" borderId="0" xfId="0" applyNumberFormat="1" applyFont="1" applyFill="1"/>
    <xf numFmtId="3" fontId="21" fillId="12" borderId="0" xfId="0" applyNumberFormat="1" applyFont="1" applyFill="1" applyAlignment="1">
      <alignment horizontal="center"/>
    </xf>
    <xf numFmtId="0" fontId="25" fillId="0" borderId="1" xfId="0" applyFont="1" applyBorder="1" applyAlignment="1">
      <alignment horizontal="left" indent="2"/>
    </xf>
    <xf numFmtId="3" fontId="12" fillId="8" borderId="7" xfId="0" applyNumberFormat="1" applyFont="1" applyFill="1" applyBorder="1" applyAlignment="1">
      <alignment horizontal="center" wrapText="1"/>
    </xf>
    <xf numFmtId="0" fontId="12" fillId="0" borderId="1" xfId="0" applyFont="1" applyBorder="1" applyAlignment="1">
      <alignment horizontal="center" wrapText="1"/>
    </xf>
    <xf numFmtId="0" fontId="12" fillId="0" borderId="1" xfId="0" applyFont="1" applyBorder="1" applyAlignment="1">
      <alignment horizontal="center" vertical="top" wrapText="1"/>
    </xf>
    <xf numFmtId="0" fontId="3" fillId="0" borderId="2" xfId="0" applyFont="1" applyBorder="1" applyAlignment="1">
      <alignment wrapText="1"/>
    </xf>
    <xf numFmtId="0" fontId="3" fillId="0" borderId="7" xfId="0" applyFont="1" applyBorder="1" applyAlignment="1">
      <alignment wrapText="1"/>
    </xf>
    <xf numFmtId="171" fontId="3" fillId="0" borderId="0" xfId="0" applyNumberFormat="1" applyFont="1" applyAlignment="1">
      <alignment horizontal="center" wrapText="1"/>
    </xf>
    <xf numFmtId="0" fontId="21" fillId="0" borderId="0" xfId="0" applyFont="1" applyAlignment="1">
      <alignment wrapText="1"/>
    </xf>
    <xf numFmtId="171" fontId="21" fillId="0" borderId="0" xfId="0" applyNumberFormat="1" applyFont="1" applyAlignment="1">
      <alignment wrapText="1"/>
    </xf>
    <xf numFmtId="0" fontId="12" fillId="0" borderId="35" xfId="0" applyFont="1" applyBorder="1" applyAlignment="1">
      <alignment horizontal="center" vertical="top" wrapText="1"/>
    </xf>
    <xf numFmtId="171" fontId="3" fillId="0" borderId="7" xfId="0" applyNumberFormat="1" applyFont="1" applyBorder="1" applyAlignment="1">
      <alignment horizontal="center" wrapText="1"/>
    </xf>
    <xf numFmtId="1" fontId="12" fillId="0" borderId="0" xfId="0" applyNumberFormat="1" applyFont="1" applyAlignment="1">
      <alignment horizontal="center" wrapText="1"/>
    </xf>
    <xf numFmtId="0" fontId="26" fillId="0" borderId="0" xfId="0" applyFont="1"/>
    <xf numFmtId="1" fontId="3" fillId="0" borderId="35" xfId="0" applyNumberFormat="1" applyFont="1" applyBorder="1" applyAlignment="1">
      <alignment horizontal="center" wrapText="1"/>
    </xf>
    <xf numFmtId="1" fontId="3" fillId="7" borderId="35" xfId="0" applyNumberFormat="1" applyFont="1" applyFill="1" applyBorder="1" applyAlignment="1">
      <alignment horizontal="center" wrapText="1"/>
    </xf>
    <xf numFmtId="0" fontId="21" fillId="0" borderId="2" xfId="0" applyFont="1" applyBorder="1"/>
    <xf numFmtId="0" fontId="21" fillId="0" borderId="7" xfId="0" applyFont="1" applyBorder="1"/>
    <xf numFmtId="1" fontId="21" fillId="0" borderId="0" xfId="0" applyNumberFormat="1" applyFont="1" applyAlignment="1">
      <alignment horizontal="center"/>
    </xf>
    <xf numFmtId="1" fontId="21" fillId="8" borderId="7" xfId="0" applyNumberFormat="1" applyFont="1" applyFill="1" applyBorder="1" applyAlignment="1">
      <alignment horizontal="center"/>
    </xf>
    <xf numFmtId="0" fontId="25" fillId="0" borderId="1" xfId="0" applyFont="1" applyBorder="1" applyAlignment="1">
      <alignment horizontal="left" indent="5"/>
    </xf>
    <xf numFmtId="0" fontId="3" fillId="0" borderId="1" xfId="0" applyFont="1" applyBorder="1" applyAlignment="1">
      <alignment horizontal="left" vertical="top" wrapText="1" indent="5"/>
    </xf>
    <xf numFmtId="168" fontId="3" fillId="7" borderId="0" xfId="0" applyNumberFormat="1" applyFont="1" applyFill="1" applyAlignment="1">
      <alignment horizontal="center" wrapText="1"/>
    </xf>
    <xf numFmtId="0" fontId="27" fillId="0" borderId="1" xfId="0" applyFont="1" applyBorder="1" applyAlignment="1">
      <alignment wrapText="1"/>
    </xf>
    <xf numFmtId="0" fontId="12" fillId="13" borderId="3" xfId="0" applyFont="1" applyFill="1" applyBorder="1"/>
    <xf numFmtId="168" fontId="21" fillId="15" borderId="35" xfId="0" applyNumberFormat="1" applyFont="1" applyFill="1" applyBorder="1" applyAlignment="1">
      <alignment horizontal="center"/>
    </xf>
    <xf numFmtId="0" fontId="1" fillId="15" borderId="0" xfId="0" applyFont="1" applyFill="1"/>
    <xf numFmtId="168" fontId="3" fillId="0" borderId="3" xfId="0" applyNumberFormat="1" applyFont="1" applyBorder="1" applyAlignment="1">
      <alignment horizontal="center"/>
    </xf>
    <xf numFmtId="169" fontId="3" fillId="7" borderId="7" xfId="0" applyNumberFormat="1" applyFont="1" applyFill="1" applyBorder="1" applyAlignment="1">
      <alignment horizontal="center"/>
    </xf>
    <xf numFmtId="0" fontId="21" fillId="0" borderId="3" xfId="0" applyFont="1" applyBorder="1"/>
    <xf numFmtId="0" fontId="21" fillId="17" borderId="1" xfId="0" applyFont="1" applyFill="1" applyBorder="1"/>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4" xfId="0" applyFont="1" applyBorder="1" applyAlignment="1">
      <alignment horizontal="left" wrapText="1" indent="3"/>
    </xf>
    <xf numFmtId="0" fontId="3" fillId="0" borderId="7" xfId="0" applyFont="1" applyBorder="1" applyAlignment="1">
      <alignment horizontal="center"/>
    </xf>
    <xf numFmtId="0" fontId="3" fillId="0" borderId="4" xfId="0" applyFont="1" applyBorder="1" applyAlignment="1">
      <alignment horizontal="center"/>
    </xf>
    <xf numFmtId="0" fontId="3" fillId="0" borderId="2" xfId="0" applyFont="1" applyBorder="1"/>
    <xf numFmtId="0" fontId="3" fillId="0" borderId="1" xfId="0" applyFont="1" applyBorder="1"/>
    <xf numFmtId="168" fontId="21" fillId="0" borderId="0" xfId="0" applyNumberFormat="1" applyFont="1" applyAlignment="1">
      <alignment horizontal="center"/>
    </xf>
    <xf numFmtId="168" fontId="3" fillId="0" borderId="7" xfId="0" applyNumberFormat="1" applyFont="1" applyBorder="1" applyAlignment="1">
      <alignment horizontal="center"/>
    </xf>
    <xf numFmtId="168" fontId="21" fillId="8" borderId="0" xfId="0" applyNumberFormat="1" applyFont="1" applyFill="1" applyAlignment="1">
      <alignment horizontal="center"/>
    </xf>
    <xf numFmtId="168" fontId="3" fillId="7" borderId="0" xfId="0" applyNumberFormat="1" applyFont="1" applyFill="1" applyAlignment="1">
      <alignment horizontal="center"/>
    </xf>
    <xf numFmtId="169" fontId="3" fillId="0" borderId="0" xfId="0" applyNumberFormat="1" applyFont="1" applyAlignment="1">
      <alignment horizontal="center"/>
    </xf>
    <xf numFmtId="168" fontId="21" fillId="7" borderId="5" xfId="0" applyNumberFormat="1" applyFont="1" applyFill="1" applyBorder="1" applyAlignment="1">
      <alignment horizontal="center"/>
    </xf>
    <xf numFmtId="0" fontId="3" fillId="0" borderId="3" xfId="0" applyFont="1" applyBorder="1"/>
    <xf numFmtId="0" fontId="3" fillId="13" borderId="35" xfId="0" applyFont="1" applyFill="1" applyBorder="1" applyAlignment="1">
      <alignment horizontal="center"/>
    </xf>
    <xf numFmtId="0" fontId="3" fillId="13" borderId="6" xfId="0" applyFont="1" applyFill="1" applyBorder="1" applyAlignment="1">
      <alignment horizontal="center"/>
    </xf>
    <xf numFmtId="0" fontId="3" fillId="0" borderId="8" xfId="0" applyFont="1" applyBorder="1" applyAlignment="1">
      <alignment horizontal="center"/>
    </xf>
    <xf numFmtId="168" fontId="3" fillId="0" borderId="35" xfId="0" applyNumberFormat="1" applyFont="1" applyBorder="1" applyAlignment="1">
      <alignment horizontal="center"/>
    </xf>
    <xf numFmtId="168" fontId="3" fillId="7" borderId="35" xfId="0" applyNumberFormat="1" applyFont="1" applyFill="1" applyBorder="1" applyAlignment="1">
      <alignment horizontal="center"/>
    </xf>
    <xf numFmtId="168" fontId="21" fillId="0" borderId="3" xfId="0" applyNumberFormat="1" applyFont="1" applyBorder="1" applyAlignment="1">
      <alignment horizontal="center"/>
    </xf>
    <xf numFmtId="168" fontId="21" fillId="0" borderId="35" xfId="0" applyNumberFormat="1" applyFont="1" applyBorder="1" applyAlignment="1">
      <alignment horizontal="center"/>
    </xf>
    <xf numFmtId="168" fontId="21" fillId="7" borderId="35" xfId="0" applyNumberFormat="1" applyFont="1" applyFill="1" applyBorder="1" applyAlignment="1">
      <alignment horizontal="center"/>
    </xf>
    <xf numFmtId="169" fontId="3" fillId="0" borderId="7" xfId="0" applyNumberFormat="1" applyFont="1" applyBorder="1" applyAlignment="1">
      <alignment horizontal="center"/>
    </xf>
    <xf numFmtId="0" fontId="21" fillId="0" borderId="1" xfId="0" applyFont="1" applyBorder="1"/>
    <xf numFmtId="172" fontId="3" fillId="0" borderId="0" xfId="0" applyNumberFormat="1" applyFont="1"/>
    <xf numFmtId="0" fontId="12" fillId="3" borderId="41" xfId="0" applyFont="1" applyFill="1" applyBorder="1"/>
    <xf numFmtId="0" fontId="12" fillId="3" borderId="36" xfId="0" applyFont="1" applyFill="1" applyBorder="1"/>
    <xf numFmtId="0" fontId="12" fillId="3" borderId="32" xfId="0" applyFont="1" applyFill="1" applyBorder="1"/>
    <xf numFmtId="0" fontId="12" fillId="3" borderId="36" xfId="0" applyFont="1" applyFill="1" applyBorder="1" applyAlignment="1">
      <alignment horizontal="center"/>
    </xf>
    <xf numFmtId="0" fontId="12" fillId="3" borderId="32" xfId="0" applyFont="1" applyFill="1" applyBorder="1" applyAlignment="1">
      <alignment horizontal="center"/>
    </xf>
    <xf numFmtId="168" fontId="3" fillId="8" borderId="7" xfId="0" applyNumberFormat="1" applyFont="1" applyFill="1" applyBorder="1" applyAlignment="1">
      <alignment horizontal="center"/>
    </xf>
    <xf numFmtId="168" fontId="21" fillId="8" borderId="5" xfId="0" applyNumberFormat="1" applyFont="1" applyFill="1" applyBorder="1" applyAlignment="1">
      <alignment horizontal="center"/>
    </xf>
    <xf numFmtId="0" fontId="21" fillId="0" borderId="5" xfId="0" applyFont="1" applyBorder="1"/>
    <xf numFmtId="168" fontId="21" fillId="0" borderId="1" xfId="0" applyNumberFormat="1" applyFont="1" applyBorder="1" applyAlignment="1">
      <alignment horizontal="center"/>
    </xf>
    <xf numFmtId="168" fontId="3" fillId="0" borderId="1" xfId="0" applyNumberFormat="1" applyFont="1" applyBorder="1" applyAlignment="1">
      <alignment horizontal="center"/>
    </xf>
    <xf numFmtId="168" fontId="3" fillId="0" borderId="2" xfId="0" applyNumberFormat="1" applyFont="1" applyBorder="1" applyAlignment="1">
      <alignment horizontal="center"/>
    </xf>
    <xf numFmtId="169" fontId="3" fillId="0" borderId="2" xfId="0" applyNumberFormat="1" applyFont="1" applyBorder="1" applyAlignment="1">
      <alignment horizontal="center"/>
    </xf>
    <xf numFmtId="0" fontId="12" fillId="0" borderId="0" xfId="0" applyFont="1" applyAlignment="1">
      <alignment vertical="top" wrapText="1"/>
    </xf>
    <xf numFmtId="169" fontId="3" fillId="8" borderId="7" xfId="0" applyNumberFormat="1" applyFont="1" applyFill="1" applyBorder="1" applyAlignment="1">
      <alignment horizontal="center"/>
    </xf>
    <xf numFmtId="0" fontId="3" fillId="0" borderId="35" xfId="0" applyFont="1" applyBorder="1"/>
    <xf numFmtId="0" fontId="25" fillId="0" borderId="0" xfId="0" applyFont="1"/>
    <xf numFmtId="0" fontId="3" fillId="10" borderId="36" xfId="0" applyFont="1" applyFill="1" applyBorder="1"/>
    <xf numFmtId="0" fontId="3" fillId="10" borderId="32" xfId="0" applyFont="1" applyFill="1" applyBorder="1"/>
    <xf numFmtId="0" fontId="1" fillId="7" borderId="37" xfId="0" applyFont="1" applyFill="1" applyBorder="1"/>
    <xf numFmtId="2" fontId="3" fillId="0" borderId="5" xfId="0" applyNumberFormat="1" applyFont="1" applyBorder="1" applyAlignment="1">
      <alignment horizontal="center"/>
    </xf>
    <xf numFmtId="2" fontId="3" fillId="0" borderId="4" xfId="0" applyNumberFormat="1" applyFont="1" applyBorder="1" applyAlignment="1">
      <alignment horizontal="center"/>
    </xf>
    <xf numFmtId="168" fontId="21" fillId="7" borderId="0" xfId="0" applyNumberFormat="1" applyFont="1" applyFill="1" applyAlignment="1">
      <alignment horizontal="center"/>
    </xf>
    <xf numFmtId="0" fontId="21" fillId="0" borderId="1" xfId="0" applyFont="1" applyBorder="1" applyAlignment="1">
      <alignment horizontal="left"/>
    </xf>
    <xf numFmtId="169" fontId="3" fillId="0" borderId="0" xfId="0" applyNumberFormat="1" applyFont="1"/>
    <xf numFmtId="168" fontId="3" fillId="19" borderId="0" xfId="0" applyNumberFormat="1" applyFont="1" applyFill="1" applyAlignment="1">
      <alignment horizontal="center" wrapText="1"/>
    </xf>
    <xf numFmtId="169" fontId="3" fillId="15" borderId="7" xfId="0" applyNumberFormat="1" applyFont="1" applyFill="1" applyBorder="1" applyAlignment="1">
      <alignment horizontal="center"/>
    </xf>
    <xf numFmtId="2" fontId="3" fillId="0" borderId="0" xfId="0" applyNumberFormat="1" applyFont="1" applyAlignment="1">
      <alignment horizontal="right"/>
    </xf>
    <xf numFmtId="0" fontId="12" fillId="0" borderId="14" xfId="0" applyFont="1" applyBorder="1"/>
    <xf numFmtId="0" fontId="12" fillId="0" borderId="13" xfId="0" applyFont="1" applyBorder="1"/>
    <xf numFmtId="0" fontId="3" fillId="0" borderId="13" xfId="0" applyFont="1" applyBorder="1" applyAlignment="1">
      <alignment horizontal="right"/>
    </xf>
    <xf numFmtId="0" fontId="3" fillId="0" borderId="12" xfId="0" applyFont="1" applyBorder="1"/>
    <xf numFmtId="168" fontId="3" fillId="20" borderId="0" xfId="0" applyNumberFormat="1" applyFont="1" applyFill="1" applyAlignment="1">
      <alignment horizontal="center"/>
    </xf>
    <xf numFmtId="168" fontId="3" fillId="20" borderId="0" xfId="0" applyNumberFormat="1" applyFont="1" applyFill="1" applyAlignment="1">
      <alignment horizontal="center" wrapText="1"/>
    </xf>
    <xf numFmtId="169" fontId="3" fillId="9" borderId="7" xfId="0" applyNumberFormat="1" applyFont="1" applyFill="1" applyBorder="1" applyAlignment="1">
      <alignment horizontal="center"/>
    </xf>
    <xf numFmtId="0" fontId="1" fillId="20" borderId="0" xfId="0" applyFont="1" applyFill="1"/>
    <xf numFmtId="0" fontId="3" fillId="0" borderId="0" xfId="0" applyFont="1" applyAlignment="1">
      <alignment horizontal="left" indent="4"/>
    </xf>
    <xf numFmtId="169" fontId="3" fillId="0" borderId="7" xfId="0" applyNumberFormat="1" applyFont="1" applyBorder="1"/>
    <xf numFmtId="0" fontId="3" fillId="0" borderId="2" xfId="0" applyFont="1" applyBorder="1" applyAlignment="1">
      <alignment horizontal="left" indent="4"/>
    </xf>
    <xf numFmtId="3" fontId="30" fillId="0" borderId="0" xfId="0" applyNumberFormat="1" applyFont="1"/>
    <xf numFmtId="173" fontId="3" fillId="0" borderId="0" xfId="0" applyNumberFormat="1" applyFont="1"/>
    <xf numFmtId="0" fontId="3" fillId="10" borderId="3" xfId="0" applyFont="1" applyFill="1" applyBorder="1"/>
    <xf numFmtId="0" fontId="3" fillId="10" borderId="5" xfId="0" applyFont="1" applyFill="1" applyBorder="1"/>
    <xf numFmtId="0" fontId="3" fillId="20" borderId="1" xfId="0" applyFont="1" applyFill="1" applyBorder="1" applyAlignment="1">
      <alignment horizontal="left" vertical="top" wrapText="1" indent="3"/>
    </xf>
    <xf numFmtId="168" fontId="3" fillId="20" borderId="1" xfId="0" applyNumberFormat="1" applyFont="1" applyFill="1" applyBorder="1" applyAlignment="1">
      <alignment horizontal="center"/>
    </xf>
    <xf numFmtId="0" fontId="3" fillId="0" borderId="13" xfId="0" applyFont="1" applyBorder="1"/>
    <xf numFmtId="2" fontId="3" fillId="0" borderId="0" xfId="0" applyNumberFormat="1" applyFont="1" applyAlignment="1">
      <alignment horizontal="center"/>
    </xf>
    <xf numFmtId="2" fontId="3" fillId="0" borderId="34" xfId="0" applyNumberFormat="1" applyFont="1" applyBorder="1" applyAlignment="1">
      <alignment horizontal="center"/>
    </xf>
    <xf numFmtId="0" fontId="12" fillId="8" borderId="0" xfId="0" applyFont="1" applyFill="1" applyAlignment="1">
      <alignment horizontal="center"/>
    </xf>
    <xf numFmtId="0" fontId="3" fillId="8" borderId="5" xfId="0" applyFont="1" applyFill="1" applyBorder="1"/>
    <xf numFmtId="0" fontId="21" fillId="0" borderId="0" xfId="0" applyFont="1" applyAlignment="1">
      <alignment horizontal="center"/>
    </xf>
    <xf numFmtId="10" fontId="3" fillId="0" borderId="0" xfId="0" applyNumberFormat="1" applyFont="1" applyAlignment="1">
      <alignment horizontal="center"/>
    </xf>
    <xf numFmtId="10" fontId="1" fillId="0" borderId="0" xfId="0" applyNumberFormat="1" applyFont="1" applyAlignment="1">
      <alignment horizontal="center"/>
    </xf>
    <xf numFmtId="10" fontId="1" fillId="0" borderId="35" xfId="0" applyNumberFormat="1" applyFont="1" applyBorder="1" applyAlignment="1">
      <alignment horizontal="center"/>
    </xf>
    <xf numFmtId="10" fontId="1" fillId="20" borderId="35" xfId="0" applyNumberFormat="1" applyFont="1" applyFill="1" applyBorder="1" applyAlignment="1">
      <alignment horizontal="center"/>
    </xf>
    <xf numFmtId="0" fontId="1" fillId="20" borderId="0" xfId="0" applyFont="1" applyFill="1" applyAlignment="1">
      <alignment horizontal="center"/>
    </xf>
    <xf numFmtId="10" fontId="1" fillId="20" borderId="0" xfId="0" applyNumberFormat="1" applyFont="1" applyFill="1" applyAlignment="1">
      <alignment horizontal="center"/>
    </xf>
    <xf numFmtId="10" fontId="3" fillId="20" borderId="5" xfId="0" applyNumberFormat="1" applyFont="1" applyFill="1" applyBorder="1"/>
    <xf numFmtId="10" fontId="3" fillId="20" borderId="3" xfId="0" applyNumberFormat="1" applyFont="1" applyFill="1" applyBorder="1"/>
    <xf numFmtId="10" fontId="3" fillId="20" borderId="5" xfId="0" applyNumberFormat="1" applyFont="1" applyFill="1" applyBorder="1" applyAlignment="1">
      <alignment horizontal="center"/>
    </xf>
    <xf numFmtId="10" fontId="1" fillId="20" borderId="5" xfId="0" applyNumberFormat="1" applyFont="1" applyFill="1" applyBorder="1" applyAlignment="1">
      <alignment horizontal="center"/>
    </xf>
    <xf numFmtId="0" fontId="21" fillId="20" borderId="0" xfId="0" applyFont="1" applyFill="1"/>
    <xf numFmtId="0" fontId="21" fillId="20" borderId="1" xfId="0" applyFont="1" applyFill="1" applyBorder="1"/>
    <xf numFmtId="0" fontId="21" fillId="20" borderId="0" xfId="0" applyFont="1" applyFill="1" applyAlignment="1">
      <alignment horizontal="center"/>
    </xf>
    <xf numFmtId="0" fontId="21" fillId="20" borderId="7" xfId="0" applyFont="1" applyFill="1" applyBorder="1"/>
    <xf numFmtId="0" fontId="21" fillId="20" borderId="2" xfId="0" applyFont="1" applyFill="1" applyBorder="1"/>
    <xf numFmtId="0" fontId="21" fillId="20" borderId="7" xfId="0" applyFont="1" applyFill="1" applyBorder="1" applyAlignment="1">
      <alignment horizontal="center"/>
    </xf>
    <xf numFmtId="0" fontId="1" fillId="20" borderId="7" xfId="0" applyFont="1" applyFill="1" applyBorder="1" applyAlignment="1">
      <alignment horizontal="center"/>
    </xf>
    <xf numFmtId="1" fontId="1" fillId="20" borderId="7" xfId="0" applyNumberFormat="1" applyFont="1" applyFill="1" applyBorder="1" applyAlignment="1">
      <alignment horizontal="center"/>
    </xf>
    <xf numFmtId="0" fontId="1" fillId="0" borderId="7" xfId="0" applyFont="1" applyBorder="1" applyAlignment="1">
      <alignment horizontal="center"/>
    </xf>
    <xf numFmtId="0" fontId="21" fillId="0" borderId="7" xfId="0" applyFont="1" applyBorder="1" applyAlignment="1">
      <alignment horizontal="center"/>
    </xf>
    <xf numFmtId="10" fontId="3" fillId="0" borderId="5" xfId="0" applyNumberFormat="1" applyFont="1" applyBorder="1"/>
    <xf numFmtId="10" fontId="3" fillId="0" borderId="3" xfId="0" applyNumberFormat="1" applyFont="1" applyBorder="1"/>
    <xf numFmtId="10" fontId="3" fillId="0" borderId="5" xfId="0" applyNumberFormat="1" applyFont="1" applyBorder="1" applyAlignment="1">
      <alignment horizontal="center"/>
    </xf>
    <xf numFmtId="1" fontId="1" fillId="0" borderId="7" xfId="0" applyNumberFormat="1" applyFont="1" applyBorder="1" applyAlignment="1">
      <alignment horizontal="center"/>
    </xf>
    <xf numFmtId="0" fontId="3" fillId="17" borderId="1" xfId="0" applyFont="1" applyFill="1" applyBorder="1"/>
    <xf numFmtId="2" fontId="3" fillId="8" borderId="0" xfId="0" applyNumberFormat="1" applyFont="1" applyFill="1"/>
    <xf numFmtId="0" fontId="12" fillId="0" borderId="3" xfId="0" applyFont="1" applyBorder="1" applyAlignment="1">
      <alignment horizontal="center"/>
    </xf>
    <xf numFmtId="0" fontId="3" fillId="0" borderId="5" xfId="0" applyFont="1" applyBorder="1"/>
    <xf numFmtId="168" fontId="3" fillId="7" borderId="5" xfId="0" applyNumberFormat="1" applyFont="1" applyFill="1" applyBorder="1" applyAlignment="1">
      <alignment horizontal="center"/>
    </xf>
    <xf numFmtId="0" fontId="3" fillId="21" borderId="41" xfId="0" applyFont="1" applyFill="1" applyBorder="1" applyAlignment="1">
      <alignment wrapText="1"/>
    </xf>
    <xf numFmtId="0" fontId="3" fillId="21" borderId="36" xfId="0" applyFont="1" applyFill="1" applyBorder="1"/>
    <xf numFmtId="1" fontId="3" fillId="21" borderId="36" xfId="0" applyNumberFormat="1" applyFont="1" applyFill="1" applyBorder="1"/>
    <xf numFmtId="0" fontId="1" fillId="8" borderId="7" xfId="0" applyFont="1" applyFill="1" applyBorder="1"/>
    <xf numFmtId="168" fontId="3" fillId="8" borderId="0" xfId="0" applyNumberFormat="1" applyFont="1" applyFill="1" applyAlignment="1">
      <alignment horizontal="center"/>
    </xf>
    <xf numFmtId="1" fontId="3" fillId="8" borderId="0" xfId="0" applyNumberFormat="1" applyFont="1" applyFill="1"/>
    <xf numFmtId="0" fontId="12" fillId="0" borderId="2" xfId="0" applyFont="1" applyBorder="1" applyAlignment="1">
      <alignment wrapText="1"/>
    </xf>
    <xf numFmtId="0" fontId="1" fillId="7" borderId="0" xfId="0" applyFont="1" applyFill="1" applyAlignment="1">
      <alignment horizontal="center"/>
    </xf>
    <xf numFmtId="168" fontId="12" fillId="0" borderId="0" xfId="0" applyNumberFormat="1" applyFont="1" applyAlignment="1">
      <alignment horizontal="center"/>
    </xf>
    <xf numFmtId="1" fontId="3" fillId="0" borderId="20" xfId="0" applyNumberFormat="1" applyFont="1" applyBorder="1"/>
    <xf numFmtId="1" fontId="3" fillId="0" borderId="31" xfId="0" applyNumberFormat="1" applyFont="1" applyBorder="1"/>
    <xf numFmtId="167" fontId="3" fillId="0" borderId="31" xfId="0" applyNumberFormat="1" applyFont="1" applyBorder="1"/>
    <xf numFmtId="0" fontId="31" fillId="0" borderId="1" xfId="0" applyFont="1" applyBorder="1" applyAlignment="1">
      <alignment horizontal="left" wrapText="1" indent="1"/>
    </xf>
    <xf numFmtId="0" fontId="31" fillId="0" borderId="1" xfId="0" applyFont="1" applyBorder="1" applyAlignment="1">
      <alignment horizontal="left" indent="1"/>
    </xf>
    <xf numFmtId="0" fontId="3" fillId="0" borderId="1" xfId="0" applyFont="1" applyBorder="1" applyAlignment="1">
      <alignment horizontal="left" indent="2"/>
    </xf>
    <xf numFmtId="0" fontId="32" fillId="0" borderId="1" xfId="0" applyFont="1" applyBorder="1" applyAlignment="1">
      <alignment horizontal="left" indent="1"/>
    </xf>
    <xf numFmtId="0" fontId="3" fillId="22" borderId="1" xfId="0" applyFont="1" applyFill="1" applyBorder="1" applyAlignment="1">
      <alignment horizontal="left"/>
    </xf>
    <xf numFmtId="0" fontId="3" fillId="22" borderId="3" xfId="0" applyFont="1" applyFill="1" applyBorder="1"/>
    <xf numFmtId="0" fontId="3" fillId="18" borderId="0" xfId="0" applyFont="1" applyFill="1" applyAlignment="1">
      <alignment horizontal="left" wrapText="1" indent="1"/>
    </xf>
    <xf numFmtId="168" fontId="12" fillId="8" borderId="0" xfId="0" applyNumberFormat="1" applyFont="1" applyFill="1" applyAlignment="1">
      <alignment horizontal="center"/>
    </xf>
    <xf numFmtId="0" fontId="3" fillId="0" borderId="0" xfId="0" applyFont="1" applyAlignment="1">
      <alignment horizontal="left" wrapText="1" indent="1"/>
    </xf>
    <xf numFmtId="1" fontId="3" fillId="7" borderId="0" xfId="0" applyNumberFormat="1" applyFont="1" applyFill="1"/>
    <xf numFmtId="1" fontId="3" fillId="3" borderId="0" xfId="0" applyNumberFormat="1" applyFont="1" applyFill="1"/>
    <xf numFmtId="167" fontId="3" fillId="7" borderId="31" xfId="0" applyNumberFormat="1" applyFont="1" applyFill="1" applyBorder="1"/>
    <xf numFmtId="167" fontId="3" fillId="0" borderId="0" xfId="0" applyNumberFormat="1" applyFont="1"/>
    <xf numFmtId="1" fontId="3" fillId="7" borderId="5" xfId="0" applyNumberFormat="1" applyFont="1" applyFill="1" applyBorder="1" applyAlignment="1">
      <alignment horizontal="center"/>
    </xf>
    <xf numFmtId="0" fontId="12" fillId="7" borderId="3" xfId="0" applyFont="1" applyFill="1" applyBorder="1" applyAlignment="1">
      <alignment horizontal="centerContinuous" vertical="center"/>
    </xf>
    <xf numFmtId="0" fontId="12" fillId="7" borderId="6" xfId="0" applyFont="1" applyFill="1" applyBorder="1" applyAlignment="1">
      <alignment horizontal="centerContinuous" vertical="center"/>
    </xf>
    <xf numFmtId="0" fontId="12" fillId="7" borderId="1" xfId="0" applyFont="1" applyFill="1" applyBorder="1" applyAlignment="1">
      <alignment horizontal="centerContinuous" vertical="center"/>
    </xf>
    <xf numFmtId="0" fontId="12" fillId="7" borderId="0" xfId="0" applyFont="1" applyFill="1" applyAlignment="1">
      <alignment horizontal="centerContinuous" vertical="center"/>
    </xf>
    <xf numFmtId="168" fontId="21" fillId="0" borderId="7" xfId="0" applyNumberFormat="1" applyFont="1" applyBorder="1" applyAlignment="1">
      <alignment horizontal="center"/>
    </xf>
    <xf numFmtId="0" fontId="3" fillId="0" borderId="15" xfId="0" applyFont="1" applyBorder="1"/>
    <xf numFmtId="0" fontId="3" fillId="0" borderId="20" xfId="0" applyFont="1" applyBorder="1"/>
    <xf numFmtId="1" fontId="3" fillId="8" borderId="20" xfId="0" applyNumberFormat="1" applyFont="1" applyFill="1" applyBorder="1"/>
    <xf numFmtId="0" fontId="3" fillId="0" borderId="16" xfId="0" applyFont="1" applyBorder="1" applyAlignment="1">
      <alignment horizontal="left" wrapText="1" indent="1"/>
    </xf>
    <xf numFmtId="0" fontId="3" fillId="0" borderId="16" xfId="0" applyFont="1" applyBorder="1" applyAlignment="1">
      <alignment horizontal="left" wrapText="1" indent="2"/>
    </xf>
    <xf numFmtId="0" fontId="3" fillId="0" borderId="17" xfId="0" applyFont="1" applyBorder="1" applyAlignment="1">
      <alignment horizontal="left" wrapText="1" indent="2"/>
    </xf>
    <xf numFmtId="0" fontId="3" fillId="0" borderId="31" xfId="0" applyFont="1" applyBorder="1"/>
    <xf numFmtId="1" fontId="3" fillId="0" borderId="42" xfId="0" applyNumberFormat="1" applyFont="1" applyBorder="1"/>
    <xf numFmtId="1" fontId="3" fillId="3" borderId="20" xfId="0" applyNumberFormat="1" applyFont="1" applyFill="1" applyBorder="1"/>
    <xf numFmtId="1" fontId="3" fillId="17" borderId="20" xfId="0" applyNumberFormat="1" applyFont="1" applyFill="1" applyBorder="1"/>
    <xf numFmtId="1" fontId="3" fillId="17" borderId="0" xfId="0" applyNumberFormat="1" applyFont="1" applyFill="1"/>
    <xf numFmtId="1" fontId="3" fillId="0" borderId="43" xfId="0" applyNumberFormat="1" applyFont="1" applyBorder="1"/>
    <xf numFmtId="1" fontId="3" fillId="3" borderId="31" xfId="0" applyNumberFormat="1" applyFont="1" applyFill="1" applyBorder="1"/>
    <xf numFmtId="1" fontId="3" fillId="17" borderId="31" xfId="0" applyNumberFormat="1" applyFont="1" applyFill="1" applyBorder="1"/>
    <xf numFmtId="1" fontId="3" fillId="8" borderId="31" xfId="0" applyNumberFormat="1" applyFont="1" applyFill="1" applyBorder="1"/>
    <xf numFmtId="1" fontId="3" fillId="7" borderId="31" xfId="0" applyNumberFormat="1" applyFont="1" applyFill="1" applyBorder="1"/>
    <xf numFmtId="167" fontId="3" fillId="8" borderId="31" xfId="0" applyNumberFormat="1" applyFont="1" applyFill="1" applyBorder="1"/>
    <xf numFmtId="1" fontId="3" fillId="0" borderId="1" xfId="0" applyNumberFormat="1" applyFont="1" applyBorder="1"/>
    <xf numFmtId="0" fontId="3" fillId="0" borderId="2" xfId="0" applyFont="1" applyBorder="1" applyAlignment="1">
      <alignment horizontal="right"/>
    </xf>
    <xf numFmtId="0" fontId="3" fillId="0" borderId="2" xfId="0" applyFont="1" applyBorder="1" applyAlignment="1">
      <alignment horizontal="center"/>
    </xf>
    <xf numFmtId="0" fontId="12" fillId="0" borderId="35" xfId="0" applyFont="1" applyBorder="1" applyAlignment="1">
      <alignment horizontal="center"/>
    </xf>
    <xf numFmtId="0" fontId="21" fillId="0" borderId="1" xfId="0" applyFont="1" applyBorder="1" applyAlignment="1">
      <alignment horizontal="center"/>
    </xf>
    <xf numFmtId="168" fontId="3" fillId="8" borderId="5" xfId="0" applyNumberFormat="1" applyFont="1" applyFill="1" applyBorder="1" applyAlignment="1">
      <alignment horizontal="center"/>
    </xf>
    <xf numFmtId="0" fontId="12" fillId="0" borderId="0" xfId="0" applyFont="1" applyAlignment="1">
      <alignment horizontal="left" indent="1"/>
    </xf>
    <xf numFmtId="1" fontId="3" fillId="8" borderId="35" xfId="0" applyNumberFormat="1" applyFont="1" applyFill="1" applyBorder="1"/>
    <xf numFmtId="0" fontId="1" fillId="0" borderId="0" xfId="0" applyFont="1" applyAlignment="1">
      <alignment horizontal="center" wrapText="1"/>
    </xf>
    <xf numFmtId="0" fontId="33" fillId="0" borderId="0" xfId="0" applyFont="1" applyAlignment="1">
      <alignment horizontal="center"/>
    </xf>
    <xf numFmtId="174" fontId="1" fillId="0" borderId="0" xfId="0" applyNumberFormat="1" applyFont="1" applyAlignment="1">
      <alignment horizontal="center"/>
    </xf>
    <xf numFmtId="0" fontId="1" fillId="23" borderId="0" xfId="0" applyFont="1" applyFill="1" applyAlignment="1">
      <alignment horizontal="center"/>
    </xf>
    <xf numFmtId="0" fontId="33" fillId="0" borderId="0" xfId="0" applyFont="1" applyAlignment="1">
      <alignment horizontal="center" wrapText="1"/>
    </xf>
    <xf numFmtId="166" fontId="1" fillId="0" borderId="0" xfId="0" applyNumberFormat="1" applyFont="1" applyAlignment="1">
      <alignment horizontal="center"/>
    </xf>
    <xf numFmtId="169" fontId="1" fillId="0" borderId="0" xfId="0" applyNumberFormat="1" applyFont="1" applyAlignment="1">
      <alignment horizontal="center"/>
    </xf>
    <xf numFmtId="169" fontId="33" fillId="0" borderId="0" xfId="0" applyNumberFormat="1" applyFont="1" applyAlignment="1">
      <alignment horizontal="center"/>
    </xf>
    <xf numFmtId="166" fontId="33" fillId="0" borderId="0" xfId="0" applyNumberFormat="1" applyFont="1" applyAlignment="1">
      <alignment horizontal="center"/>
    </xf>
    <xf numFmtId="0" fontId="7" fillId="0" borderId="0" xfId="0" applyFont="1"/>
    <xf numFmtId="2" fontId="1" fillId="18" borderId="0" xfId="0" applyNumberFormat="1" applyFont="1" applyFill="1"/>
    <xf numFmtId="0" fontId="7" fillId="24" borderId="0" xfId="0" applyFont="1" applyFill="1" applyAlignment="1">
      <alignment horizontal="center"/>
    </xf>
    <xf numFmtId="0" fontId="25" fillId="17" borderId="1" xfId="0" applyFont="1" applyFill="1" applyBorder="1" applyAlignment="1">
      <alignment wrapText="1"/>
    </xf>
    <xf numFmtId="0" fontId="25" fillId="17" borderId="3" xfId="0" applyFont="1" applyFill="1" applyBorder="1" applyAlignment="1">
      <alignment wrapText="1"/>
    </xf>
    <xf numFmtId="0" fontId="25" fillId="17" borderId="2" xfId="0" applyFont="1" applyFill="1" applyBorder="1"/>
    <xf numFmtId="0" fontId="25" fillId="17" borderId="0" xfId="0" applyFont="1" applyFill="1"/>
    <xf numFmtId="0" fontId="25" fillId="17" borderId="1" xfId="0" applyFont="1" applyFill="1" applyBorder="1" applyAlignment="1">
      <alignment horizontal="left" indent="2"/>
    </xf>
    <xf numFmtId="0" fontId="3" fillId="17" borderId="1" xfId="0" applyFont="1" applyFill="1" applyBorder="1" applyAlignment="1">
      <alignment horizontal="left" vertical="top" wrapText="1" indent="1"/>
    </xf>
    <xf numFmtId="0" fontId="12" fillId="0" borderId="36" xfId="0" applyFont="1" applyBorder="1" applyAlignment="1">
      <alignment horizontal="center"/>
    </xf>
    <xf numFmtId="3" fontId="3" fillId="0" borderId="0" xfId="0" applyNumberFormat="1" applyFont="1"/>
    <xf numFmtId="0" fontId="3" fillId="8" borderId="4" xfId="0" applyFont="1" applyFill="1" applyBorder="1"/>
    <xf numFmtId="0" fontId="1" fillId="0" borderId="6" xfId="0" applyFont="1" applyBorder="1"/>
    <xf numFmtId="168" fontId="3" fillId="8" borderId="0" xfId="0" applyNumberFormat="1" applyFont="1" applyFill="1" applyAlignment="1">
      <alignment horizontal="center" vertical="top" wrapText="1"/>
    </xf>
    <xf numFmtId="0" fontId="3" fillId="20" borderId="8" xfId="0" applyFont="1" applyFill="1" applyBorder="1"/>
    <xf numFmtId="167" fontId="3" fillId="20" borderId="7" xfId="0" applyNumberFormat="1" applyFont="1" applyFill="1" applyBorder="1" applyAlignment="1">
      <alignment horizontal="center"/>
    </xf>
    <xf numFmtId="0" fontId="3" fillId="20" borderId="7" xfId="0" applyFont="1" applyFill="1" applyBorder="1" applyAlignment="1">
      <alignment horizontal="center"/>
    </xf>
    <xf numFmtId="0" fontId="12" fillId="0" borderId="3" xfId="0" applyFont="1" applyBorder="1"/>
    <xf numFmtId="0" fontId="34" fillId="0" borderId="3" xfId="0" applyFont="1" applyBorder="1" applyAlignment="1">
      <alignment wrapText="1"/>
    </xf>
    <xf numFmtId="165" fontId="2" fillId="0" borderId="23" xfId="0" applyNumberFormat="1" applyFont="1" applyBorder="1" applyAlignment="1">
      <alignment horizontal="right"/>
    </xf>
    <xf numFmtId="175" fontId="34" fillId="0" borderId="35" xfId="0" applyNumberFormat="1" applyFont="1" applyBorder="1" applyAlignment="1">
      <alignment horizontal="center"/>
    </xf>
    <xf numFmtId="1" fontId="25" fillId="0" borderId="35" xfId="0" applyNumberFormat="1" applyFont="1" applyBorder="1" applyAlignment="1">
      <alignment horizontal="center"/>
    </xf>
    <xf numFmtId="1" fontId="25" fillId="0" borderId="7" xfId="0" applyNumberFormat="1" applyFont="1" applyBorder="1" applyAlignment="1">
      <alignment horizontal="center"/>
    </xf>
    <xf numFmtId="175" fontId="34" fillId="14" borderId="35" xfId="0" applyNumberFormat="1" applyFont="1" applyFill="1" applyBorder="1" applyAlignment="1">
      <alignment horizontal="center"/>
    </xf>
    <xf numFmtId="1" fontId="3" fillId="0" borderId="7" xfId="0" applyNumberFormat="1" applyFont="1" applyBorder="1" applyAlignment="1">
      <alignment horizontal="center" vertical="center"/>
    </xf>
    <xf numFmtId="169" fontId="3" fillId="0" borderId="35" xfId="0" applyNumberFormat="1" applyFont="1" applyBorder="1"/>
    <xf numFmtId="168" fontId="21" fillId="0" borderId="0" xfId="0" applyNumberFormat="1" applyFont="1"/>
    <xf numFmtId="1" fontId="3" fillId="8" borderId="6" xfId="0" applyNumberFormat="1" applyFont="1" applyFill="1" applyBorder="1" applyAlignment="1">
      <alignment horizontal="center"/>
    </xf>
    <xf numFmtId="1" fontId="3" fillId="8" borderId="35" xfId="0" applyNumberFormat="1" applyFont="1" applyFill="1" applyBorder="1" applyAlignment="1">
      <alignment horizontal="center"/>
    </xf>
    <xf numFmtId="168" fontId="3" fillId="0" borderId="1" xfId="0" applyNumberFormat="1" applyFont="1" applyBorder="1" applyAlignment="1">
      <alignment horizontal="center" vertical="top" wrapText="1"/>
    </xf>
    <xf numFmtId="1" fontId="3" fillId="0" borderId="7" xfId="0" applyNumberFormat="1" applyFont="1" applyBorder="1"/>
    <xf numFmtId="1" fontId="3" fillId="8" borderId="7" xfId="0" applyNumberFormat="1" applyFont="1" applyFill="1" applyBorder="1"/>
    <xf numFmtId="168" fontId="21" fillId="25" borderId="0" xfId="0" applyNumberFormat="1" applyFont="1" applyFill="1" applyAlignment="1">
      <alignment horizontal="center" vertical="top" wrapText="1"/>
    </xf>
    <xf numFmtId="1" fontId="3" fillId="15" borderId="0" xfId="0" applyNumberFormat="1" applyFont="1" applyFill="1" applyAlignment="1">
      <alignment horizontal="center" vertical="top" wrapText="1"/>
    </xf>
    <xf numFmtId="1" fontId="21" fillId="0" borderId="0" xfId="0" applyNumberFormat="1" applyFont="1" applyAlignment="1">
      <alignment horizontal="center" vertical="top" wrapText="1"/>
    </xf>
    <xf numFmtId="1" fontId="3" fillId="0" borderId="31" xfId="0" applyNumberFormat="1" applyFont="1" applyBorder="1" applyAlignment="1">
      <alignment horizontal="center" vertical="top" wrapText="1"/>
    </xf>
    <xf numFmtId="168" fontId="21" fillId="0" borderId="0" xfId="0" applyNumberFormat="1" applyFont="1" applyAlignment="1">
      <alignment horizontal="center" vertical="top" wrapText="1"/>
    </xf>
    <xf numFmtId="168" fontId="3" fillId="0" borderId="35" xfId="0" applyNumberFormat="1" applyFont="1" applyBorder="1" applyAlignment="1">
      <alignment horizontal="right" vertical="top" wrapText="1"/>
    </xf>
    <xf numFmtId="10" fontId="3" fillId="0" borderId="0" xfId="0" applyNumberFormat="1" applyFont="1"/>
    <xf numFmtId="0" fontId="3" fillId="0" borderId="2" xfId="0" applyFont="1" applyBorder="1" applyAlignment="1">
      <alignment horizontal="left" indent="1"/>
    </xf>
    <xf numFmtId="9" fontId="3" fillId="0" borderId="7" xfId="0" applyNumberFormat="1" applyFont="1" applyBorder="1"/>
    <xf numFmtId="2" fontId="3" fillId="0" borderId="7" xfId="0" applyNumberFormat="1" applyFont="1" applyBorder="1" applyAlignment="1">
      <alignment horizontal="center"/>
    </xf>
    <xf numFmtId="167" fontId="3" fillId="0" borderId="2" xfId="0" applyNumberFormat="1" applyFont="1" applyBorder="1" applyAlignment="1">
      <alignment horizontal="center"/>
    </xf>
    <xf numFmtId="167" fontId="3" fillId="0" borderId="7" xfId="0" applyNumberFormat="1" applyFont="1" applyBorder="1" applyAlignment="1">
      <alignment horizontal="center"/>
    </xf>
    <xf numFmtId="1" fontId="3" fillId="0" borderId="1" xfId="0" applyNumberFormat="1" applyFont="1" applyBorder="1" applyAlignment="1">
      <alignment horizontal="center"/>
    </xf>
    <xf numFmtId="0" fontId="3" fillId="0" borderId="6" xfId="0" applyFont="1" applyBorder="1" applyAlignment="1">
      <alignment horizontal="center"/>
    </xf>
    <xf numFmtId="0" fontId="25" fillId="0" borderId="1" xfId="0" applyFont="1" applyBorder="1" applyAlignment="1">
      <alignment wrapText="1"/>
    </xf>
    <xf numFmtId="167" fontId="3" fillId="7" borderId="4" xfId="0" applyNumberFormat="1" applyFont="1" applyFill="1" applyBorder="1" applyAlignment="1">
      <alignment horizontal="center"/>
    </xf>
    <xf numFmtId="167" fontId="3" fillId="7" borderId="7" xfId="0" applyNumberFormat="1" applyFont="1" applyFill="1" applyBorder="1" applyAlignment="1">
      <alignment horizontal="center"/>
    </xf>
    <xf numFmtId="1" fontId="3" fillId="0" borderId="7" xfId="0" applyNumberFormat="1" applyFont="1" applyBorder="1" applyAlignment="1">
      <alignment horizontal="center"/>
    </xf>
    <xf numFmtId="167" fontId="3" fillId="0" borderId="1" xfId="0" applyNumberFormat="1" applyFont="1" applyBorder="1" applyAlignment="1">
      <alignment horizontal="center"/>
    </xf>
    <xf numFmtId="0" fontId="21" fillId="0" borderId="0" xfId="0" applyFont="1" applyAlignment="1">
      <alignment horizontal="center" vertical="top" wrapText="1"/>
    </xf>
    <xf numFmtId="3" fontId="21" fillId="0" borderId="0" xfId="0" applyNumberFormat="1" applyFont="1" applyAlignment="1">
      <alignment horizontal="center" vertical="top" wrapText="1"/>
    </xf>
    <xf numFmtId="0" fontId="21" fillId="0" borderId="0" xfId="0" applyFont="1" applyAlignment="1">
      <alignment horizontal="left" vertical="top" wrapText="1"/>
    </xf>
    <xf numFmtId="0" fontId="25" fillId="0" borderId="43" xfId="0" applyFont="1" applyBorder="1" applyAlignment="1">
      <alignment horizontal="left" indent="2"/>
    </xf>
    <xf numFmtId="165" fontId="3" fillId="0" borderId="31" xfId="0" applyNumberFormat="1" applyFont="1" applyBorder="1" applyAlignment="1">
      <alignment horizontal="center" vertical="top" wrapText="1"/>
    </xf>
    <xf numFmtId="0" fontId="3" fillId="0" borderId="3" xfId="0" applyFont="1" applyBorder="1" applyAlignment="1">
      <alignment horizontal="left" indent="1"/>
    </xf>
    <xf numFmtId="0" fontId="34" fillId="0" borderId="1" xfId="0" applyFont="1" applyBorder="1" applyAlignment="1">
      <alignment horizontal="left" wrapText="1"/>
    </xf>
    <xf numFmtId="0" fontId="35" fillId="0" borderId="0" xfId="0" applyFont="1"/>
    <xf numFmtId="0" fontId="36" fillId="0" borderId="1" xfId="0" applyFont="1" applyBorder="1" applyAlignment="1">
      <alignment horizontal="left"/>
    </xf>
    <xf numFmtId="167" fontId="21" fillId="0" borderId="0" xfId="0" applyNumberFormat="1" applyFont="1"/>
    <xf numFmtId="0" fontId="21" fillId="0" borderId="2" xfId="0" applyFont="1" applyBorder="1" applyAlignment="1">
      <alignment horizontal="left" vertical="top" wrapText="1"/>
    </xf>
    <xf numFmtId="0" fontId="3" fillId="0" borderId="44" xfId="0" applyFont="1" applyBorder="1"/>
    <xf numFmtId="168" fontId="21" fillId="0" borderId="0" xfId="0" applyNumberFormat="1" applyFont="1" applyAlignment="1">
      <alignment horizontal="right" vertical="top" wrapText="1"/>
    </xf>
    <xf numFmtId="175" fontId="34" fillId="0" borderId="0" xfId="0" applyNumberFormat="1" applyFont="1" applyAlignment="1">
      <alignment horizontal="center"/>
    </xf>
    <xf numFmtId="1" fontId="3" fillId="0" borderId="35" xfId="0" applyNumberFormat="1" applyFont="1" applyBorder="1" applyAlignment="1">
      <alignment horizontal="center" vertical="center"/>
    </xf>
    <xf numFmtId="168" fontId="3" fillId="7" borderId="0" xfId="0" applyNumberFormat="1" applyFont="1" applyFill="1" applyAlignment="1">
      <alignment horizontal="center" vertical="top" wrapText="1"/>
    </xf>
    <xf numFmtId="1" fontId="21" fillId="8" borderId="0" xfId="0" applyNumberFormat="1" applyFont="1" applyFill="1" applyAlignment="1">
      <alignment horizontal="center" vertical="top" wrapText="1"/>
    </xf>
    <xf numFmtId="1" fontId="3" fillId="8" borderId="0" xfId="0" applyNumberFormat="1" applyFont="1" applyFill="1" applyAlignment="1">
      <alignment horizontal="center" vertical="top" wrapText="1"/>
    </xf>
    <xf numFmtId="168" fontId="21" fillId="25" borderId="7" xfId="0" applyNumberFormat="1" applyFont="1" applyFill="1" applyBorder="1" applyAlignment="1">
      <alignment horizontal="center" vertical="top" wrapText="1"/>
    </xf>
    <xf numFmtId="168" fontId="21" fillId="14" borderId="0" xfId="0" applyNumberFormat="1" applyFont="1" applyFill="1" applyAlignment="1">
      <alignment horizontal="center" vertical="top" wrapText="1"/>
    </xf>
    <xf numFmtId="167" fontId="3" fillId="7" borderId="0" xfId="0" applyNumberFormat="1" applyFont="1" applyFill="1" applyAlignment="1">
      <alignment horizontal="center"/>
    </xf>
    <xf numFmtId="167" fontId="3" fillId="8" borderId="0" xfId="0" applyNumberFormat="1" applyFont="1" applyFill="1" applyAlignment="1">
      <alignment horizontal="center"/>
    </xf>
    <xf numFmtId="167" fontId="3" fillId="0" borderId="0" xfId="0" applyNumberFormat="1" applyFont="1" applyAlignment="1">
      <alignment horizontal="center"/>
    </xf>
    <xf numFmtId="167" fontId="3" fillId="25" borderId="8" xfId="0" applyNumberFormat="1" applyFont="1" applyFill="1" applyBorder="1" applyAlignment="1">
      <alignment horizontal="center"/>
    </xf>
    <xf numFmtId="168" fontId="3" fillId="8" borderId="35" xfId="0" applyNumberFormat="1" applyFont="1" applyFill="1" applyBorder="1" applyAlignment="1">
      <alignment horizontal="right" vertical="top" wrapText="1"/>
    </xf>
    <xf numFmtId="168" fontId="3" fillId="0" borderId="0" xfId="0" applyNumberFormat="1" applyFont="1" applyAlignment="1">
      <alignment horizontal="right" vertical="top" wrapText="1"/>
    </xf>
    <xf numFmtId="0" fontId="3" fillId="0" borderId="1" xfId="0" applyFont="1" applyBorder="1" applyAlignment="1">
      <alignment horizontal="left" indent="1"/>
    </xf>
    <xf numFmtId="1" fontId="34" fillId="0" borderId="0" xfId="0" applyNumberFormat="1" applyFont="1" applyAlignment="1">
      <alignment horizontal="center"/>
    </xf>
    <xf numFmtId="175" fontId="34" fillId="0" borderId="0" xfId="0" applyNumberFormat="1" applyFont="1"/>
    <xf numFmtId="1" fontId="12" fillId="0" borderId="0" xfId="0" applyNumberFormat="1" applyFont="1" applyAlignment="1">
      <alignment horizontal="center"/>
    </xf>
    <xf numFmtId="168" fontId="3" fillId="0" borderId="1" xfId="0" applyNumberFormat="1" applyFont="1" applyBorder="1" applyAlignment="1">
      <alignment horizontal="right" vertical="top" wrapText="1"/>
    </xf>
    <xf numFmtId="3" fontId="21" fillId="0" borderId="7" xfId="0" applyNumberFormat="1" applyFont="1" applyBorder="1" applyAlignment="1">
      <alignment horizontal="center" vertical="top" wrapText="1"/>
    </xf>
    <xf numFmtId="0" fontId="12" fillId="14" borderId="36" xfId="0" applyFont="1" applyFill="1" applyBorder="1" applyAlignment="1">
      <alignment horizontal="center"/>
    </xf>
    <xf numFmtId="0" fontId="12" fillId="14" borderId="32" xfId="0" applyFont="1" applyFill="1" applyBorder="1" applyAlignment="1">
      <alignment horizontal="center"/>
    </xf>
    <xf numFmtId="0" fontId="25" fillId="0" borderId="1" xfId="0" applyFont="1" applyBorder="1"/>
    <xf numFmtId="2" fontId="3" fillId="0" borderId="8" xfId="0" applyNumberFormat="1" applyFont="1" applyBorder="1" applyAlignment="1">
      <alignment horizontal="center"/>
    </xf>
    <xf numFmtId="175" fontId="34" fillId="8" borderId="32" xfId="0" applyNumberFormat="1" applyFont="1" applyFill="1" applyBorder="1" applyAlignment="1">
      <alignment horizontal="center"/>
    </xf>
    <xf numFmtId="1" fontId="3" fillId="0" borderId="6" xfId="0" applyNumberFormat="1" applyFont="1" applyBorder="1" applyAlignment="1">
      <alignment horizontal="center"/>
    </xf>
    <xf numFmtId="176" fontId="3" fillId="0" borderId="0" xfId="0" applyNumberFormat="1" applyFont="1" applyAlignment="1">
      <alignment horizontal="center"/>
    </xf>
    <xf numFmtId="175" fontId="34" fillId="0" borderId="36" xfId="0" applyNumberFormat="1" applyFont="1" applyBorder="1" applyAlignment="1">
      <alignment horizontal="center"/>
    </xf>
    <xf numFmtId="3" fontId="3" fillId="0" borderId="34" xfId="0" applyNumberFormat="1" applyFont="1" applyBorder="1" applyAlignment="1">
      <alignment horizontal="center"/>
    </xf>
    <xf numFmtId="175" fontId="25" fillId="0" borderId="0" xfId="0" applyNumberFormat="1" applyFont="1" applyAlignment="1">
      <alignment horizontal="left" indent="2"/>
    </xf>
    <xf numFmtId="175" fontId="34" fillId="8" borderId="36" xfId="0" applyNumberFormat="1" applyFont="1" applyFill="1" applyBorder="1" applyAlignment="1">
      <alignment horizontal="center"/>
    </xf>
    <xf numFmtId="0" fontId="12" fillId="0" borderId="37" xfId="0" applyFont="1" applyBorder="1" applyAlignment="1">
      <alignment wrapText="1"/>
    </xf>
    <xf numFmtId="1" fontId="3" fillId="0" borderId="8" xfId="0" applyNumberFormat="1" applyFont="1" applyBorder="1" applyAlignment="1">
      <alignment horizontal="center"/>
    </xf>
    <xf numFmtId="1" fontId="21" fillId="0" borderId="1" xfId="0" applyNumberFormat="1" applyFont="1" applyBorder="1" applyAlignment="1">
      <alignment horizontal="center" vertical="top" wrapText="1"/>
    </xf>
    <xf numFmtId="0" fontId="37" fillId="0" borderId="0" xfId="0" applyFont="1"/>
    <xf numFmtId="3" fontId="3" fillId="0" borderId="5" xfId="0" applyNumberFormat="1" applyFont="1" applyBorder="1" applyAlignment="1">
      <alignment horizontal="center" vertical="top" wrapText="1"/>
    </xf>
    <xf numFmtId="9" fontId="1" fillId="0" borderId="0" xfId="0" applyNumberFormat="1" applyFont="1"/>
    <xf numFmtId="0" fontId="24" fillId="0" borderId="0" xfId="0" applyFont="1" applyAlignment="1">
      <alignment horizontal="left" vertical="top" wrapText="1"/>
    </xf>
    <xf numFmtId="168" fontId="3" fillId="8" borderId="0" xfId="0" applyNumberFormat="1" applyFont="1" applyFill="1" applyAlignment="1">
      <alignment horizontal="right" vertical="top" wrapText="1"/>
    </xf>
    <xf numFmtId="175" fontId="25" fillId="0" borderId="0" xfId="0" applyNumberFormat="1" applyFont="1" applyAlignment="1">
      <alignment horizontal="center"/>
    </xf>
    <xf numFmtId="2" fontId="3" fillId="0" borderId="6" xfId="0" applyNumberFormat="1" applyFont="1" applyBorder="1" applyAlignment="1">
      <alignment horizontal="center"/>
    </xf>
    <xf numFmtId="1" fontId="3" fillId="0" borderId="34" xfId="0" applyNumberFormat="1" applyFont="1" applyBorder="1" applyAlignment="1">
      <alignment horizontal="center"/>
    </xf>
    <xf numFmtId="37" fontId="3" fillId="0" borderId="0" xfId="0" applyNumberFormat="1" applyFont="1" applyAlignment="1">
      <alignment horizontal="center" wrapText="1"/>
    </xf>
    <xf numFmtId="1" fontId="25" fillId="0" borderId="0" xfId="0" applyNumberFormat="1" applyFont="1" applyAlignment="1">
      <alignment horizontal="center"/>
    </xf>
    <xf numFmtId="177" fontId="3" fillId="0" borderId="0" xfId="0" applyNumberFormat="1" applyFont="1" applyAlignment="1">
      <alignment horizontal="center"/>
    </xf>
    <xf numFmtId="168" fontId="3" fillId="0" borderId="0" xfId="0" applyNumberFormat="1" applyFont="1" applyAlignment="1">
      <alignment horizontal="center" vertical="top" wrapText="1"/>
    </xf>
    <xf numFmtId="175" fontId="34" fillId="8" borderId="35" xfId="0" applyNumberFormat="1" applyFont="1" applyFill="1" applyBorder="1" applyAlignment="1">
      <alignment horizontal="center"/>
    </xf>
    <xf numFmtId="0" fontId="12" fillId="14" borderId="35" xfId="0" applyFont="1" applyFill="1" applyBorder="1" applyAlignment="1">
      <alignment horizontal="center"/>
    </xf>
    <xf numFmtId="175" fontId="25" fillId="0" borderId="35" xfId="0" applyNumberFormat="1" applyFont="1" applyBorder="1" applyAlignment="1">
      <alignment horizontal="center"/>
    </xf>
    <xf numFmtId="175" fontId="25" fillId="0" borderId="7" xfId="0" applyNumberFormat="1" applyFont="1" applyBorder="1" applyAlignment="1">
      <alignment horizontal="center"/>
    </xf>
    <xf numFmtId="0" fontId="25" fillId="0" borderId="3" xfId="0" applyFont="1" applyBorder="1" applyAlignment="1">
      <alignment horizontal="left" indent="1"/>
    </xf>
    <xf numFmtId="167" fontId="3" fillId="0" borderId="35" xfId="0" applyNumberFormat="1" applyFont="1" applyBorder="1" applyAlignment="1">
      <alignment horizontal="center"/>
    </xf>
    <xf numFmtId="167" fontId="3" fillId="0" borderId="6" xfId="0" applyNumberFormat="1" applyFont="1" applyBorder="1" applyAlignment="1">
      <alignment vertical="center" wrapText="1"/>
    </xf>
    <xf numFmtId="167" fontId="3" fillId="0" borderId="34" xfId="0" applyNumberFormat="1" applyFont="1" applyBorder="1" applyAlignment="1">
      <alignment vertical="center" wrapText="1"/>
    </xf>
    <xf numFmtId="167" fontId="3" fillId="0" borderId="8" xfId="0" applyNumberFormat="1" applyFont="1" applyBorder="1" applyAlignment="1">
      <alignment vertical="center" wrapText="1"/>
    </xf>
    <xf numFmtId="1" fontId="3" fillId="0" borderId="0" xfId="0" applyNumberFormat="1" applyFont="1" applyAlignment="1">
      <alignment horizontal="center" vertical="center"/>
    </xf>
    <xf numFmtId="0" fontId="12" fillId="0" borderId="14" xfId="0" applyFont="1" applyBorder="1" applyAlignment="1">
      <alignment horizontal="left" indent="1"/>
    </xf>
    <xf numFmtId="2" fontId="3" fillId="0" borderId="35" xfId="0" applyNumberFormat="1" applyFont="1" applyBorder="1" applyAlignment="1">
      <alignment horizontal="center"/>
    </xf>
    <xf numFmtId="9" fontId="3" fillId="0" borderId="0" xfId="0" applyNumberFormat="1" applyFont="1"/>
    <xf numFmtId="175" fontId="25" fillId="0" borderId="3" xfId="0" applyNumberFormat="1" applyFont="1" applyBorder="1" applyAlignment="1">
      <alignment horizontal="center"/>
    </xf>
    <xf numFmtId="175" fontId="25" fillId="0" borderId="1" xfId="0" applyNumberFormat="1" applyFont="1" applyBorder="1" applyAlignment="1">
      <alignment horizontal="center"/>
    </xf>
    <xf numFmtId="175" fontId="25" fillId="0" borderId="34" xfId="0" applyNumberFormat="1" applyFont="1" applyBorder="1" applyAlignment="1">
      <alignment horizontal="center"/>
    </xf>
    <xf numFmtId="0" fontId="25" fillId="0" borderId="1" xfId="0" applyFont="1" applyBorder="1" applyAlignment="1">
      <alignment horizontal="left" indent="1"/>
    </xf>
    <xf numFmtId="0" fontId="25" fillId="0" borderId="2" xfId="0" applyFont="1" applyBorder="1" applyAlignment="1">
      <alignment horizontal="left" indent="1"/>
    </xf>
    <xf numFmtId="167" fontId="3" fillId="0" borderId="0" xfId="0" applyNumberFormat="1" applyFont="1" applyAlignment="1">
      <alignment vertical="center" wrapText="1"/>
    </xf>
    <xf numFmtId="0" fontId="3" fillId="0" borderId="1" xfId="0" applyFont="1" applyBorder="1" applyAlignment="1">
      <alignment horizontal="left" indent="4"/>
    </xf>
    <xf numFmtId="0" fontId="12" fillId="3" borderId="0" xfId="0" applyFont="1" applyFill="1" applyAlignment="1">
      <alignment horizontal="left"/>
    </xf>
    <xf numFmtId="0" fontId="12" fillId="3" borderId="0" xfId="0" applyFont="1" applyFill="1"/>
    <xf numFmtId="168" fontId="21" fillId="0" borderId="1" xfId="0" applyNumberFormat="1" applyFont="1" applyBorder="1" applyAlignment="1">
      <alignment horizontal="center" vertical="top" wrapText="1"/>
    </xf>
    <xf numFmtId="168" fontId="21" fillId="0" borderId="2" xfId="0" applyNumberFormat="1" applyFont="1" applyBorder="1" applyAlignment="1">
      <alignment horizontal="center" vertical="top" wrapText="1"/>
    </xf>
    <xf numFmtId="0" fontId="3" fillId="0" borderId="3" xfId="0" applyFont="1" applyBorder="1" applyAlignment="1">
      <alignment horizontal="left" indent="2"/>
    </xf>
    <xf numFmtId="0" fontId="3" fillId="0" borderId="0" xfId="0" applyFont="1" applyAlignment="1">
      <alignment horizontal="left" indent="2"/>
    </xf>
    <xf numFmtId="175" fontId="25" fillId="0" borderId="8" xfId="0" applyNumberFormat="1" applyFont="1" applyBorder="1" applyAlignment="1">
      <alignment horizontal="center"/>
    </xf>
    <xf numFmtId="10" fontId="21" fillId="0" borderId="0" xfId="0" applyNumberFormat="1" applyFont="1" applyAlignment="1">
      <alignment horizontal="center" vertical="top" wrapText="1"/>
    </xf>
    <xf numFmtId="0" fontId="34" fillId="0" borderId="3" xfId="0" applyFont="1" applyBorder="1" applyAlignment="1">
      <alignment horizontal="left"/>
    </xf>
    <xf numFmtId="1" fontId="3" fillId="8" borderId="31" xfId="0" applyNumberFormat="1" applyFont="1" applyFill="1" applyBorder="1" applyAlignment="1">
      <alignment horizontal="center" vertical="top" wrapText="1"/>
    </xf>
    <xf numFmtId="168" fontId="3" fillId="0" borderId="3" xfId="0" applyNumberFormat="1" applyFont="1" applyBorder="1" applyAlignment="1">
      <alignment horizontal="right" vertical="top" wrapText="1"/>
    </xf>
    <xf numFmtId="168" fontId="3" fillId="0" borderId="5" xfId="0" applyNumberFormat="1" applyFont="1" applyBorder="1" applyAlignment="1">
      <alignment horizontal="right" vertical="top" wrapText="1"/>
    </xf>
    <xf numFmtId="168" fontId="3" fillId="8" borderId="5" xfId="0" applyNumberFormat="1" applyFont="1" applyFill="1" applyBorder="1" applyAlignment="1">
      <alignment horizontal="right" vertical="top" wrapText="1"/>
    </xf>
    <xf numFmtId="168" fontId="3" fillId="0" borderId="31" xfId="0" applyNumberFormat="1" applyFont="1" applyBorder="1" applyAlignment="1">
      <alignment horizontal="center" vertical="top" wrapText="1"/>
    </xf>
    <xf numFmtId="168" fontId="3" fillId="0" borderId="43" xfId="0" applyNumberFormat="1" applyFont="1" applyBorder="1" applyAlignment="1">
      <alignment horizontal="center" vertical="top" wrapText="1"/>
    </xf>
    <xf numFmtId="0" fontId="24" fillId="0" borderId="0" xfId="0" applyFont="1" applyAlignment="1">
      <alignment horizontal="center" vertical="top" wrapText="1"/>
    </xf>
    <xf numFmtId="0" fontId="12" fillId="0" borderId="3" xfId="0" applyFont="1" applyBorder="1" applyAlignment="1">
      <alignment horizontal="left" vertical="top" wrapText="1"/>
    </xf>
    <xf numFmtId="168" fontId="21" fillId="0" borderId="7" xfId="0" applyNumberFormat="1" applyFont="1" applyBorder="1" applyAlignment="1">
      <alignment horizontal="center" vertical="top" wrapText="1"/>
    </xf>
    <xf numFmtId="168" fontId="38" fillId="8" borderId="7" xfId="0" applyNumberFormat="1" applyFont="1" applyFill="1" applyBorder="1" applyAlignment="1">
      <alignment horizontal="center"/>
    </xf>
    <xf numFmtId="168" fontId="21" fillId="25" borderId="8" xfId="0" applyNumberFormat="1" applyFont="1" applyFill="1" applyBorder="1" applyAlignment="1">
      <alignment horizontal="center" vertical="top" wrapText="1"/>
    </xf>
    <xf numFmtId="1" fontId="3" fillId="0" borderId="5" xfId="0" applyNumberFormat="1" applyFont="1" applyBorder="1" applyAlignment="1">
      <alignment horizontal="center"/>
    </xf>
    <xf numFmtId="167" fontId="3" fillId="7" borderId="8" xfId="0" applyNumberFormat="1" applyFont="1" applyFill="1" applyBorder="1" applyAlignment="1">
      <alignment horizontal="center"/>
    </xf>
    <xf numFmtId="0" fontId="3" fillId="20" borderId="1" xfId="0" applyFont="1" applyFill="1" applyBorder="1" applyAlignment="1">
      <alignment horizontal="left" indent="2"/>
    </xf>
    <xf numFmtId="0" fontId="1" fillId="20" borderId="4" xfId="0" applyFont="1" applyFill="1" applyBorder="1"/>
    <xf numFmtId="167" fontId="3" fillId="20" borderId="0" xfId="0" applyNumberFormat="1" applyFont="1" applyFill="1" applyAlignment="1">
      <alignment horizontal="center"/>
    </xf>
    <xf numFmtId="0" fontId="3" fillId="20" borderId="0" xfId="0" applyFont="1" applyFill="1" applyAlignment="1">
      <alignment horizontal="center"/>
    </xf>
    <xf numFmtId="0" fontId="3" fillId="20" borderId="1" xfId="0" applyFont="1" applyFill="1" applyBorder="1" applyAlignment="1">
      <alignment horizontal="left" indent="4"/>
    </xf>
    <xf numFmtId="0" fontId="3" fillId="20" borderId="4" xfId="0" applyFont="1" applyFill="1" applyBorder="1"/>
    <xf numFmtId="0" fontId="3" fillId="20" borderId="2" xfId="0" applyFont="1" applyFill="1" applyBorder="1" applyAlignment="1">
      <alignment horizontal="left" indent="2"/>
    </xf>
    <xf numFmtId="0" fontId="1" fillId="0" borderId="3" xfId="0" applyFont="1" applyBorder="1"/>
    <xf numFmtId="10" fontId="33" fillId="0" borderId="4" xfId="0" applyNumberFormat="1" applyFont="1" applyBorder="1" applyAlignment="1">
      <alignment horizontal="center"/>
    </xf>
    <xf numFmtId="0" fontId="12" fillId="7" borderId="36" xfId="0" applyFont="1" applyFill="1" applyBorder="1"/>
    <xf numFmtId="0" fontId="33" fillId="0" borderId="0" xfId="0" applyFont="1"/>
    <xf numFmtId="0" fontId="3" fillId="7" borderId="14" xfId="0" applyFont="1" applyFill="1" applyBorder="1" applyAlignment="1">
      <alignment horizontal="center"/>
    </xf>
    <xf numFmtId="0" fontId="3" fillId="7" borderId="12" xfId="0" applyFont="1" applyFill="1" applyBorder="1" applyAlignment="1">
      <alignment horizontal="center"/>
    </xf>
    <xf numFmtId="10" fontId="33" fillId="0" borderId="45" xfId="0" applyNumberFormat="1" applyFont="1" applyBorder="1" applyAlignment="1">
      <alignment horizontal="center"/>
    </xf>
    <xf numFmtId="0" fontId="1" fillId="7" borderId="41" xfId="0" applyFont="1" applyFill="1" applyBorder="1"/>
    <xf numFmtId="1" fontId="33" fillId="0" borderId="0" xfId="0" applyNumberFormat="1" applyFont="1"/>
    <xf numFmtId="1" fontId="33" fillId="0" borderId="7" xfId="0" applyNumberFormat="1" applyFont="1" applyBorder="1"/>
    <xf numFmtId="0" fontId="33" fillId="0" borderId="7" xfId="0" applyFont="1" applyBorder="1"/>
    <xf numFmtId="0" fontId="28" fillId="0" borderId="1" xfId="0" applyFont="1" applyBorder="1" applyAlignment="1">
      <alignment wrapText="1"/>
    </xf>
    <xf numFmtId="0" fontId="1" fillId="0" borderId="5" xfId="0" applyFont="1" applyBorder="1"/>
    <xf numFmtId="10" fontId="33" fillId="0" borderId="0" xfId="0" applyNumberFormat="1" applyFont="1" applyAlignment="1">
      <alignment horizontal="center"/>
    </xf>
    <xf numFmtId="0" fontId="1" fillId="20" borderId="1" xfId="0" applyFont="1" applyFill="1" applyBorder="1"/>
    <xf numFmtId="0" fontId="1" fillId="20" borderId="2" xfId="0" applyFont="1" applyFill="1" applyBorder="1"/>
    <xf numFmtId="10" fontId="33" fillId="0" borderId="2" xfId="0" applyNumberFormat="1" applyFont="1" applyBorder="1" applyAlignment="1">
      <alignment horizontal="center"/>
    </xf>
    <xf numFmtId="10" fontId="33" fillId="0" borderId="7" xfId="0" applyNumberFormat="1" applyFont="1" applyBorder="1" applyAlignment="1">
      <alignment horizontal="center"/>
    </xf>
    <xf numFmtId="10" fontId="33" fillId="0" borderId="8" xfId="0" applyNumberFormat="1" applyFont="1" applyBorder="1" applyAlignment="1">
      <alignment horizontal="center"/>
    </xf>
    <xf numFmtId="0" fontId="33" fillId="0" borderId="1" xfId="0" applyFont="1" applyBorder="1" applyAlignment="1">
      <alignment wrapText="1"/>
    </xf>
    <xf numFmtId="2" fontId="33" fillId="0" borderId="0" xfId="0" applyNumberFormat="1" applyFont="1" applyAlignment="1">
      <alignment horizontal="center"/>
    </xf>
    <xf numFmtId="2" fontId="39" fillId="0" borderId="0" xfId="0" applyNumberFormat="1" applyFont="1" applyAlignment="1">
      <alignment horizontal="center"/>
    </xf>
    <xf numFmtId="0" fontId="39" fillId="0" borderId="0" xfId="0" applyFont="1" applyAlignment="1">
      <alignment horizontal="center"/>
    </xf>
    <xf numFmtId="2" fontId="33" fillId="0" borderId="7" xfId="0" applyNumberFormat="1" applyFont="1" applyBorder="1" applyAlignment="1">
      <alignment horizontal="center"/>
    </xf>
    <xf numFmtId="2" fontId="33" fillId="0" borderId="5" xfId="0" applyNumberFormat="1" applyFont="1" applyBorder="1" applyAlignment="1">
      <alignment horizontal="center"/>
    </xf>
    <xf numFmtId="0" fontId="12" fillId="0" borderId="3" xfId="0" applyFont="1" applyBorder="1" applyAlignment="1">
      <alignment vertical="center" wrapText="1"/>
    </xf>
    <xf numFmtId="0" fontId="40" fillId="0" borderId="6" xfId="0" applyFont="1" applyBorder="1" applyAlignment="1">
      <alignment wrapText="1"/>
    </xf>
    <xf numFmtId="0" fontId="40" fillId="0" borderId="36" xfId="0" applyFont="1" applyBorder="1" applyAlignment="1">
      <alignment wrapText="1"/>
    </xf>
    <xf numFmtId="10" fontId="33" fillId="20" borderId="0" xfId="0" applyNumberFormat="1" applyFont="1" applyFill="1" applyAlignment="1">
      <alignment horizontal="center"/>
    </xf>
    <xf numFmtId="10" fontId="33" fillId="20" borderId="4" xfId="0" applyNumberFormat="1" applyFont="1" applyFill="1" applyBorder="1" applyAlignment="1">
      <alignment horizontal="center"/>
    </xf>
    <xf numFmtId="10" fontId="1" fillId="20" borderId="1" xfId="0" applyNumberFormat="1" applyFont="1" applyFill="1" applyBorder="1"/>
    <xf numFmtId="10" fontId="33" fillId="12" borderId="0" xfId="0" applyNumberFormat="1" applyFont="1" applyFill="1" applyAlignment="1">
      <alignment horizontal="center"/>
    </xf>
    <xf numFmtId="0" fontId="4" fillId="0" borderId="0" xfId="0" applyFont="1" applyAlignment="1">
      <alignment horizontal="left"/>
    </xf>
    <xf numFmtId="10" fontId="33" fillId="7" borderId="0" xfId="0" applyNumberFormat="1" applyFont="1" applyFill="1" applyAlignment="1">
      <alignment horizontal="center"/>
    </xf>
    <xf numFmtId="0" fontId="3" fillId="0" borderId="0" xfId="0" applyFont="1" applyAlignment="1">
      <alignment vertical="top"/>
    </xf>
    <xf numFmtId="10" fontId="33" fillId="0" borderId="6" xfId="0" applyNumberFormat="1" applyFont="1" applyBorder="1" applyAlignment="1">
      <alignment horizontal="center"/>
    </xf>
    <xf numFmtId="10" fontId="33" fillId="7" borderId="5" xfId="0" applyNumberFormat="1" applyFont="1" applyFill="1" applyBorder="1" applyAlignment="1">
      <alignment horizontal="center"/>
    </xf>
    <xf numFmtId="10" fontId="33" fillId="0" borderId="35" xfId="0" applyNumberFormat="1" applyFont="1" applyBorder="1" applyAlignment="1">
      <alignment horizontal="center"/>
    </xf>
    <xf numFmtId="0" fontId="4" fillId="20" borderId="4" xfId="0" applyFont="1" applyFill="1" applyBorder="1" applyAlignment="1">
      <alignment horizontal="left"/>
    </xf>
    <xf numFmtId="0" fontId="4" fillId="20" borderId="8" xfId="0" applyFont="1" applyFill="1" applyBorder="1" applyAlignment="1">
      <alignment horizontal="left"/>
    </xf>
    <xf numFmtId="10" fontId="33" fillId="20" borderId="7" xfId="0" applyNumberFormat="1" applyFont="1" applyFill="1" applyBorder="1" applyAlignment="1">
      <alignment horizontal="center"/>
    </xf>
    <xf numFmtId="10" fontId="33" fillId="20" borderId="8" xfId="0" applyNumberFormat="1" applyFont="1" applyFill="1" applyBorder="1" applyAlignment="1">
      <alignment horizontal="center"/>
    </xf>
    <xf numFmtId="10" fontId="1" fillId="0" borderId="3" xfId="0" applyNumberFormat="1" applyFont="1" applyBorder="1"/>
    <xf numFmtId="0" fontId="4" fillId="0" borderId="6" xfId="0" applyFont="1" applyBorder="1" applyAlignment="1">
      <alignment horizontal="left"/>
    </xf>
    <xf numFmtId="0" fontId="4" fillId="0" borderId="8" xfId="0" applyFont="1" applyBorder="1" applyAlignment="1">
      <alignment horizontal="left"/>
    </xf>
    <xf numFmtId="10" fontId="33" fillId="0" borderId="46" xfId="0" applyNumberFormat="1" applyFont="1" applyBorder="1" applyAlignment="1">
      <alignment horizontal="center"/>
    </xf>
    <xf numFmtId="10" fontId="33" fillId="0" borderId="47" xfId="0" applyNumberFormat="1" applyFont="1" applyBorder="1" applyAlignment="1">
      <alignment horizontal="center"/>
    </xf>
    <xf numFmtId="10" fontId="1" fillId="0" borderId="2" xfId="0" applyNumberFormat="1" applyFont="1" applyBorder="1"/>
    <xf numFmtId="0" fontId="12" fillId="0" borderId="35" xfId="0" applyFont="1" applyBorder="1" applyAlignment="1">
      <alignment vertical="center" wrapText="1"/>
    </xf>
    <xf numFmtId="10" fontId="33" fillId="7" borderId="7" xfId="0" applyNumberFormat="1" applyFont="1" applyFill="1" applyBorder="1" applyAlignment="1">
      <alignment horizontal="center"/>
    </xf>
    <xf numFmtId="10" fontId="33" fillId="0" borderId="3" xfId="0" applyNumberFormat="1" applyFont="1" applyBorder="1" applyAlignment="1">
      <alignment horizontal="center"/>
    </xf>
    <xf numFmtId="10" fontId="33" fillId="7" borderId="35" xfId="0" applyNumberFormat="1" applyFont="1" applyFill="1" applyBorder="1" applyAlignment="1">
      <alignment horizontal="center"/>
    </xf>
    <xf numFmtId="0" fontId="40" fillId="0" borderId="0" xfId="0" applyFont="1" applyAlignment="1">
      <alignment wrapText="1"/>
    </xf>
    <xf numFmtId="0" fontId="40" fillId="0" borderId="7" xfId="0" applyFont="1" applyBorder="1" applyAlignment="1">
      <alignment wrapText="1"/>
    </xf>
    <xf numFmtId="167" fontId="2" fillId="0" borderId="0" xfId="0" applyNumberFormat="1" applyFont="1" applyAlignment="1">
      <alignment wrapText="1"/>
    </xf>
    <xf numFmtId="0" fontId="4" fillId="0" borderId="5" xfId="0" applyFont="1" applyBorder="1" applyAlignment="1">
      <alignment horizontal="left"/>
    </xf>
    <xf numFmtId="0" fontId="4" fillId="0" borderId="7" xfId="0" applyFont="1" applyBorder="1" applyAlignment="1">
      <alignment horizontal="left"/>
    </xf>
    <xf numFmtId="178" fontId="1" fillId="0" borderId="0" xfId="0" applyNumberFormat="1" applyFont="1"/>
    <xf numFmtId="10" fontId="33" fillId="0" borderId="5" xfId="0" applyNumberFormat="1" applyFont="1" applyBorder="1" applyAlignment="1">
      <alignment horizontal="center"/>
    </xf>
    <xf numFmtId="10" fontId="33" fillId="0" borderId="1" xfId="0" applyNumberFormat="1" applyFont="1" applyBorder="1" applyAlignment="1">
      <alignment horizontal="center"/>
    </xf>
    <xf numFmtId="168" fontId="3" fillId="8" borderId="35" xfId="0" applyNumberFormat="1" applyFont="1" applyFill="1" applyBorder="1" applyAlignment="1">
      <alignment horizontal="center"/>
    </xf>
    <xf numFmtId="3" fontId="3" fillId="0" borderId="5" xfId="0" applyNumberFormat="1" applyFont="1" applyBorder="1"/>
    <xf numFmtId="3" fontId="3" fillId="0" borderId="6" xfId="0" applyNumberFormat="1" applyFont="1" applyBorder="1"/>
    <xf numFmtId="3" fontId="3" fillId="0" borderId="1" xfId="0" applyNumberFormat="1" applyFont="1" applyBorder="1"/>
    <xf numFmtId="0" fontId="3" fillId="0" borderId="12" xfId="0" applyFont="1" applyBorder="1" applyAlignment="1">
      <alignment horizontal="left" wrapText="1" indent="8"/>
    </xf>
    <xf numFmtId="0" fontId="12" fillId="0" borderId="36" xfId="0" applyFont="1" applyBorder="1"/>
    <xf numFmtId="0" fontId="12" fillId="0" borderId="32" xfId="0" applyFont="1" applyBorder="1"/>
    <xf numFmtId="169" fontId="3" fillId="12" borderId="7" xfId="0" applyNumberFormat="1" applyFont="1" applyFill="1" applyBorder="1"/>
    <xf numFmtId="4" fontId="3" fillId="0" borderId="0" xfId="0" applyNumberFormat="1" applyFont="1"/>
    <xf numFmtId="3" fontId="3" fillId="0" borderId="4" xfId="0" applyNumberFormat="1" applyFont="1" applyBorder="1"/>
    <xf numFmtId="169" fontId="3" fillId="12" borderId="8" xfId="0" applyNumberFormat="1" applyFont="1" applyFill="1" applyBorder="1"/>
    <xf numFmtId="3" fontId="3" fillId="0" borderId="3" xfId="0" applyNumberFormat="1" applyFont="1" applyBorder="1"/>
    <xf numFmtId="1" fontId="3" fillId="8" borderId="5" xfId="0" applyNumberFormat="1" applyFont="1" applyFill="1" applyBorder="1"/>
    <xf numFmtId="1" fontId="3" fillId="0" borderId="35" xfId="0" applyNumberFormat="1" applyFont="1" applyBorder="1"/>
    <xf numFmtId="168" fontId="3" fillId="0" borderId="6" xfId="0" applyNumberFormat="1" applyFont="1" applyBorder="1"/>
    <xf numFmtId="168" fontId="3" fillId="8" borderId="8" xfId="0" applyNumberFormat="1" applyFont="1" applyFill="1" applyBorder="1" applyAlignment="1">
      <alignment horizontal="center"/>
    </xf>
    <xf numFmtId="168" fontId="21" fillId="8" borderId="4" xfId="0" applyNumberFormat="1" applyFont="1" applyFill="1" applyBorder="1" applyAlignment="1">
      <alignment horizontal="center"/>
    </xf>
    <xf numFmtId="0" fontId="12" fillId="7" borderId="9" xfId="0" applyFont="1" applyFill="1" applyBorder="1" applyAlignment="1">
      <alignment horizontal="centerContinuous"/>
    </xf>
    <xf numFmtId="0" fontId="12" fillId="7" borderId="10" xfId="0" applyFont="1" applyFill="1" applyBorder="1" applyAlignment="1">
      <alignment horizontal="centerContinuous"/>
    </xf>
    <xf numFmtId="168" fontId="3" fillId="8" borderId="4" xfId="0" applyNumberFormat="1" applyFont="1" applyFill="1" applyBorder="1" applyAlignment="1">
      <alignment horizontal="center"/>
    </xf>
    <xf numFmtId="0" fontId="3" fillId="8" borderId="3" xfId="0" applyFont="1" applyFill="1" applyBorder="1"/>
    <xf numFmtId="0" fontId="3" fillId="0" borderId="0" xfId="0" applyFont="1" applyAlignment="1">
      <alignment horizontal="right"/>
    </xf>
    <xf numFmtId="168" fontId="3" fillId="12" borderId="0" xfId="0" applyNumberFormat="1" applyFont="1" applyFill="1" applyAlignment="1">
      <alignment horizontal="center"/>
    </xf>
    <xf numFmtId="168" fontId="3" fillId="27" borderId="0" xfId="0" applyNumberFormat="1" applyFont="1" applyFill="1" applyAlignment="1">
      <alignment horizontal="center"/>
    </xf>
    <xf numFmtId="168" fontId="21" fillId="28" borderId="0" xfId="0" applyNumberFormat="1" applyFont="1" applyFill="1" applyAlignment="1">
      <alignment horizontal="center"/>
    </xf>
    <xf numFmtId="0" fontId="3" fillId="22" borderId="1" xfId="0" applyFont="1" applyFill="1" applyBorder="1" applyAlignment="1">
      <alignment horizontal="left" wrapText="1"/>
    </xf>
    <xf numFmtId="0" fontId="3" fillId="0" borderId="48" xfId="0" applyFont="1" applyBorder="1" applyAlignment="1">
      <alignment horizontal="left" indent="1"/>
    </xf>
    <xf numFmtId="0" fontId="12" fillId="0" borderId="48" xfId="0" applyFont="1" applyBorder="1" applyAlignment="1">
      <alignment horizontal="left"/>
    </xf>
    <xf numFmtId="168" fontId="12" fillId="8" borderId="4" xfId="0" applyNumberFormat="1" applyFont="1" applyFill="1" applyBorder="1" applyAlignment="1">
      <alignment horizontal="center"/>
    </xf>
    <xf numFmtId="0" fontId="1" fillId="0" borderId="1" xfId="0" applyFont="1" applyBorder="1" applyAlignment="1">
      <alignment horizontal="left" indent="1"/>
    </xf>
    <xf numFmtId="0" fontId="1" fillId="0" borderId="4" xfId="0" applyFont="1" applyBorder="1" applyAlignment="1">
      <alignment horizontal="left" indent="1"/>
    </xf>
    <xf numFmtId="0" fontId="1" fillId="0" borderId="2" xfId="0" applyFont="1" applyBorder="1" applyAlignment="1">
      <alignment horizontal="left"/>
    </xf>
    <xf numFmtId="0" fontId="1" fillId="0" borderId="3" xfId="0" applyFont="1" applyBorder="1" applyAlignment="1">
      <alignment horizontal="left"/>
    </xf>
    <xf numFmtId="3" fontId="3" fillId="0" borderId="5" xfId="0" applyNumberFormat="1" applyFont="1" applyBorder="1" applyAlignment="1">
      <alignment horizontal="center"/>
    </xf>
    <xf numFmtId="2" fontId="3" fillId="0" borderId="1" xfId="0" applyNumberFormat="1" applyFont="1" applyBorder="1" applyAlignment="1">
      <alignment horizontal="center"/>
    </xf>
    <xf numFmtId="2" fontId="3" fillId="0" borderId="2" xfId="0" applyNumberFormat="1" applyFont="1" applyBorder="1" applyAlignment="1">
      <alignment horizontal="center"/>
    </xf>
    <xf numFmtId="2" fontId="3" fillId="0" borderId="0" xfId="0" applyNumberFormat="1" applyFont="1"/>
    <xf numFmtId="0" fontId="3" fillId="8" borderId="14" xfId="0" applyFont="1" applyFill="1" applyBorder="1"/>
    <xf numFmtId="3" fontId="3" fillId="0" borderId="1" xfId="0" applyNumberFormat="1" applyFont="1" applyBorder="1" applyAlignment="1">
      <alignment horizontal="center"/>
    </xf>
    <xf numFmtId="167" fontId="3" fillId="0" borderId="8" xfId="0" applyNumberFormat="1" applyFont="1" applyBorder="1" applyAlignment="1">
      <alignment horizontal="center"/>
    </xf>
    <xf numFmtId="0" fontId="3" fillId="8" borderId="12" xfId="0" applyFont="1" applyFill="1" applyBorder="1" applyAlignment="1">
      <alignment horizontal="center" wrapText="1"/>
    </xf>
    <xf numFmtId="0" fontId="3" fillId="7" borderId="37" xfId="0" applyFont="1" applyFill="1" applyBorder="1" applyAlignment="1">
      <alignment horizontal="center" wrapText="1"/>
    </xf>
    <xf numFmtId="0" fontId="3" fillId="7" borderId="32" xfId="0" applyFont="1" applyFill="1" applyBorder="1" applyAlignment="1">
      <alignment horizontal="center" wrapText="1"/>
    </xf>
    <xf numFmtId="14" fontId="3" fillId="7" borderId="14" xfId="0" applyNumberFormat="1" applyFont="1" applyFill="1" applyBorder="1" applyAlignment="1">
      <alignment horizontal="right"/>
    </xf>
    <xf numFmtId="3" fontId="3" fillId="0" borderId="3" xfId="0" applyNumberFormat="1" applyFont="1" applyBorder="1" applyAlignment="1">
      <alignment horizontal="center"/>
    </xf>
    <xf numFmtId="3" fontId="3" fillId="0" borderId="0" xfId="0" applyNumberFormat="1" applyFont="1" applyAlignment="1">
      <alignment wrapText="1"/>
    </xf>
    <xf numFmtId="0" fontId="41" fillId="0" borderId="0" xfId="0" applyFont="1"/>
    <xf numFmtId="167" fontId="3" fillId="0" borderId="0" xfId="0" applyNumberFormat="1" applyFont="1" applyAlignment="1">
      <alignment horizontal="left"/>
    </xf>
    <xf numFmtId="14" fontId="3" fillId="0" borderId="0" xfId="0" applyNumberFormat="1" applyFont="1" applyAlignment="1">
      <alignment horizontal="center"/>
    </xf>
    <xf numFmtId="14" fontId="3" fillId="7" borderId="13" xfId="0" applyNumberFormat="1" applyFont="1" applyFill="1" applyBorder="1" applyAlignment="1">
      <alignment horizontal="right"/>
    </xf>
    <xf numFmtId="14" fontId="3" fillId="7" borderId="12" xfId="0" applyNumberFormat="1" applyFont="1" applyFill="1" applyBorder="1" applyAlignment="1">
      <alignment horizontal="right"/>
    </xf>
    <xf numFmtId="0" fontId="3" fillId="7" borderId="2" xfId="0" applyFont="1" applyFill="1" applyBorder="1" applyAlignment="1">
      <alignment horizontal="center" wrapText="1"/>
    </xf>
    <xf numFmtId="0" fontId="3" fillId="7" borderId="7" xfId="0" applyFont="1" applyFill="1" applyBorder="1" applyAlignment="1">
      <alignment horizontal="center" wrapText="1"/>
    </xf>
    <xf numFmtId="0" fontId="1" fillId="0" borderId="3" xfId="0" applyFont="1" applyBorder="1" applyAlignment="1">
      <alignment horizontal="left" wrapText="1" indent="2"/>
    </xf>
    <xf numFmtId="0" fontId="1" fillId="0" borderId="35" xfId="0" applyFont="1" applyBorder="1" applyAlignment="1">
      <alignment horizontal="left" wrapText="1" indent="2"/>
    </xf>
    <xf numFmtId="165" fontId="1" fillId="7" borderId="4" xfId="0" applyNumberFormat="1" applyFont="1" applyFill="1" applyBorder="1" applyAlignment="1">
      <alignment horizontal="center"/>
    </xf>
    <xf numFmtId="0" fontId="1" fillId="7" borderId="8" xfId="0" applyFont="1" applyFill="1" applyBorder="1" applyAlignment="1">
      <alignment horizontal="center"/>
    </xf>
    <xf numFmtId="0" fontId="1" fillId="0" borderId="1" xfId="0" applyFont="1" applyBorder="1" applyAlignment="1">
      <alignment horizontal="left" wrapText="1" indent="2"/>
    </xf>
    <xf numFmtId="0" fontId="1" fillId="0" borderId="1" xfId="0" applyFont="1" applyBorder="1" applyAlignment="1">
      <alignment horizontal="left" indent="2"/>
    </xf>
    <xf numFmtId="0" fontId="1" fillId="0" borderId="0" xfId="0" applyFont="1" applyAlignment="1">
      <alignment horizontal="right"/>
    </xf>
    <xf numFmtId="0" fontId="1" fillId="0" borderId="2" xfId="0" applyFont="1" applyBorder="1" applyAlignment="1">
      <alignment horizontal="left" indent="2"/>
    </xf>
    <xf numFmtId="0" fontId="1" fillId="7" borderId="14" xfId="0" applyFont="1" applyFill="1" applyBorder="1" applyAlignment="1">
      <alignment horizontal="center" wrapText="1"/>
    </xf>
    <xf numFmtId="0" fontId="1" fillId="3" borderId="32" xfId="0" applyFont="1" applyFill="1" applyBorder="1" applyAlignment="1">
      <alignment wrapText="1"/>
    </xf>
    <xf numFmtId="0" fontId="1" fillId="0" borderId="0" xfId="0" applyFont="1" applyAlignment="1">
      <alignment horizontal="left" vertical="top" wrapText="1"/>
    </xf>
    <xf numFmtId="0" fontId="1" fillId="0" borderId="7" xfId="0" applyFont="1" applyBorder="1" applyAlignment="1">
      <alignment horizontal="left" indent="2"/>
    </xf>
    <xf numFmtId="0" fontId="1" fillId="0" borderId="5" xfId="0" applyFont="1" applyBorder="1" applyAlignment="1">
      <alignment horizontal="left" wrapText="1" indent="2"/>
    </xf>
    <xf numFmtId="0" fontId="1" fillId="7" borderId="13" xfId="0" applyFont="1" applyFill="1" applyBorder="1" applyAlignment="1">
      <alignment horizontal="center" wrapText="1"/>
    </xf>
    <xf numFmtId="0" fontId="1" fillId="7" borderId="1" xfId="0" applyFont="1" applyFill="1" applyBorder="1" applyAlignment="1">
      <alignment horizontal="center" wrapText="1"/>
    </xf>
    <xf numFmtId="0" fontId="1" fillId="7" borderId="4" xfId="0" applyFont="1" applyFill="1" applyBorder="1" applyAlignment="1">
      <alignment horizontal="center"/>
    </xf>
    <xf numFmtId="165" fontId="1" fillId="12" borderId="8" xfId="0" applyNumberFormat="1" applyFont="1" applyFill="1" applyBorder="1" applyAlignment="1">
      <alignment horizontal="center"/>
    </xf>
    <xf numFmtId="0" fontId="4" fillId="0" borderId="3" xfId="0" applyFont="1" applyBorder="1" applyAlignment="1">
      <alignment horizontal="left" wrapText="1" indent="2"/>
    </xf>
    <xf numFmtId="0" fontId="1" fillId="7" borderId="7" xfId="0" applyFont="1" applyFill="1" applyBorder="1" applyAlignment="1">
      <alignment horizontal="center"/>
    </xf>
    <xf numFmtId="165" fontId="1" fillId="0" borderId="35" xfId="0" applyNumberFormat="1" applyFont="1" applyBorder="1" applyAlignment="1">
      <alignment horizontal="center"/>
    </xf>
    <xf numFmtId="165" fontId="1" fillId="7" borderId="6" xfId="0" applyNumberFormat="1" applyFont="1" applyFill="1" applyBorder="1" applyAlignment="1">
      <alignment horizontal="center"/>
    </xf>
    <xf numFmtId="165" fontId="1" fillId="0" borderId="0" xfId="0" applyNumberFormat="1" applyFont="1" applyAlignment="1">
      <alignment horizontal="center"/>
    </xf>
    <xf numFmtId="0" fontId="1" fillId="3" borderId="11" xfId="0" applyFont="1" applyFill="1" applyBorder="1" applyAlignment="1">
      <alignment wrapText="1"/>
    </xf>
    <xf numFmtId="0" fontId="1" fillId="12" borderId="8" xfId="0" applyFont="1" applyFill="1" applyBorder="1" applyAlignment="1">
      <alignment horizontal="center"/>
    </xf>
    <xf numFmtId="165" fontId="1" fillId="7" borderId="0" xfId="0" applyNumberFormat="1" applyFont="1" applyFill="1" applyAlignment="1">
      <alignment horizontal="center"/>
    </xf>
    <xf numFmtId="165" fontId="1" fillId="7" borderId="35" xfId="0" applyNumberFormat="1" applyFont="1" applyFill="1" applyBorder="1" applyAlignment="1">
      <alignment horizontal="center"/>
    </xf>
    <xf numFmtId="0" fontId="21" fillId="8" borderId="8" xfId="0" applyFont="1" applyFill="1" applyBorder="1" applyAlignment="1">
      <alignment horizontal="center"/>
    </xf>
    <xf numFmtId="0" fontId="1" fillId="0" borderId="12" xfId="0" applyFont="1" applyBorder="1" applyAlignment="1">
      <alignment horizontal="left"/>
    </xf>
    <xf numFmtId="0" fontId="1" fillId="7" borderId="2" xfId="0" applyFont="1" applyFill="1" applyBorder="1" applyAlignment="1">
      <alignment horizontal="center"/>
    </xf>
    <xf numFmtId="165" fontId="1" fillId="0" borderId="7" xfId="0" applyNumberFormat="1" applyFont="1" applyBorder="1" applyAlignment="1">
      <alignment horizontal="center"/>
    </xf>
    <xf numFmtId="165" fontId="1" fillId="0" borderId="8" xfId="0" applyNumberFormat="1" applyFont="1" applyBorder="1" applyAlignment="1">
      <alignment horizontal="center"/>
    </xf>
    <xf numFmtId="0" fontId="21" fillId="8" borderId="0" xfId="0" applyFont="1" applyFill="1" applyAlignment="1">
      <alignment horizontal="center"/>
    </xf>
    <xf numFmtId="0" fontId="21" fillId="8" borderId="4" xfId="0" applyFont="1" applyFill="1" applyBorder="1" applyAlignment="1">
      <alignment horizontal="center"/>
    </xf>
    <xf numFmtId="0" fontId="21" fillId="7" borderId="0" xfId="0" applyFont="1" applyFill="1" applyAlignment="1">
      <alignment horizontal="center"/>
    </xf>
    <xf numFmtId="0" fontId="21" fillId="0" borderId="8" xfId="0" applyFont="1" applyBorder="1" applyAlignment="1">
      <alignment horizontal="center"/>
    </xf>
    <xf numFmtId="0" fontId="3" fillId="8" borderId="13" xfId="0" applyFont="1" applyFill="1" applyBorder="1" applyAlignment="1">
      <alignment horizontal="center"/>
    </xf>
    <xf numFmtId="0" fontId="21" fillId="7" borderId="4" xfId="0" applyFont="1" applyFill="1" applyBorder="1" applyAlignment="1">
      <alignment horizontal="center"/>
    </xf>
    <xf numFmtId="0" fontId="1" fillId="0" borderId="1" xfId="0" applyFont="1" applyBorder="1" applyAlignment="1">
      <alignment horizontal="center"/>
    </xf>
    <xf numFmtId="0" fontId="21" fillId="8" borderId="7" xfId="0" applyFont="1" applyFill="1" applyBorder="1" applyAlignment="1">
      <alignment horizontal="center"/>
    </xf>
    <xf numFmtId="0" fontId="3" fillId="0" borderId="7" xfId="0" applyFont="1" applyBorder="1" applyAlignment="1">
      <alignment horizontal="right" vertical="center"/>
    </xf>
    <xf numFmtId="0" fontId="43" fillId="0" borderId="0" xfId="0" applyFont="1" applyAlignment="1">
      <alignment vertical="center"/>
    </xf>
    <xf numFmtId="0" fontId="41" fillId="0" borderId="0" xfId="0" applyFont="1" applyAlignment="1">
      <alignment horizontal="left"/>
    </xf>
    <xf numFmtId="165" fontId="3" fillId="0" borderId="0" xfId="0" applyNumberFormat="1" applyFont="1" applyAlignment="1">
      <alignment horizontal="right"/>
    </xf>
    <xf numFmtId="3" fontId="3" fillId="0" borderId="7" xfId="0" applyNumberFormat="1" applyFont="1" applyBorder="1"/>
    <xf numFmtId="1" fontId="3" fillId="0" borderId="0" xfId="0" applyNumberFormat="1" applyFont="1" applyAlignment="1">
      <alignment horizontal="right"/>
    </xf>
    <xf numFmtId="0" fontId="3" fillId="0" borderId="7" xfId="0" applyFont="1" applyBorder="1" applyAlignment="1">
      <alignment horizontal="right"/>
    </xf>
    <xf numFmtId="0" fontId="3" fillId="0" borderId="0" xfId="0" applyFont="1" applyAlignment="1">
      <alignment vertical="center"/>
    </xf>
    <xf numFmtId="0" fontId="3" fillId="0" borderId="0" xfId="0" applyFont="1" applyAlignment="1">
      <alignment horizontal="right" vertical="center"/>
    </xf>
    <xf numFmtId="0" fontId="3" fillId="0" borderId="7" xfId="0" applyFont="1" applyBorder="1" applyAlignment="1">
      <alignment vertical="center"/>
    </xf>
    <xf numFmtId="3" fontId="3" fillId="0" borderId="5" xfId="0" applyNumberFormat="1" applyFont="1" applyBorder="1" applyAlignment="1">
      <alignment horizontal="right"/>
    </xf>
    <xf numFmtId="3" fontId="3" fillId="0" borderId="7" xfId="0" applyNumberFormat="1" applyFont="1" applyBorder="1" applyAlignment="1">
      <alignment horizontal="right"/>
    </xf>
    <xf numFmtId="0" fontId="44" fillId="0" borderId="0" xfId="0" applyFont="1" applyAlignment="1">
      <alignment horizontal="left"/>
    </xf>
    <xf numFmtId="0" fontId="44" fillId="0" borderId="0" xfId="0" applyFont="1" applyAlignment="1">
      <alignment horizontal="center" wrapText="1"/>
    </xf>
    <xf numFmtId="1" fontId="45" fillId="0" borderId="49" xfId="0" applyNumberFormat="1" applyFont="1" applyBorder="1" applyAlignment="1">
      <alignment horizontal="center" vertical="top"/>
    </xf>
    <xf numFmtId="0" fontId="44" fillId="29" borderId="49" xfId="0" applyFont="1" applyFill="1" applyBorder="1" applyAlignment="1">
      <alignment horizontal="center" vertical="top"/>
    </xf>
    <xf numFmtId="0" fontId="44" fillId="0" borderId="0" xfId="0" applyFont="1" applyAlignment="1">
      <alignment horizontal="center"/>
    </xf>
    <xf numFmtId="0" fontId="44" fillId="0" borderId="0" xfId="0" applyFont="1" applyAlignment="1">
      <alignment horizontal="left" wrapText="1"/>
    </xf>
    <xf numFmtId="0" fontId="45" fillId="0" borderId="0" xfId="0" applyFont="1" applyAlignment="1">
      <alignment horizontal="left" vertical="top"/>
    </xf>
    <xf numFmtId="0" fontId="45" fillId="0" borderId="0" xfId="0" applyFont="1" applyAlignment="1">
      <alignment horizontal="center" vertical="top" wrapText="1"/>
    </xf>
    <xf numFmtId="1" fontId="45" fillId="18" borderId="0" xfId="0" applyNumberFormat="1" applyFont="1" applyFill="1" applyAlignment="1">
      <alignment horizontal="center" vertical="top"/>
    </xf>
    <xf numFmtId="0" fontId="44" fillId="18" borderId="0" xfId="0" applyFont="1" applyFill="1" applyAlignment="1">
      <alignment horizontal="center" vertical="top"/>
    </xf>
    <xf numFmtId="0" fontId="44" fillId="18" borderId="0" xfId="0" applyFont="1" applyFill="1" applyAlignment="1">
      <alignment horizontal="left" vertical="top" wrapText="1"/>
    </xf>
    <xf numFmtId="0" fontId="44" fillId="0" borderId="0" xfId="0" applyFont="1" applyAlignment="1">
      <alignment horizontal="left" vertical="top" wrapText="1"/>
    </xf>
    <xf numFmtId="0" fontId="45" fillId="0" borderId="36" xfId="0" applyFont="1" applyBorder="1" applyAlignment="1">
      <alignment horizontal="left" vertical="top"/>
    </xf>
    <xf numFmtId="0" fontId="45" fillId="0" borderId="36" xfId="0" applyFont="1" applyBorder="1" applyAlignment="1">
      <alignment horizontal="center" vertical="top" wrapText="1"/>
    </xf>
    <xf numFmtId="1" fontId="45" fillId="3" borderId="36" xfId="0" applyNumberFormat="1" applyFont="1" applyFill="1" applyBorder="1" applyAlignment="1">
      <alignment horizontal="center" vertical="top"/>
    </xf>
    <xf numFmtId="3" fontId="45" fillId="3" borderId="36" xfId="0" applyNumberFormat="1" applyFont="1" applyFill="1" applyBorder="1" applyAlignment="1">
      <alignment horizontal="center" vertical="top"/>
    </xf>
    <xf numFmtId="0" fontId="44" fillId="3" borderId="36" xfId="0" applyFont="1" applyFill="1" applyBorder="1" applyAlignment="1">
      <alignment horizontal="center" vertical="top"/>
    </xf>
    <xf numFmtId="0" fontId="44" fillId="0" borderId="36" xfId="0" applyFont="1" applyBorder="1" applyAlignment="1">
      <alignment horizontal="left" vertical="top" wrapText="1"/>
    </xf>
    <xf numFmtId="0" fontId="45" fillId="0" borderId="5" xfId="0" applyFont="1" applyBorder="1" applyAlignment="1">
      <alignment horizontal="left" vertical="top"/>
    </xf>
    <xf numFmtId="0" fontId="45" fillId="0" borderId="5" xfId="0" applyFont="1" applyBorder="1" applyAlignment="1">
      <alignment horizontal="center" vertical="top" wrapText="1"/>
    </xf>
    <xf numFmtId="3" fontId="46" fillId="0" borderId="0" xfId="0" applyNumberFormat="1" applyFont="1" applyAlignment="1">
      <alignment vertical="top"/>
    </xf>
    <xf numFmtId="0" fontId="45" fillId="18" borderId="5" xfId="0" applyFont="1" applyFill="1" applyBorder="1" applyAlignment="1">
      <alignment horizontal="center" vertical="top"/>
    </xf>
    <xf numFmtId="0" fontId="44" fillId="0" borderId="5" xfId="0" applyFont="1" applyBorder="1" applyAlignment="1">
      <alignment horizontal="left" vertical="top" wrapText="1"/>
    </xf>
    <xf numFmtId="0" fontId="44" fillId="0" borderId="0" xfId="0" applyFont="1" applyAlignment="1">
      <alignment horizontal="left" vertical="top"/>
    </xf>
    <xf numFmtId="0" fontId="44" fillId="0" borderId="0" xfId="0" applyFont="1" applyAlignment="1">
      <alignment horizontal="center" vertical="top" wrapText="1"/>
    </xf>
    <xf numFmtId="3" fontId="45" fillId="18" borderId="0" xfId="0" applyNumberFormat="1" applyFont="1" applyFill="1" applyAlignment="1">
      <alignment horizontal="center" vertical="top"/>
    </xf>
    <xf numFmtId="0" fontId="45" fillId="18" borderId="0" xfId="0" applyFont="1" applyFill="1" applyAlignment="1">
      <alignment horizontal="center" vertical="top"/>
    </xf>
    <xf numFmtId="1" fontId="44" fillId="18" borderId="0" xfId="0" applyNumberFormat="1" applyFont="1" applyFill="1" applyAlignment="1">
      <alignment horizontal="center" vertical="top"/>
    </xf>
    <xf numFmtId="0" fontId="44" fillId="0" borderId="0" xfId="0" applyFont="1" applyAlignment="1">
      <alignment horizontal="center" vertical="top"/>
    </xf>
    <xf numFmtId="1" fontId="44" fillId="18" borderId="0" xfId="0" applyNumberFormat="1" applyFont="1" applyFill="1" applyAlignment="1">
      <alignment horizontal="center"/>
    </xf>
    <xf numFmtId="1" fontId="44" fillId="18" borderId="0" xfId="0" applyNumberFormat="1" applyFont="1" applyFill="1" applyAlignment="1">
      <alignment horizontal="center" vertical="center"/>
    </xf>
    <xf numFmtId="1" fontId="45" fillId="18" borderId="0" xfId="0" applyNumberFormat="1" applyFont="1" applyFill="1" applyAlignment="1">
      <alignment horizontal="center" vertical="center"/>
    </xf>
    <xf numFmtId="0" fontId="44" fillId="0" borderId="0" xfId="0" applyFont="1" applyAlignment="1">
      <alignment horizontal="left" vertical="center"/>
    </xf>
    <xf numFmtId="0" fontId="44" fillId="0" borderId="0" xfId="0" applyFont="1" applyAlignment="1">
      <alignment horizontal="center" vertical="center" wrapText="1"/>
    </xf>
    <xf numFmtId="0" fontId="45" fillId="0" borderId="0" xfId="0" applyFont="1" applyAlignment="1">
      <alignment horizontal="left" vertical="top" wrapText="1"/>
    </xf>
    <xf numFmtId="1" fontId="45" fillId="18" borderId="5" xfId="0" applyNumberFormat="1" applyFont="1" applyFill="1" applyBorder="1" applyAlignment="1">
      <alignment horizontal="center" vertical="top"/>
    </xf>
    <xf numFmtId="3" fontId="45" fillId="18" borderId="5" xfId="0" applyNumberFormat="1" applyFont="1" applyFill="1" applyBorder="1" applyAlignment="1">
      <alignment horizontal="center" vertical="top"/>
    </xf>
    <xf numFmtId="0" fontId="44" fillId="18" borderId="5" xfId="0" applyFont="1" applyFill="1" applyBorder="1" applyAlignment="1">
      <alignment horizontal="center" vertical="top"/>
    </xf>
    <xf numFmtId="0" fontId="11" fillId="18" borderId="5" xfId="0" applyFont="1" applyFill="1" applyBorder="1" applyAlignment="1">
      <alignment horizontal="left" vertical="top" wrapText="1"/>
    </xf>
    <xf numFmtId="0" fontId="45" fillId="29" borderId="0" xfId="0" applyFont="1" applyFill="1" applyAlignment="1">
      <alignment horizontal="center"/>
    </xf>
    <xf numFmtId="0" fontId="44" fillId="29" borderId="0" xfId="0" applyFont="1" applyFill="1" applyAlignment="1">
      <alignment horizontal="left" wrapText="1"/>
    </xf>
    <xf numFmtId="1" fontId="45" fillId="30" borderId="0" xfId="0" applyNumberFormat="1" applyFont="1" applyFill="1" applyAlignment="1">
      <alignment horizontal="center" vertical="top"/>
    </xf>
    <xf numFmtId="3" fontId="45" fillId="30" borderId="0" xfId="0" applyNumberFormat="1" applyFont="1" applyFill="1" applyAlignment="1">
      <alignment horizontal="center" vertical="top"/>
    </xf>
    <xf numFmtId="0" fontId="44" fillId="30" borderId="0" xfId="0" applyFont="1" applyFill="1" applyAlignment="1">
      <alignment horizontal="center" vertical="top"/>
    </xf>
    <xf numFmtId="0" fontId="44" fillId="30" borderId="0" xfId="0" applyFont="1" applyFill="1" applyAlignment="1">
      <alignment horizontal="left" vertical="top" wrapText="1"/>
    </xf>
    <xf numFmtId="1" fontId="44" fillId="31" borderId="0" xfId="0" applyNumberFormat="1" applyFont="1" applyFill="1" applyAlignment="1">
      <alignment horizontal="center" vertical="top"/>
    </xf>
    <xf numFmtId="0" fontId="44" fillId="31" borderId="0" xfId="0" applyFont="1" applyFill="1" applyAlignment="1">
      <alignment horizontal="center" vertical="top"/>
    </xf>
    <xf numFmtId="0" fontId="44" fillId="31" borderId="0" xfId="0" applyFont="1" applyFill="1" applyAlignment="1">
      <alignment horizontal="left" vertical="top" wrapText="1"/>
    </xf>
    <xf numFmtId="1" fontId="44" fillId="31" borderId="0" xfId="0" applyNumberFormat="1" applyFont="1" applyFill="1" applyAlignment="1">
      <alignment horizontal="center"/>
    </xf>
    <xf numFmtId="1" fontId="45" fillId="31" borderId="0" xfId="0" applyNumberFormat="1" applyFont="1" applyFill="1" applyAlignment="1">
      <alignment horizontal="center" vertical="top"/>
    </xf>
    <xf numFmtId="3" fontId="45" fillId="31" borderId="0" xfId="0" applyNumberFormat="1" applyFont="1" applyFill="1" applyAlignment="1">
      <alignment horizontal="center" vertical="top"/>
    </xf>
    <xf numFmtId="1" fontId="45" fillId="32" borderId="0" xfId="0" applyNumberFormat="1" applyFont="1" applyFill="1" applyAlignment="1">
      <alignment horizontal="center" vertical="top"/>
    </xf>
    <xf numFmtId="0" fontId="44" fillId="32" borderId="0" xfId="0" applyFont="1" applyFill="1" applyAlignment="1">
      <alignment horizontal="center" vertical="top"/>
    </xf>
    <xf numFmtId="3" fontId="45" fillId="32" borderId="0" xfId="0" applyNumberFormat="1" applyFont="1" applyFill="1" applyAlignment="1">
      <alignment horizontal="center" vertical="top"/>
    </xf>
    <xf numFmtId="0" fontId="45" fillId="32" borderId="0" xfId="0" applyFont="1" applyFill="1" applyAlignment="1">
      <alignment horizontal="center" vertical="top"/>
    </xf>
    <xf numFmtId="0" fontId="45" fillId="33" borderId="0" xfId="0" applyFont="1" applyFill="1" applyAlignment="1">
      <alignment horizontal="left" vertical="top"/>
    </xf>
    <xf numFmtId="0" fontId="45" fillId="33" borderId="0" xfId="0" applyFont="1" applyFill="1" applyAlignment="1">
      <alignment horizontal="center" vertical="top" wrapText="1"/>
    </xf>
    <xf numFmtId="0" fontId="44" fillId="33" borderId="0" xfId="0" applyFont="1" applyFill="1" applyAlignment="1">
      <alignment horizontal="left" vertical="top" wrapText="1"/>
    </xf>
    <xf numFmtId="1" fontId="45" fillId="32" borderId="41" xfId="0" applyNumberFormat="1" applyFont="1" applyFill="1" applyBorder="1" applyAlignment="1">
      <alignment horizontal="center" vertical="top"/>
    </xf>
    <xf numFmtId="1" fontId="45" fillId="32" borderId="36" xfId="0" applyNumberFormat="1" applyFont="1" applyFill="1" applyBorder="1" applyAlignment="1">
      <alignment horizontal="center" vertical="top"/>
    </xf>
    <xf numFmtId="3" fontId="45" fillId="32" borderId="36" xfId="0" applyNumberFormat="1" applyFont="1" applyFill="1" applyBorder="1" applyAlignment="1">
      <alignment horizontal="center" vertical="top"/>
    </xf>
    <xf numFmtId="0" fontId="44" fillId="32" borderId="32" xfId="0" applyFont="1" applyFill="1" applyBorder="1" applyAlignment="1">
      <alignment horizontal="center" vertical="top" wrapText="1"/>
    </xf>
    <xf numFmtId="1" fontId="45" fillId="7" borderId="0" xfId="0" applyNumberFormat="1" applyFont="1" applyFill="1" applyAlignment="1">
      <alignment horizontal="center" vertical="top"/>
    </xf>
    <xf numFmtId="1" fontId="44" fillId="7" borderId="0" xfId="0" applyNumberFormat="1" applyFont="1" applyFill="1" applyAlignment="1">
      <alignment horizontal="center" vertical="top"/>
    </xf>
    <xf numFmtId="1" fontId="46" fillId="0" borderId="0" xfId="0" applyNumberFormat="1" applyFont="1" applyAlignment="1">
      <alignment horizontal="center" vertical="top"/>
    </xf>
    <xf numFmtId="0" fontId="47" fillId="29" borderId="0" xfId="0" applyFont="1" applyFill="1" applyAlignment="1">
      <alignment vertical="top"/>
    </xf>
    <xf numFmtId="0" fontId="45" fillId="18" borderId="35" xfId="0" applyFont="1" applyFill="1" applyBorder="1" applyAlignment="1">
      <alignment horizontal="center" vertical="top"/>
    </xf>
    <xf numFmtId="0" fontId="44" fillId="18" borderId="35" xfId="0" applyFont="1" applyFill="1" applyBorder="1" applyAlignment="1">
      <alignment horizontal="center" vertical="top"/>
    </xf>
    <xf numFmtId="0" fontId="44" fillId="32" borderId="0" xfId="0" applyFont="1" applyFill="1" applyAlignment="1">
      <alignment horizontal="center" vertical="top" wrapText="1"/>
    </xf>
    <xf numFmtId="0" fontId="45" fillId="7" borderId="0" xfId="0" applyFont="1" applyFill="1" applyAlignment="1">
      <alignment horizontal="center" vertical="top"/>
    </xf>
    <xf numFmtId="0" fontId="11" fillId="0" borderId="0" xfId="0" applyFont="1" applyAlignment="1">
      <alignment horizontal="left" vertical="top" wrapText="1"/>
    </xf>
    <xf numFmtId="1" fontId="45" fillId="16" borderId="0" xfId="0" applyNumberFormat="1" applyFont="1" applyFill="1" applyAlignment="1">
      <alignment horizontal="center" vertical="top"/>
    </xf>
    <xf numFmtId="3" fontId="45" fillId="16" borderId="0" xfId="0" applyNumberFormat="1" applyFont="1" applyFill="1" applyAlignment="1">
      <alignment horizontal="center" vertical="top"/>
    </xf>
    <xf numFmtId="0" fontId="45" fillId="0" borderId="0" xfId="0" applyFont="1" applyAlignment="1">
      <alignment horizontal="center" vertical="top"/>
    </xf>
    <xf numFmtId="0" fontId="44" fillId="16" borderId="0" xfId="0" applyFont="1" applyFill="1" applyAlignment="1">
      <alignment horizontal="left" vertical="top" wrapText="1"/>
    </xf>
    <xf numFmtId="0" fontId="44" fillId="16" borderId="0" xfId="0" applyFont="1" applyFill="1" applyAlignment="1">
      <alignment horizontal="center" vertical="top"/>
    </xf>
    <xf numFmtId="0" fontId="45" fillId="16" borderId="0" xfId="0" applyFont="1" applyFill="1" applyAlignment="1">
      <alignment horizontal="center" vertical="top"/>
    </xf>
    <xf numFmtId="0" fontId="48" fillId="16" borderId="0" xfId="0" applyFont="1" applyFill="1" applyAlignment="1">
      <alignment horizontal="left" vertical="top" wrapText="1"/>
    </xf>
    <xf numFmtId="1" fontId="46" fillId="0" borderId="49" xfId="0" applyNumberFormat="1" applyFont="1" applyBorder="1" applyAlignment="1">
      <alignment vertical="top"/>
    </xf>
    <xf numFmtId="1" fontId="46" fillId="0" borderId="49" xfId="0" applyNumberFormat="1" applyFont="1" applyBorder="1" applyAlignment="1">
      <alignment horizontal="right" vertical="top"/>
    </xf>
    <xf numFmtId="0" fontId="47" fillId="29" borderId="49" xfId="0" applyFont="1" applyFill="1" applyBorder="1" applyAlignment="1">
      <alignment vertical="top"/>
    </xf>
    <xf numFmtId="0" fontId="1" fillId="0" borderId="41" xfId="0" applyFont="1" applyBorder="1"/>
    <xf numFmtId="0" fontId="1" fillId="0" borderId="36" xfId="0" applyFont="1" applyBorder="1"/>
    <xf numFmtId="3" fontId="1" fillId="0" borderId="36" xfId="0" applyNumberFormat="1" applyFont="1" applyBorder="1"/>
    <xf numFmtId="3" fontId="1" fillId="0" borderId="32" xfId="0" applyNumberFormat="1" applyFont="1" applyBorder="1"/>
    <xf numFmtId="1" fontId="46" fillId="0" borderId="0" xfId="0" applyNumberFormat="1" applyFont="1" applyAlignment="1">
      <alignment vertical="top"/>
    </xf>
    <xf numFmtId="1" fontId="46" fillId="0" borderId="0" xfId="0" applyNumberFormat="1" applyFont="1" applyAlignment="1">
      <alignment horizontal="right" vertical="top"/>
    </xf>
    <xf numFmtId="0" fontId="47" fillId="29" borderId="7" xfId="0" applyFont="1" applyFill="1" applyBorder="1" applyAlignment="1">
      <alignment vertical="top"/>
    </xf>
    <xf numFmtId="1" fontId="49" fillId="0" borderId="0" xfId="0" applyNumberFormat="1" applyFont="1"/>
    <xf numFmtId="1" fontId="44" fillId="16" borderId="0" xfId="0" applyNumberFormat="1" applyFont="1" applyFill="1" applyAlignment="1">
      <alignment horizontal="center"/>
    </xf>
    <xf numFmtId="0" fontId="45" fillId="29" borderId="0" xfId="0" applyFont="1" applyFill="1" applyAlignment="1">
      <alignment horizontal="center" vertical="center"/>
    </xf>
    <xf numFmtId="0" fontId="44" fillId="29" borderId="0" xfId="0" applyFont="1" applyFill="1" applyAlignment="1">
      <alignment horizontal="left" vertical="center" wrapText="1"/>
    </xf>
    <xf numFmtId="1" fontId="45" fillId="6" borderId="0" xfId="0" applyNumberFormat="1" applyFont="1" applyFill="1" applyAlignment="1">
      <alignment horizontal="center" vertical="top"/>
    </xf>
    <xf numFmtId="0" fontId="44" fillId="6" borderId="0" xfId="0" applyFont="1" applyFill="1" applyAlignment="1">
      <alignment horizontal="center" vertical="top"/>
    </xf>
    <xf numFmtId="0" fontId="49" fillId="0" borderId="0" xfId="0" applyFont="1"/>
    <xf numFmtId="0" fontId="2" fillId="18" borderId="0" xfId="0" applyFont="1" applyFill="1" applyAlignment="1">
      <alignment horizontal="left"/>
    </xf>
    <xf numFmtId="0" fontId="2" fillId="6" borderId="0" xfId="0" applyFont="1" applyFill="1" applyAlignment="1">
      <alignment horizontal="left"/>
    </xf>
    <xf numFmtId="0" fontId="2" fillId="8" borderId="0" xfId="0" applyFont="1" applyFill="1" applyAlignment="1">
      <alignment horizontal="left"/>
    </xf>
    <xf numFmtId="0" fontId="2" fillId="34" borderId="0" xfId="0" applyFont="1" applyFill="1" applyAlignment="1">
      <alignment horizontal="left"/>
    </xf>
    <xf numFmtId="0" fontId="2" fillId="32" borderId="0" xfId="0" applyFont="1" applyFill="1" applyAlignment="1">
      <alignment horizontal="left"/>
    </xf>
    <xf numFmtId="0" fontId="2" fillId="3" borderId="0" xfId="0" applyFont="1" applyFill="1" applyAlignment="1">
      <alignment horizontal="left"/>
    </xf>
    <xf numFmtId="169" fontId="49" fillId="0" borderId="0" xfId="0" applyNumberFormat="1" applyFont="1"/>
    <xf numFmtId="2" fontId="49" fillId="0" borderId="0" xfId="0" applyNumberFormat="1" applyFont="1"/>
    <xf numFmtId="0" fontId="50" fillId="0" borderId="0" xfId="0" applyFont="1"/>
    <xf numFmtId="0" fontId="3" fillId="2" borderId="0" xfId="0" applyFont="1" applyFill="1" applyAlignment="1">
      <alignment horizontal="left" indent="2"/>
    </xf>
    <xf numFmtId="0" fontId="3" fillId="2" borderId="0" xfId="0" applyFont="1" applyFill="1" applyAlignment="1">
      <alignment horizontal="right"/>
    </xf>
    <xf numFmtId="0" fontId="51" fillId="0" borderId="0" xfId="0" applyFont="1" applyAlignment="1">
      <alignment horizontal="left" vertical="top"/>
    </xf>
    <xf numFmtId="0" fontId="12" fillId="0" borderId="0" xfId="0" applyFont="1" applyAlignment="1">
      <alignment horizontal="left"/>
    </xf>
    <xf numFmtId="0" fontId="52" fillId="0" borderId="0" xfId="0" applyFont="1"/>
    <xf numFmtId="0" fontId="12" fillId="35" borderId="0" xfId="0" applyFont="1" applyFill="1"/>
    <xf numFmtId="0" fontId="12" fillId="35" borderId="0" xfId="0" applyFont="1" applyFill="1" applyAlignment="1">
      <alignment horizontal="left"/>
    </xf>
    <xf numFmtId="0" fontId="3" fillId="35" borderId="0" xfId="0" applyFont="1" applyFill="1" applyAlignment="1">
      <alignment horizontal="left" indent="2"/>
    </xf>
    <xf numFmtId="0" fontId="3" fillId="35" borderId="0" xfId="0" applyFont="1" applyFill="1" applyAlignment="1">
      <alignment horizontal="right"/>
    </xf>
    <xf numFmtId="0" fontId="53" fillId="0" borderId="0" xfId="0" applyFont="1" applyAlignment="1">
      <alignment horizontal="right" vertical="top"/>
    </xf>
    <xf numFmtId="3" fontId="33" fillId="0" borderId="0" xfId="0" applyNumberFormat="1" applyFont="1"/>
    <xf numFmtId="3" fontId="54" fillId="0" borderId="0" xfId="0" applyNumberFormat="1" applyFont="1" applyAlignment="1">
      <alignment horizontal="right" vertical="top"/>
    </xf>
    <xf numFmtId="0" fontId="55" fillId="37" borderId="0" xfId="0" applyFont="1" applyFill="1" applyAlignment="1">
      <alignment horizontal="right"/>
    </xf>
    <xf numFmtId="0" fontId="56" fillId="0" borderId="0" xfId="0" applyFont="1"/>
    <xf numFmtId="0" fontId="45" fillId="0" borderId="0" xfId="0" applyFont="1" applyAlignment="1">
      <alignment horizontal="right"/>
    </xf>
    <xf numFmtId="165" fontId="57" fillId="0" borderId="0" xfId="0" applyNumberFormat="1" applyFont="1" applyAlignment="1">
      <alignment horizontal="right" vertical="top"/>
    </xf>
    <xf numFmtId="165" fontId="55" fillId="37" borderId="0" xfId="0" applyNumberFormat="1" applyFont="1" applyFill="1" applyAlignment="1">
      <alignment horizontal="right"/>
    </xf>
    <xf numFmtId="3" fontId="7" fillId="0" borderId="0" xfId="0" applyNumberFormat="1" applyFont="1"/>
    <xf numFmtId="165" fontId="45" fillId="0" borderId="0" xfId="0" applyNumberFormat="1" applyFont="1" applyAlignment="1">
      <alignment horizontal="right"/>
    </xf>
    <xf numFmtId="3" fontId="45" fillId="0" borderId="0" xfId="0" applyNumberFormat="1" applyFont="1" applyAlignment="1">
      <alignment horizontal="right"/>
    </xf>
    <xf numFmtId="0" fontId="7" fillId="38" borderId="0" xfId="0" applyFont="1" applyFill="1" applyAlignment="1">
      <alignment wrapText="1"/>
    </xf>
    <xf numFmtId="0" fontId="8" fillId="38" borderId="0" xfId="0" applyFont="1" applyFill="1" applyAlignment="1">
      <alignment vertical="top"/>
    </xf>
    <xf numFmtId="0" fontId="7" fillId="38" borderId="0" xfId="0" applyFont="1" applyFill="1" applyAlignment="1">
      <alignment horizontal="right"/>
    </xf>
    <xf numFmtId="0" fontId="7" fillId="38" borderId="0" xfId="0" applyFont="1" applyFill="1"/>
    <xf numFmtId="168" fontId="7" fillId="38" borderId="0" xfId="0" applyNumberFormat="1" applyFont="1" applyFill="1" applyAlignment="1">
      <alignment horizontal="center"/>
    </xf>
    <xf numFmtId="0" fontId="1" fillId="38" borderId="0" xfId="0" applyFont="1" applyFill="1" applyAlignment="1">
      <alignment wrapText="1"/>
    </xf>
    <xf numFmtId="171" fontId="7" fillId="0" borderId="0" xfId="0" applyNumberFormat="1" applyFont="1" applyAlignment="1">
      <alignment horizontal="right"/>
    </xf>
    <xf numFmtId="0" fontId="39" fillId="38" borderId="0" xfId="0" applyFont="1" applyFill="1" applyAlignment="1">
      <alignment horizontal="center" wrapText="1"/>
    </xf>
    <xf numFmtId="0" fontId="7" fillId="38" borderId="0" xfId="0" applyFont="1" applyFill="1" applyAlignment="1">
      <alignment horizontal="center"/>
    </xf>
    <xf numFmtId="1" fontId="7" fillId="0" borderId="0" xfId="0" applyNumberFormat="1" applyFont="1" applyAlignment="1">
      <alignment horizontal="right"/>
    </xf>
    <xf numFmtId="0" fontId="8" fillId="0" borderId="0" xfId="0" applyFont="1" applyAlignment="1">
      <alignment vertical="top"/>
    </xf>
    <xf numFmtId="0" fontId="7" fillId="39" borderId="0" xfId="0" applyFont="1" applyFill="1" applyAlignment="1">
      <alignment horizontal="center" wrapText="1"/>
    </xf>
    <xf numFmtId="0" fontId="8" fillId="40" borderId="0" xfId="0" applyFont="1" applyFill="1" applyAlignment="1">
      <alignment vertical="top"/>
    </xf>
    <xf numFmtId="0" fontId="33" fillId="40" borderId="0" xfId="0" applyFont="1" applyFill="1"/>
    <xf numFmtId="0" fontId="7" fillId="40" borderId="0" xfId="0" applyFont="1" applyFill="1"/>
    <xf numFmtId="0" fontId="58" fillId="40" borderId="0" xfId="0" applyFont="1" applyFill="1"/>
    <xf numFmtId="0" fontId="7" fillId="40" borderId="0" xfId="0" applyFont="1" applyFill="1" applyAlignment="1">
      <alignment horizontal="right"/>
    </xf>
    <xf numFmtId="0" fontId="1" fillId="40" borderId="0" xfId="0" applyFont="1" applyFill="1" applyAlignment="1">
      <alignment horizontal="center" wrapText="1"/>
    </xf>
    <xf numFmtId="0" fontId="8" fillId="0" borderId="0" xfId="0" applyFont="1" applyAlignment="1">
      <alignment vertical="top" wrapText="1"/>
    </xf>
    <xf numFmtId="1" fontId="8" fillId="0" borderId="0" xfId="0" applyNumberFormat="1" applyFont="1" applyAlignment="1">
      <alignment vertical="top" wrapText="1"/>
    </xf>
    <xf numFmtId="0" fontId="8" fillId="40" borderId="0" xfId="0" applyFont="1" applyFill="1" applyAlignment="1">
      <alignment vertical="top" wrapText="1"/>
    </xf>
    <xf numFmtId="0" fontId="8" fillId="38" borderId="0" xfId="0" applyFont="1" applyFill="1" applyAlignment="1">
      <alignment wrapText="1"/>
    </xf>
    <xf numFmtId="0" fontId="58" fillId="0" borderId="0" xfId="0" applyFont="1"/>
    <xf numFmtId="1" fontId="8" fillId="0" borderId="0" xfId="0" applyNumberFormat="1" applyFont="1" applyAlignment="1">
      <alignment vertical="top"/>
    </xf>
    <xf numFmtId="0" fontId="7" fillId="0" borderId="0" xfId="0" applyFont="1" applyAlignment="1">
      <alignment horizontal="right"/>
    </xf>
    <xf numFmtId="0" fontId="33" fillId="0" borderId="0" xfId="0" applyFont="1" applyAlignment="1">
      <alignment horizontal="right"/>
    </xf>
    <xf numFmtId="0" fontId="1" fillId="12" borderId="0" xfId="0" applyFont="1" applyFill="1" applyAlignment="1">
      <alignment wrapText="1"/>
    </xf>
    <xf numFmtId="0" fontId="8" fillId="12" borderId="0" xfId="0" applyFont="1" applyFill="1" applyAlignment="1">
      <alignment vertical="top"/>
    </xf>
    <xf numFmtId="0" fontId="8" fillId="12" borderId="0" xfId="0" applyFont="1" applyFill="1" applyAlignment="1">
      <alignment vertical="top" wrapText="1"/>
    </xf>
    <xf numFmtId="0" fontId="7" fillId="41" borderId="0" xfId="0" applyFont="1" applyFill="1" applyAlignment="1">
      <alignment wrapText="1"/>
    </xf>
    <xf numFmtId="0" fontId="7" fillId="42" borderId="0" xfId="0" applyFont="1" applyFill="1" applyAlignment="1">
      <alignment horizontal="center" wrapText="1"/>
    </xf>
    <xf numFmtId="0" fontId="33" fillId="12" borderId="0" xfId="0" applyFont="1" applyFill="1" applyAlignment="1">
      <alignment horizontal="right"/>
    </xf>
    <xf numFmtId="0" fontId="7" fillId="12" borderId="0" xfId="0" applyFont="1" applyFill="1" applyAlignment="1">
      <alignment horizontal="right"/>
    </xf>
    <xf numFmtId="0" fontId="55" fillId="0" borderId="0" xfId="0" applyFont="1"/>
    <xf numFmtId="171" fontId="53" fillId="0" borderId="0" xfId="0" applyNumberFormat="1" applyFont="1" applyAlignment="1">
      <alignment horizontal="right" vertical="top"/>
    </xf>
    <xf numFmtId="1" fontId="7" fillId="0" borderId="0" xfId="0" applyNumberFormat="1" applyFont="1"/>
    <xf numFmtId="0" fontId="33" fillId="0" borderId="0" xfId="0" applyFont="1" applyAlignment="1">
      <alignment wrapText="1"/>
    </xf>
    <xf numFmtId="0" fontId="33" fillId="45" borderId="0" xfId="0" applyFont="1" applyFill="1" applyAlignment="1">
      <alignment wrapText="1"/>
    </xf>
    <xf numFmtId="0" fontId="1" fillId="45" borderId="0" xfId="0" applyFont="1" applyFill="1"/>
    <xf numFmtId="2" fontId="7" fillId="0" borderId="0" xfId="0" applyNumberFormat="1" applyFont="1"/>
    <xf numFmtId="0" fontId="7" fillId="0" borderId="0" xfId="0" applyFont="1" applyAlignment="1">
      <alignment horizontal="center"/>
    </xf>
    <xf numFmtId="2" fontId="7" fillId="0" borderId="0" xfId="0" applyNumberFormat="1" applyFont="1" applyAlignment="1">
      <alignment horizontal="center"/>
    </xf>
    <xf numFmtId="0" fontId="39" fillId="0" borderId="0" xfId="0" applyFont="1" applyAlignment="1">
      <alignment horizontal="left" wrapText="1"/>
    </xf>
    <xf numFmtId="168" fontId="7" fillId="0" borderId="0" xfId="0" applyNumberFormat="1" applyFont="1" applyAlignment="1">
      <alignment horizontal="center"/>
    </xf>
    <xf numFmtId="1" fontId="7" fillId="0" borderId="0" xfId="0" applyNumberFormat="1" applyFont="1" applyAlignment="1">
      <alignment horizontal="center"/>
    </xf>
    <xf numFmtId="0" fontId="39" fillId="0" borderId="0" xfId="0" applyFont="1" applyAlignment="1">
      <alignment horizontal="center" wrapText="1"/>
    </xf>
    <xf numFmtId="0" fontId="7" fillId="14" borderId="0" xfId="0" applyFont="1" applyFill="1"/>
    <xf numFmtId="0" fontId="25" fillId="18" borderId="1" xfId="0" applyFont="1" applyFill="1" applyBorder="1" applyAlignment="1">
      <alignment horizontal="left" indent="2"/>
    </xf>
    <xf numFmtId="0" fontId="59" fillId="0" borderId="0" xfId="0" applyFont="1"/>
    <xf numFmtId="168" fontId="3" fillId="7" borderId="3" xfId="0" applyNumberFormat="1" applyFont="1" applyFill="1" applyBorder="1" applyAlignment="1">
      <alignment horizontal="center"/>
    </xf>
    <xf numFmtId="168" fontId="3" fillId="7" borderId="1" xfId="0" applyNumberFormat="1" applyFont="1" applyFill="1" applyBorder="1" applyAlignment="1">
      <alignment horizontal="center"/>
    </xf>
    <xf numFmtId="0" fontId="0" fillId="13" borderId="0" xfId="0" applyFill="1"/>
    <xf numFmtId="2" fontId="1" fillId="13" borderId="4" xfId="0" applyNumberFormat="1" applyFont="1" applyFill="1" applyBorder="1"/>
    <xf numFmtId="2" fontId="1" fillId="13" borderId="18" xfId="0" applyNumberFormat="1" applyFont="1" applyFill="1" applyBorder="1"/>
    <xf numFmtId="0" fontId="0" fillId="9" borderId="0" xfId="0" applyFill="1"/>
    <xf numFmtId="0" fontId="0" fillId="10" borderId="0" xfId="0" applyFill="1"/>
    <xf numFmtId="0" fontId="13" fillId="0" borderId="0" xfId="1" applyAlignment="1">
      <alignment wrapText="1"/>
    </xf>
    <xf numFmtId="2" fontId="1" fillId="12" borderId="51" xfId="0" applyNumberFormat="1" applyFont="1" applyFill="1" applyBorder="1"/>
    <xf numFmtId="0" fontId="68" fillId="46" borderId="23" xfId="0" applyFont="1" applyFill="1" applyBorder="1" applyAlignment="1">
      <alignment horizontal="center"/>
    </xf>
    <xf numFmtId="0" fontId="68" fillId="46" borderId="0" xfId="0" applyFont="1" applyFill="1" applyAlignment="1">
      <alignment horizontal="left" indent="3"/>
    </xf>
    <xf numFmtId="4" fontId="68" fillId="46" borderId="16" xfId="0" applyNumberFormat="1" applyFont="1" applyFill="1" applyBorder="1" applyAlignment="1">
      <alignment horizontal="right"/>
    </xf>
    <xf numFmtId="4" fontId="68" fillId="46" borderId="0" xfId="0" applyNumberFormat="1" applyFont="1" applyFill="1" applyAlignment="1">
      <alignment horizontal="right"/>
    </xf>
    <xf numFmtId="4" fontId="68" fillId="0" borderId="0" xfId="0" applyNumberFormat="1" applyFont="1" applyAlignment="1">
      <alignment horizontal="right"/>
    </xf>
    <xf numFmtId="4" fontId="68" fillId="0" borderId="16" xfId="0" applyNumberFormat="1" applyFont="1" applyBorder="1" applyAlignment="1">
      <alignment horizontal="right"/>
    </xf>
    <xf numFmtId="4" fontId="68" fillId="47" borderId="0" xfId="0" applyNumberFormat="1" applyFont="1" applyFill="1" applyAlignment="1">
      <alignment horizontal="right"/>
    </xf>
    <xf numFmtId="4" fontId="68" fillId="48" borderId="0" xfId="0" applyNumberFormat="1" applyFont="1" applyFill="1" applyAlignment="1">
      <alignment horizontal="right"/>
    </xf>
    <xf numFmtId="4" fontId="68" fillId="49" borderId="16" xfId="0" applyNumberFormat="1" applyFont="1" applyFill="1" applyBorder="1" applyAlignment="1">
      <alignment horizontal="right"/>
    </xf>
    <xf numFmtId="4" fontId="68" fillId="47" borderId="16" xfId="0" applyNumberFormat="1" applyFont="1" applyFill="1" applyBorder="1" applyAlignment="1">
      <alignment horizontal="right"/>
    </xf>
    <xf numFmtId="4" fontId="68" fillId="49" borderId="0" xfId="0" applyNumberFormat="1" applyFont="1" applyFill="1" applyAlignment="1">
      <alignment horizontal="right"/>
    </xf>
    <xf numFmtId="4" fontId="68" fillId="49" borderId="23" xfId="0" applyNumberFormat="1" applyFont="1" applyFill="1" applyBorder="1" applyAlignment="1">
      <alignment horizontal="right"/>
    </xf>
    <xf numFmtId="0" fontId="68" fillId="49" borderId="0" xfId="0" applyFont="1" applyFill="1"/>
    <xf numFmtId="0" fontId="68" fillId="47" borderId="0" xfId="0" applyFont="1" applyFill="1"/>
    <xf numFmtId="0" fontId="68" fillId="48" borderId="0" xfId="0" applyFont="1" applyFill="1"/>
    <xf numFmtId="0" fontId="68" fillId="47" borderId="51" xfId="0" applyFont="1" applyFill="1" applyBorder="1"/>
    <xf numFmtId="0" fontId="68" fillId="48" borderId="51" xfId="0" applyFont="1" applyFill="1" applyBorder="1"/>
    <xf numFmtId="0" fontId="68" fillId="46" borderId="51" xfId="0" applyFont="1" applyFill="1" applyBorder="1"/>
    <xf numFmtId="2" fontId="68" fillId="46" borderId="51" xfId="0" applyNumberFormat="1" applyFont="1" applyFill="1" applyBorder="1"/>
    <xf numFmtId="0" fontId="13" fillId="0" borderId="0" xfId="1"/>
    <xf numFmtId="0" fontId="3" fillId="8" borderId="0" xfId="0" applyFont="1" applyFill="1" applyAlignment="1">
      <alignment horizontal="left" wrapText="1" indent="1"/>
    </xf>
    <xf numFmtId="0" fontId="3" fillId="7" borderId="51" xfId="0" applyFont="1" applyFill="1" applyBorder="1" applyAlignment="1">
      <alignment horizontal="center"/>
    </xf>
    <xf numFmtId="1" fontId="0" fillId="0" borderId="0" xfId="0" applyNumberFormat="1"/>
    <xf numFmtId="0" fontId="1" fillId="17" borderId="0" xfId="0" applyFont="1" applyFill="1"/>
    <xf numFmtId="10" fontId="21" fillId="14" borderId="0" xfId="0" applyNumberFormat="1" applyFont="1" applyFill="1" applyAlignment="1">
      <alignment horizontal="center" vertical="top" wrapText="1"/>
    </xf>
    <xf numFmtId="10" fontId="0" fillId="0" borderId="0" xfId="0" applyNumberFormat="1"/>
    <xf numFmtId="168" fontId="0" fillId="0" borderId="0" xfId="0" applyNumberFormat="1"/>
    <xf numFmtId="1" fontId="3" fillId="0" borderId="0" xfId="0" applyNumberFormat="1" applyFont="1" applyAlignment="1">
      <alignment horizontal="center" vertical="top" wrapText="1"/>
    </xf>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1" fillId="2" borderId="4" xfId="0" applyFont="1" applyFill="1" applyBorder="1" applyAlignment="1">
      <alignment horizontal="left" vertical="top" wrapText="1"/>
    </xf>
    <xf numFmtId="0" fontId="1" fillId="3" borderId="3"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3" borderId="2"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2" borderId="0" xfId="0" applyFont="1" applyFill="1" applyAlignment="1">
      <alignment horizontal="left" vertical="top"/>
    </xf>
    <xf numFmtId="0" fontId="1" fillId="2" borderId="4" xfId="0" applyFont="1" applyFill="1" applyBorder="1" applyAlignment="1">
      <alignment horizontal="left" vertical="top"/>
    </xf>
    <xf numFmtId="0" fontId="5" fillId="0" borderId="1" xfId="0" applyFont="1" applyBorder="1" applyAlignment="1">
      <alignment horizontal="center" wrapText="1"/>
    </xf>
    <xf numFmtId="0" fontId="5" fillId="0" borderId="0" xfId="0" applyFont="1" applyAlignment="1">
      <alignment horizontal="center" wrapText="1"/>
    </xf>
    <xf numFmtId="0" fontId="6" fillId="4" borderId="9" xfId="0" applyFont="1" applyFill="1" applyBorder="1" applyAlignment="1">
      <alignment horizontal="center" wrapText="1"/>
    </xf>
    <xf numFmtId="0" fontId="6" fillId="4" borderId="10" xfId="0" applyFont="1" applyFill="1" applyBorder="1" applyAlignment="1">
      <alignment horizontal="center" wrapText="1"/>
    </xf>
    <xf numFmtId="0" fontId="6" fillId="4" borderId="11" xfId="0" applyFont="1" applyFill="1" applyBorder="1" applyAlignment="1">
      <alignment horizontal="center" wrapText="1"/>
    </xf>
    <xf numFmtId="0" fontId="5" fillId="3" borderId="9" xfId="0" applyFont="1" applyFill="1" applyBorder="1" applyAlignment="1">
      <alignment horizontal="center" wrapText="1"/>
    </xf>
    <xf numFmtId="0" fontId="5" fillId="3" borderId="10" xfId="0" applyFont="1" applyFill="1" applyBorder="1" applyAlignment="1">
      <alignment horizontal="center" wrapText="1"/>
    </xf>
    <xf numFmtId="0" fontId="5" fillId="3" borderId="11" xfId="0" applyFont="1" applyFill="1" applyBorder="1" applyAlignment="1">
      <alignment horizontal="center" wrapText="1"/>
    </xf>
    <xf numFmtId="0" fontId="7" fillId="0" borderId="0" xfId="0" applyFont="1" applyAlignment="1">
      <alignment horizontal="left" wrapText="1"/>
    </xf>
    <xf numFmtId="0" fontId="5" fillId="0" borderId="3" xfId="0" applyFont="1" applyBorder="1" applyAlignment="1">
      <alignment horizontal="center" wrapText="1"/>
    </xf>
    <xf numFmtId="0" fontId="5" fillId="0" borderId="5" xfId="0" applyFont="1" applyBorder="1" applyAlignment="1">
      <alignment horizontal="center" wrapText="1"/>
    </xf>
    <xf numFmtId="0" fontId="5" fillId="0" borderId="6" xfId="0" applyFont="1" applyBorder="1" applyAlignment="1">
      <alignment horizontal="center" wrapText="1"/>
    </xf>
    <xf numFmtId="0" fontId="5" fillId="0" borderId="2" xfId="0" applyFont="1" applyBorder="1" applyAlignment="1">
      <alignment horizontal="center" wrapText="1"/>
    </xf>
    <xf numFmtId="0" fontId="5" fillId="0" borderId="7" xfId="0" applyFont="1" applyBorder="1" applyAlignment="1">
      <alignment horizontal="center" wrapText="1"/>
    </xf>
    <xf numFmtId="0" fontId="5" fillId="0" borderId="8" xfId="0" applyFont="1" applyBorder="1" applyAlignment="1">
      <alignment horizontal="center" wrapText="1"/>
    </xf>
    <xf numFmtId="0" fontId="7" fillId="0" borderId="5" xfId="0" applyFont="1" applyBorder="1" applyAlignment="1">
      <alignment horizontal="left" wrapText="1"/>
    </xf>
    <xf numFmtId="0" fontId="7" fillId="0" borderId="6" xfId="0" applyFont="1" applyBorder="1" applyAlignment="1">
      <alignment horizontal="left" wrapText="1"/>
    </xf>
    <xf numFmtId="0" fontId="2" fillId="3" borderId="0" xfId="0" applyFont="1" applyFill="1" applyAlignment="1">
      <alignment horizontal="center"/>
    </xf>
    <xf numFmtId="0" fontId="2" fillId="3" borderId="0" xfId="0" applyFont="1" applyFill="1" applyAlignment="1">
      <alignment horizontal="center" wrapText="1"/>
    </xf>
    <xf numFmtId="0" fontId="1" fillId="0" borderId="0" xfId="0" applyFont="1" applyAlignment="1">
      <alignment horizontal="left" vertical="center" wrapText="1"/>
    </xf>
    <xf numFmtId="0" fontId="11" fillId="0" borderId="0" xfId="0" applyFont="1" applyAlignment="1">
      <alignment horizontal="left" vertical="center" wrapText="1"/>
    </xf>
    <xf numFmtId="0" fontId="11" fillId="0" borderId="0" xfId="0" applyFont="1" applyAlignment="1">
      <alignment horizontal="left" wrapText="1"/>
    </xf>
    <xf numFmtId="49" fontId="1" fillId="0" borderId="0" xfId="0" applyNumberFormat="1" applyFont="1" applyAlignment="1">
      <alignment horizontal="left" wrapText="1" indent="1"/>
    </xf>
    <xf numFmtId="168" fontId="1" fillId="0" borderId="0" xfId="0" applyNumberFormat="1" applyFont="1" applyAlignment="1">
      <alignment horizontal="left" wrapText="1" indent="1"/>
    </xf>
    <xf numFmtId="0" fontId="1" fillId="0" borderId="0" xfId="0" applyFont="1" applyAlignment="1">
      <alignment horizontal="left" indent="1"/>
    </xf>
    <xf numFmtId="0" fontId="1" fillId="0" borderId="0" xfId="0" applyFont="1" applyAlignment="1">
      <alignment horizontal="left" wrapText="1"/>
    </xf>
    <xf numFmtId="168" fontId="15" fillId="0" borderId="0" xfId="0" applyNumberFormat="1" applyFont="1" applyAlignment="1">
      <alignment horizontal="center"/>
    </xf>
    <xf numFmtId="0" fontId="2" fillId="0" borderId="21" xfId="0" applyFont="1" applyBorder="1" applyAlignment="1">
      <alignment horizontal="center"/>
    </xf>
    <xf numFmtId="168" fontId="1" fillId="0" borderId="22" xfId="0" applyNumberFormat="1" applyFont="1" applyBorder="1" applyAlignment="1">
      <alignment horizontal="center" vertical="center"/>
    </xf>
    <xf numFmtId="168" fontId="1" fillId="0" borderId="23" xfId="0" applyNumberFormat="1" applyFont="1" applyBorder="1" applyAlignment="1">
      <alignment horizontal="center" vertical="center"/>
    </xf>
    <xf numFmtId="168" fontId="1" fillId="0" borderId="24" xfId="0" applyNumberFormat="1" applyFont="1" applyBorder="1" applyAlignment="1">
      <alignment horizontal="center" vertical="center"/>
    </xf>
    <xf numFmtId="168" fontId="1" fillId="0" borderId="25" xfId="0" applyNumberFormat="1" applyFont="1" applyBorder="1" applyAlignment="1">
      <alignment horizontal="center"/>
    </xf>
    <xf numFmtId="168" fontId="1" fillId="0" borderId="26" xfId="0" applyNumberFormat="1" applyFont="1" applyBorder="1" applyAlignment="1">
      <alignment horizontal="center"/>
    </xf>
    <xf numFmtId="168" fontId="1" fillId="0" borderId="27" xfId="0" applyNumberFormat="1" applyFont="1" applyBorder="1" applyAlignment="1">
      <alignment horizontal="center"/>
    </xf>
    <xf numFmtId="168" fontId="1" fillId="0" borderId="28" xfId="0" applyNumberFormat="1" applyFont="1" applyBorder="1" applyAlignment="1">
      <alignment horizontal="center"/>
    </xf>
    <xf numFmtId="168" fontId="1" fillId="0" borderId="29" xfId="0" applyNumberFormat="1" applyFont="1" applyBorder="1" applyAlignment="1">
      <alignment horizontal="center"/>
    </xf>
    <xf numFmtId="1" fontId="1" fillId="0" borderId="30" xfId="0" applyNumberFormat="1" applyFont="1" applyBorder="1" applyAlignment="1">
      <alignment horizontal="center"/>
    </xf>
    <xf numFmtId="1" fontId="1" fillId="0" borderId="28" xfId="0" applyNumberFormat="1" applyFont="1" applyBorder="1" applyAlignment="1">
      <alignment horizontal="center"/>
    </xf>
    <xf numFmtId="1" fontId="1" fillId="0" borderId="29" xfId="0" applyNumberFormat="1" applyFont="1" applyBorder="1" applyAlignment="1">
      <alignment horizontal="center"/>
    </xf>
    <xf numFmtId="168" fontId="1" fillId="0" borderId="20" xfId="0" applyNumberFormat="1" applyFont="1" applyBorder="1" applyAlignment="1">
      <alignment horizontal="left" indent="1"/>
    </xf>
    <xf numFmtId="0" fontId="19" fillId="0" borderId="0" xfId="0" applyFont="1" applyAlignment="1">
      <alignment horizontal="center"/>
    </xf>
    <xf numFmtId="0" fontId="12" fillId="3" borderId="0" xfId="0" applyFont="1" applyFill="1" applyAlignment="1">
      <alignment horizontal="center"/>
    </xf>
    <xf numFmtId="0" fontId="12" fillId="0" borderId="0" xfId="0" applyFont="1" applyAlignment="1">
      <alignment horizontal="left" vertical="top" wrapText="1"/>
    </xf>
    <xf numFmtId="0" fontId="3" fillId="7" borderId="1" xfId="0" applyFont="1" applyFill="1" applyBorder="1" applyAlignment="1">
      <alignment horizontal="center"/>
    </xf>
    <xf numFmtId="0" fontId="3" fillId="7" borderId="0" xfId="0" applyFont="1" applyFill="1" applyAlignment="1">
      <alignment horizontal="center"/>
    </xf>
    <xf numFmtId="0" fontId="3" fillId="7" borderId="34" xfId="0" applyFont="1" applyFill="1" applyBorder="1" applyAlignment="1">
      <alignment horizontal="center"/>
    </xf>
    <xf numFmtId="0" fontId="12" fillId="7" borderId="3" xfId="0" applyFont="1" applyFill="1" applyBorder="1" applyAlignment="1">
      <alignment horizontal="center"/>
    </xf>
    <xf numFmtId="0" fontId="12" fillId="7" borderId="6" xfId="0" applyFont="1" applyFill="1" applyBorder="1" applyAlignment="1">
      <alignment horizontal="center"/>
    </xf>
    <xf numFmtId="0" fontId="12" fillId="7" borderId="1" xfId="0" applyFont="1" applyFill="1" applyBorder="1" applyAlignment="1">
      <alignment horizontal="center"/>
    </xf>
    <xf numFmtId="0" fontId="12" fillId="7" borderId="4" xfId="0" applyFont="1" applyFill="1" applyBorder="1" applyAlignment="1">
      <alignment horizontal="center"/>
    </xf>
    <xf numFmtId="0" fontId="12" fillId="7" borderId="2" xfId="0" applyFont="1" applyFill="1" applyBorder="1" applyAlignment="1">
      <alignment horizontal="center"/>
    </xf>
    <xf numFmtId="0" fontId="12" fillId="7" borderId="8" xfId="0" applyFont="1" applyFill="1" applyBorder="1" applyAlignment="1">
      <alignment horizontal="center"/>
    </xf>
    <xf numFmtId="0" fontId="3" fillId="8" borderId="3" xfId="0" applyFont="1" applyFill="1" applyBorder="1" applyAlignment="1">
      <alignment horizontal="center"/>
    </xf>
    <xf numFmtId="0" fontId="3" fillId="8" borderId="35" xfId="0" applyFont="1" applyFill="1" applyBorder="1" applyAlignment="1">
      <alignment horizontal="center"/>
    </xf>
    <xf numFmtId="0" fontId="12" fillId="8" borderId="36" xfId="0" applyFont="1" applyFill="1" applyBorder="1" applyAlignment="1">
      <alignment horizontal="center"/>
    </xf>
    <xf numFmtId="0" fontId="12" fillId="8" borderId="32" xfId="0" applyFont="1" applyFill="1" applyBorder="1" applyAlignment="1">
      <alignment horizontal="center"/>
    </xf>
    <xf numFmtId="0" fontId="12" fillId="7" borderId="37" xfId="0" applyFont="1" applyFill="1" applyBorder="1" applyAlignment="1">
      <alignment horizontal="center"/>
    </xf>
    <xf numFmtId="0" fontId="3" fillId="8" borderId="6" xfId="0" applyFont="1" applyFill="1" applyBorder="1" applyAlignment="1">
      <alignment horizontal="center"/>
    </xf>
    <xf numFmtId="0" fontId="3" fillId="8" borderId="5" xfId="0" applyFont="1" applyFill="1" applyBorder="1" applyAlignment="1">
      <alignment horizontal="center"/>
    </xf>
    <xf numFmtId="0" fontId="12" fillId="7" borderId="9" xfId="0" applyFont="1" applyFill="1" applyBorder="1" applyAlignment="1">
      <alignment horizontal="center"/>
    </xf>
    <xf numFmtId="0" fontId="12" fillId="7" borderId="10" xfId="0" applyFont="1" applyFill="1" applyBorder="1" applyAlignment="1">
      <alignment horizontal="center"/>
    </xf>
    <xf numFmtId="0" fontId="12" fillId="7" borderId="11" xfId="0" applyFont="1" applyFill="1" applyBorder="1" applyAlignment="1">
      <alignment horizontal="center"/>
    </xf>
    <xf numFmtId="0" fontId="12" fillId="8" borderId="9" xfId="0" applyFont="1" applyFill="1" applyBorder="1" applyAlignment="1">
      <alignment horizontal="center"/>
    </xf>
    <xf numFmtId="0" fontId="12" fillId="8" borderId="10" xfId="0" applyFont="1" applyFill="1" applyBorder="1" applyAlignment="1">
      <alignment horizontal="center"/>
    </xf>
    <xf numFmtId="0" fontId="12" fillId="8" borderId="11" xfId="0" applyFont="1" applyFill="1" applyBorder="1" applyAlignment="1">
      <alignment horizontal="center"/>
    </xf>
    <xf numFmtId="0" fontId="3" fillId="7" borderId="3" xfId="0" applyFont="1" applyFill="1" applyBorder="1" applyAlignment="1">
      <alignment horizontal="center"/>
    </xf>
    <xf numFmtId="0" fontId="3" fillId="7" borderId="5" xfId="0" applyFont="1" applyFill="1" applyBorder="1" applyAlignment="1">
      <alignment horizontal="center"/>
    </xf>
    <xf numFmtId="0" fontId="3" fillId="7" borderId="6" xfId="0" applyFont="1" applyFill="1" applyBorder="1" applyAlignment="1">
      <alignment horizontal="center"/>
    </xf>
    <xf numFmtId="0" fontId="3" fillId="7" borderId="3" xfId="0" applyFont="1" applyFill="1" applyBorder="1" applyAlignment="1">
      <alignment horizontal="right"/>
    </xf>
    <xf numFmtId="0" fontId="3" fillId="7" borderId="35" xfId="0" applyFont="1" applyFill="1" applyBorder="1" applyAlignment="1">
      <alignment horizontal="right"/>
    </xf>
    <xf numFmtId="0" fontId="12" fillId="7" borderId="41" xfId="0" applyFont="1" applyFill="1" applyBorder="1" applyAlignment="1">
      <alignment horizontal="center"/>
    </xf>
    <xf numFmtId="0" fontId="12" fillId="7" borderId="36" xfId="0" applyFont="1" applyFill="1" applyBorder="1" applyAlignment="1">
      <alignment horizontal="center"/>
    </xf>
    <xf numFmtId="0" fontId="12" fillId="7" borderId="32" xfId="0" applyFont="1" applyFill="1" applyBorder="1" applyAlignment="1">
      <alignment horizontal="center"/>
    </xf>
    <xf numFmtId="0" fontId="12" fillId="8" borderId="41" xfId="0" applyFont="1" applyFill="1" applyBorder="1" applyAlignment="1">
      <alignment horizontal="center"/>
    </xf>
    <xf numFmtId="0" fontId="3" fillId="0" borderId="4" xfId="0" applyFont="1" applyBorder="1" applyAlignment="1">
      <alignment horizontal="center" wrapText="1"/>
    </xf>
    <xf numFmtId="0" fontId="3" fillId="8" borderId="1" xfId="0" applyFont="1" applyFill="1" applyBorder="1" applyAlignment="1">
      <alignment horizontal="center"/>
    </xf>
    <xf numFmtId="0" fontId="3" fillId="8" borderId="0" xfId="0" applyFont="1" applyFill="1" applyAlignment="1">
      <alignment horizontal="center"/>
    </xf>
    <xf numFmtId="0" fontId="3" fillId="7" borderId="35" xfId="0" applyFont="1" applyFill="1" applyBorder="1" applyAlignment="1">
      <alignment horizontal="center"/>
    </xf>
    <xf numFmtId="0" fontId="12" fillId="13" borderId="41" xfId="0" applyFont="1" applyFill="1" applyBorder="1" applyAlignment="1">
      <alignment horizontal="center" vertical="center" wrapText="1"/>
    </xf>
    <xf numFmtId="0" fontId="12" fillId="13" borderId="36" xfId="0" applyFont="1" applyFill="1" applyBorder="1" applyAlignment="1">
      <alignment horizontal="center" vertical="center" wrapText="1"/>
    </xf>
    <xf numFmtId="0" fontId="12" fillId="0" borderId="0" xfId="0" applyFont="1" applyAlignment="1">
      <alignment horizontal="center"/>
    </xf>
    <xf numFmtId="0" fontId="3" fillId="0" borderId="0" xfId="0" applyFont="1" applyAlignment="1">
      <alignment horizontal="center"/>
    </xf>
    <xf numFmtId="0" fontId="3" fillId="0" borderId="1" xfId="0" applyFont="1" applyBorder="1" applyAlignment="1">
      <alignment horizontal="left" vertical="top" wrapText="1"/>
    </xf>
    <xf numFmtId="0" fontId="3" fillId="0" borderId="0" xfId="0" applyFont="1" applyAlignment="1">
      <alignment horizontal="left" vertical="top" wrapText="1"/>
    </xf>
    <xf numFmtId="0" fontId="3" fillId="3" borderId="6" xfId="0" applyFont="1" applyFill="1" applyBorder="1" applyAlignment="1">
      <alignment horizontal="center" wrapText="1"/>
    </xf>
    <xf numFmtId="0" fontId="3" fillId="3" borderId="4" xfId="0" applyFont="1" applyFill="1" applyBorder="1" applyAlignment="1">
      <alignment horizontal="center" wrapText="1"/>
    </xf>
    <xf numFmtId="0" fontId="3" fillId="3" borderId="8" xfId="0" applyFont="1" applyFill="1" applyBorder="1" applyAlignment="1">
      <alignment horizontal="center" wrapText="1"/>
    </xf>
    <xf numFmtId="0" fontId="12" fillId="7" borderId="35" xfId="0" applyFont="1" applyFill="1" applyBorder="1" applyAlignment="1">
      <alignment horizontal="center"/>
    </xf>
    <xf numFmtId="0" fontId="12" fillId="0" borderId="0" xfId="0" applyFont="1" applyAlignment="1">
      <alignment horizontal="left" wrapText="1"/>
    </xf>
    <xf numFmtId="0" fontId="12" fillId="18" borderId="0" xfId="0" applyFont="1" applyFill="1" applyAlignment="1">
      <alignment horizontal="center"/>
    </xf>
    <xf numFmtId="0" fontId="12" fillId="7" borderId="5" xfId="0" applyFont="1" applyFill="1" applyBorder="1" applyAlignment="1">
      <alignment horizontal="center"/>
    </xf>
    <xf numFmtId="0" fontId="12" fillId="7" borderId="0" xfId="0" applyFont="1" applyFill="1" applyAlignment="1">
      <alignment horizontal="center"/>
    </xf>
    <xf numFmtId="0" fontId="12" fillId="7" borderId="7" xfId="0" applyFont="1" applyFill="1" applyBorder="1" applyAlignment="1">
      <alignment horizontal="center"/>
    </xf>
    <xf numFmtId="0" fontId="12" fillId="7" borderId="3" xfId="0" applyFont="1" applyFill="1" applyBorder="1" applyAlignment="1">
      <alignment horizontal="center" vertical="center"/>
    </xf>
    <xf numFmtId="0" fontId="12" fillId="7" borderId="6" xfId="0" applyFont="1" applyFill="1" applyBorder="1" applyAlignment="1">
      <alignment horizontal="center" vertical="center"/>
    </xf>
    <xf numFmtId="0" fontId="12" fillId="7" borderId="1" xfId="0" applyFont="1" applyFill="1" applyBorder="1" applyAlignment="1">
      <alignment horizontal="center" vertical="center"/>
    </xf>
    <xf numFmtId="0" fontId="12" fillId="7" borderId="4" xfId="0" applyFont="1" applyFill="1" applyBorder="1" applyAlignment="1">
      <alignment horizontal="center" vertical="center"/>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0" fontId="3" fillId="7" borderId="34" xfId="0" applyFont="1" applyFill="1" applyBorder="1" applyAlignment="1">
      <alignment horizontal="center" vertical="center"/>
    </xf>
    <xf numFmtId="0" fontId="12" fillId="7" borderId="37" xfId="0" applyFont="1" applyFill="1" applyBorder="1" applyAlignment="1">
      <alignment horizontal="center" vertical="center"/>
    </xf>
    <xf numFmtId="0" fontId="12" fillId="0" borderId="3" xfId="0" applyFont="1" applyBorder="1" applyAlignment="1">
      <alignment horizontal="center" vertical="top" wrapText="1"/>
    </xf>
    <xf numFmtId="0" fontId="12" fillId="0" borderId="5" xfId="0" applyFont="1" applyBorder="1" applyAlignment="1">
      <alignment horizontal="center" vertical="top" wrapText="1"/>
    </xf>
    <xf numFmtId="0" fontId="12" fillId="0" borderId="3" xfId="0" applyFont="1" applyBorder="1" applyAlignment="1">
      <alignment horizontal="center" wrapText="1"/>
    </xf>
    <xf numFmtId="0" fontId="12" fillId="0" borderId="0" xfId="0" applyFont="1" applyAlignment="1">
      <alignment horizontal="center" wrapText="1"/>
    </xf>
    <xf numFmtId="0" fontId="3" fillId="7" borderId="4" xfId="0" applyFont="1" applyFill="1" applyBorder="1" applyAlignment="1">
      <alignment horizontal="center"/>
    </xf>
    <xf numFmtId="0" fontId="12" fillId="0" borderId="7" xfId="0" applyFont="1" applyBorder="1" applyAlignment="1">
      <alignment horizontal="center" vertical="top" wrapText="1"/>
    </xf>
    <xf numFmtId="0" fontId="3" fillId="13" borderId="1" xfId="0" applyFont="1" applyFill="1" applyBorder="1" applyAlignment="1">
      <alignment horizontal="left" wrapText="1" indent="3"/>
    </xf>
    <xf numFmtId="0" fontId="3" fillId="13" borderId="0" xfId="0" applyFont="1" applyFill="1" applyAlignment="1">
      <alignment horizontal="left" wrapText="1" indent="3"/>
    </xf>
    <xf numFmtId="0" fontId="3" fillId="13" borderId="4" xfId="0" applyFont="1" applyFill="1" applyBorder="1" applyAlignment="1">
      <alignment horizontal="left" wrapText="1" indent="3"/>
    </xf>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4" xfId="0" applyFont="1" applyBorder="1" applyAlignment="1">
      <alignment horizontal="left" wrapText="1" indent="3"/>
    </xf>
    <xf numFmtId="0" fontId="3" fillId="0" borderId="1" xfId="0" applyFont="1" applyBorder="1" applyAlignment="1">
      <alignment horizontal="left" wrapText="1"/>
    </xf>
    <xf numFmtId="0" fontId="3" fillId="0" borderId="0" xfId="0" applyFont="1" applyAlignment="1">
      <alignment horizontal="left" wrapText="1"/>
    </xf>
    <xf numFmtId="0" fontId="3" fillId="0" borderId="4" xfId="0" applyFont="1" applyBorder="1" applyAlignment="1">
      <alignment horizontal="left" wrapText="1"/>
    </xf>
    <xf numFmtId="0" fontId="3" fillId="13" borderId="1" xfId="0" applyFont="1" applyFill="1" applyBorder="1" applyAlignment="1">
      <alignment horizontal="left" vertical="top" wrapText="1" indent="3"/>
    </xf>
    <xf numFmtId="0" fontId="3" fillId="13" borderId="0" xfId="0" applyFont="1" applyFill="1" applyAlignment="1">
      <alignment horizontal="left" vertical="top" wrapText="1" indent="3"/>
    </xf>
    <xf numFmtId="0" fontId="3" fillId="13" borderId="4" xfId="0" applyFont="1" applyFill="1" applyBorder="1" applyAlignment="1">
      <alignment horizontal="left" vertical="top" wrapText="1" indent="3"/>
    </xf>
    <xf numFmtId="0" fontId="28" fillId="0" borderId="0" xfId="0" applyFont="1" applyAlignment="1">
      <alignment horizontal="left" vertical="top" wrapText="1"/>
    </xf>
    <xf numFmtId="0" fontId="12" fillId="0" borderId="0" xfId="0" applyFont="1" applyAlignment="1">
      <alignment horizontal="center" vertical="top" wrapText="1"/>
    </xf>
    <xf numFmtId="0" fontId="3" fillId="0" borderId="2"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3" fillId="0" borderId="3" xfId="0" applyFont="1" applyBorder="1" applyAlignment="1">
      <alignment horizontal="left" wrapText="1" indent="3"/>
    </xf>
    <xf numFmtId="0" fontId="3" fillId="0" borderId="35" xfId="0" applyFont="1" applyBorder="1" applyAlignment="1">
      <alignment horizontal="left" wrapText="1" indent="3"/>
    </xf>
    <xf numFmtId="0" fontId="3" fillId="0" borderId="6" xfId="0" applyFont="1" applyBorder="1" applyAlignment="1">
      <alignment horizontal="left" wrapText="1" indent="3"/>
    </xf>
    <xf numFmtId="0" fontId="29" fillId="0" borderId="0" xfId="0" applyFont="1" applyAlignment="1">
      <alignment horizontal="left" vertical="top" wrapText="1"/>
    </xf>
    <xf numFmtId="0" fontId="3" fillId="7" borderId="5" xfId="0" applyFont="1" applyFill="1" applyBorder="1" applyAlignment="1">
      <alignment horizontal="right"/>
    </xf>
    <xf numFmtId="0" fontId="12" fillId="8" borderId="7" xfId="0" applyFont="1" applyFill="1" applyBorder="1" applyAlignment="1">
      <alignment horizontal="center"/>
    </xf>
    <xf numFmtId="0" fontId="12" fillId="8" borderId="0" xfId="0" applyFont="1" applyFill="1" applyAlignment="1">
      <alignment horizontal="center"/>
    </xf>
    <xf numFmtId="0" fontId="12" fillId="8" borderId="2" xfId="0" applyFont="1" applyFill="1" applyBorder="1" applyAlignment="1">
      <alignment horizontal="center"/>
    </xf>
    <xf numFmtId="0" fontId="12" fillId="13" borderId="0" xfId="0" applyFont="1" applyFill="1" applyAlignment="1">
      <alignment horizontal="center"/>
    </xf>
    <xf numFmtId="0" fontId="12" fillId="0" borderId="3" xfId="0" applyFont="1" applyBorder="1" applyAlignment="1">
      <alignment horizontal="center"/>
    </xf>
    <xf numFmtId="0" fontId="12" fillId="0" borderId="5" xfId="0" applyFont="1" applyBorder="1" applyAlignment="1">
      <alignment horizontal="center"/>
    </xf>
    <xf numFmtId="0" fontId="3" fillId="0" borderId="7" xfId="0" applyFont="1" applyBorder="1" applyAlignment="1">
      <alignment horizontal="left" vertical="top" wrapText="1"/>
    </xf>
    <xf numFmtId="0" fontId="12" fillId="7" borderId="3" xfId="0" applyFont="1" applyFill="1" applyBorder="1" applyAlignment="1">
      <alignment horizontal="center" wrapText="1"/>
    </xf>
    <xf numFmtId="0" fontId="12" fillId="7" borderId="6" xfId="0" applyFont="1" applyFill="1" applyBorder="1" applyAlignment="1">
      <alignment horizontal="center" wrapText="1"/>
    </xf>
    <xf numFmtId="0" fontId="12" fillId="7" borderId="1" xfId="0" applyFont="1" applyFill="1" applyBorder="1" applyAlignment="1">
      <alignment horizontal="center" wrapText="1"/>
    </xf>
    <xf numFmtId="0" fontId="12" fillId="7" borderId="0" xfId="0" applyFont="1" applyFill="1" applyAlignment="1">
      <alignment horizontal="center" wrapText="1"/>
    </xf>
    <xf numFmtId="0" fontId="12" fillId="0" borderId="35" xfId="0" applyFont="1" applyBorder="1" applyAlignment="1">
      <alignment horizontal="center"/>
    </xf>
    <xf numFmtId="0" fontId="12" fillId="7" borderId="51" xfId="0" applyFont="1" applyFill="1" applyBorder="1" applyAlignment="1">
      <alignment horizontal="center"/>
    </xf>
    <xf numFmtId="0" fontId="1" fillId="0" borderId="0" xfId="0" applyFont="1" applyAlignment="1">
      <alignment horizontal="center"/>
    </xf>
    <xf numFmtId="0" fontId="12" fillId="7" borderId="41" xfId="0" applyFont="1" applyFill="1" applyBorder="1" applyAlignment="1">
      <alignment horizontal="center" wrapText="1"/>
    </xf>
    <xf numFmtId="0" fontId="12" fillId="7" borderId="36" xfId="0" applyFont="1" applyFill="1" applyBorder="1" applyAlignment="1">
      <alignment horizontal="center" wrapText="1"/>
    </xf>
    <xf numFmtId="0" fontId="12" fillId="7" borderId="32" xfId="0" applyFont="1" applyFill="1" applyBorder="1" applyAlignment="1">
      <alignment horizontal="center" wrapText="1"/>
    </xf>
    <xf numFmtId="0" fontId="12" fillId="0" borderId="41" xfId="0" applyFont="1" applyBorder="1" applyAlignment="1">
      <alignment horizontal="center"/>
    </xf>
    <xf numFmtId="0" fontId="12" fillId="0" borderId="36" xfId="0" applyFont="1" applyBorder="1" applyAlignment="1">
      <alignment horizontal="center"/>
    </xf>
    <xf numFmtId="0" fontId="12" fillId="0" borderId="32" xfId="0" applyFont="1" applyBorder="1" applyAlignment="1">
      <alignment horizontal="center"/>
    </xf>
    <xf numFmtId="0" fontId="3" fillId="8" borderId="4" xfId="0" applyFont="1" applyFill="1" applyBorder="1" applyAlignment="1">
      <alignment horizontal="center"/>
    </xf>
    <xf numFmtId="0" fontId="12" fillId="0" borderId="6" xfId="0" applyFont="1" applyBorder="1" applyAlignment="1">
      <alignment horizontal="center"/>
    </xf>
    <xf numFmtId="0" fontId="12" fillId="0" borderId="1" xfId="0" applyFont="1" applyBorder="1" applyAlignment="1">
      <alignment horizontal="center"/>
    </xf>
    <xf numFmtId="0" fontId="12" fillId="0" borderId="4" xfId="0" applyFont="1" applyBorder="1" applyAlignment="1">
      <alignment horizontal="center"/>
    </xf>
    <xf numFmtId="0" fontId="12" fillId="0" borderId="3" xfId="0" applyFont="1" applyBorder="1" applyAlignment="1">
      <alignment horizontal="left"/>
    </xf>
    <xf numFmtId="0" fontId="12" fillId="0" borderId="5" xfId="0" applyFont="1" applyBorder="1" applyAlignment="1">
      <alignment horizontal="left"/>
    </xf>
    <xf numFmtId="0" fontId="5" fillId="0" borderId="7" xfId="0" applyFont="1" applyBorder="1" applyAlignment="1">
      <alignment horizontal="center"/>
    </xf>
    <xf numFmtId="0" fontId="21" fillId="0" borderId="7" xfId="0" applyFont="1" applyBorder="1" applyAlignment="1">
      <alignment horizontal="left" vertical="top" wrapText="1"/>
    </xf>
    <xf numFmtId="0" fontId="21" fillId="0" borderId="0" xfId="0" applyFont="1" applyAlignment="1">
      <alignment horizontal="left" vertical="top" wrapText="1"/>
    </xf>
    <xf numFmtId="0" fontId="5" fillId="20" borderId="41" xfId="0" applyFont="1" applyFill="1" applyBorder="1" applyAlignment="1">
      <alignment horizontal="center"/>
    </xf>
    <xf numFmtId="0" fontId="5" fillId="20" borderId="36" xfId="0" applyFont="1" applyFill="1" applyBorder="1" applyAlignment="1">
      <alignment horizontal="center"/>
    </xf>
    <xf numFmtId="0" fontId="5" fillId="20" borderId="32" xfId="0" applyFont="1" applyFill="1" applyBorder="1" applyAlignment="1">
      <alignment horizontal="center"/>
    </xf>
    <xf numFmtId="0" fontId="24" fillId="26" borderId="41" xfId="0" applyFont="1" applyFill="1" applyBorder="1" applyAlignment="1">
      <alignment horizontal="center"/>
    </xf>
    <xf numFmtId="0" fontId="24" fillId="26" borderId="36" xfId="0" applyFont="1" applyFill="1" applyBorder="1" applyAlignment="1">
      <alignment horizontal="center"/>
    </xf>
    <xf numFmtId="0" fontId="24" fillId="26" borderId="32" xfId="0" applyFont="1" applyFill="1" applyBorder="1" applyAlignment="1">
      <alignment horizontal="center"/>
    </xf>
    <xf numFmtId="0" fontId="1" fillId="0" borderId="0" xfId="0" applyFont="1" applyAlignment="1">
      <alignment horizontal="center" wrapText="1"/>
    </xf>
    <xf numFmtId="0" fontId="12" fillId="7" borderId="2" xfId="0" applyFont="1" applyFill="1" applyBorder="1" applyAlignment="1">
      <alignment horizontal="center" wrapText="1"/>
    </xf>
    <xf numFmtId="0" fontId="12" fillId="7" borderId="7" xfId="0" applyFont="1" applyFill="1" applyBorder="1" applyAlignment="1">
      <alignment horizontal="center" wrapText="1"/>
    </xf>
    <xf numFmtId="0" fontId="1" fillId="0" borderId="0" xfId="0" applyFont="1" applyAlignment="1">
      <alignment horizontal="left" vertical="top" wrapText="1"/>
    </xf>
    <xf numFmtId="0" fontId="2" fillId="7" borderId="3" xfId="0" applyFont="1" applyFill="1" applyBorder="1" applyAlignment="1">
      <alignment horizontal="center" wrapText="1"/>
    </xf>
    <xf numFmtId="0" fontId="2" fillId="7" borderId="5" xfId="0" applyFont="1" applyFill="1" applyBorder="1" applyAlignment="1">
      <alignment horizontal="center" wrapText="1"/>
    </xf>
    <xf numFmtId="0" fontId="2" fillId="7" borderId="1" xfId="0" applyFont="1" applyFill="1" applyBorder="1" applyAlignment="1">
      <alignment horizontal="center" wrapText="1"/>
    </xf>
    <xf numFmtId="0" fontId="2" fillId="7" borderId="0" xfId="0" applyFont="1" applyFill="1" applyAlignment="1">
      <alignment horizontal="center" wrapText="1"/>
    </xf>
    <xf numFmtId="0" fontId="1" fillId="7" borderId="3" xfId="0" applyFont="1" applyFill="1" applyBorder="1" applyAlignment="1">
      <alignment horizontal="center"/>
    </xf>
    <xf numFmtId="0" fontId="1" fillId="7" borderId="5" xfId="0" applyFont="1" applyFill="1" applyBorder="1" applyAlignment="1">
      <alignment horizontal="center"/>
    </xf>
    <xf numFmtId="0" fontId="1" fillId="7" borderId="3" xfId="0" applyFont="1" applyFill="1" applyBorder="1" applyAlignment="1">
      <alignment horizontal="center" wrapText="1"/>
    </xf>
    <xf numFmtId="0" fontId="1" fillId="7" borderId="5" xfId="0" applyFont="1" applyFill="1" applyBorder="1" applyAlignment="1">
      <alignment horizontal="center" wrapText="1"/>
    </xf>
    <xf numFmtId="0" fontId="1" fillId="7" borderId="6" xfId="0" applyFont="1" applyFill="1" applyBorder="1" applyAlignment="1">
      <alignment horizontal="center" wrapText="1"/>
    </xf>
    <xf numFmtId="0" fontId="42" fillId="7" borderId="3" xfId="0" applyFont="1" applyFill="1" applyBorder="1" applyAlignment="1">
      <alignment horizontal="center"/>
    </xf>
    <xf numFmtId="0" fontId="42" fillId="7" borderId="5" xfId="0" applyFont="1" applyFill="1" applyBorder="1" applyAlignment="1">
      <alignment horizontal="center"/>
    </xf>
    <xf numFmtId="0" fontId="42" fillId="7" borderId="6" xfId="0" applyFont="1" applyFill="1" applyBorder="1" applyAlignment="1">
      <alignment horizontal="center"/>
    </xf>
    <xf numFmtId="0" fontId="1" fillId="7" borderId="35" xfId="0" applyFont="1" applyFill="1" applyBorder="1" applyAlignment="1">
      <alignment horizontal="center"/>
    </xf>
    <xf numFmtId="0" fontId="1" fillId="7" borderId="6" xfId="0" applyFont="1" applyFill="1" applyBorder="1" applyAlignment="1">
      <alignment horizontal="center"/>
    </xf>
    <xf numFmtId="0" fontId="1" fillId="7" borderId="14" xfId="0" applyFont="1" applyFill="1" applyBorder="1" applyAlignment="1">
      <alignment horizontal="center"/>
    </xf>
    <xf numFmtId="0" fontId="1" fillId="7" borderId="12" xfId="0" applyFont="1" applyFill="1" applyBorder="1" applyAlignment="1">
      <alignment horizontal="center"/>
    </xf>
    <xf numFmtId="0" fontId="3" fillId="0" borderId="0" xfId="0" applyFont="1" applyAlignment="1">
      <alignment horizontal="left" vertical="center" wrapText="1"/>
    </xf>
    <xf numFmtId="3" fontId="12" fillId="0" borderId="0" xfId="0" applyNumberFormat="1" applyFont="1" applyAlignment="1">
      <alignment horizontal="left" wrapText="1"/>
    </xf>
    <xf numFmtId="3" fontId="12" fillId="0" borderId="0" xfId="0" applyNumberFormat="1" applyFont="1" applyAlignment="1">
      <alignment horizontal="left"/>
    </xf>
    <xf numFmtId="0" fontId="3" fillId="0" borderId="7" xfId="0" applyFont="1" applyBorder="1" applyAlignment="1">
      <alignment horizontal="center"/>
    </xf>
    <xf numFmtId="0" fontId="3" fillId="0" borderId="0" xfId="0" applyFont="1" applyAlignment="1">
      <alignment vertical="center" wrapText="1"/>
    </xf>
    <xf numFmtId="0" fontId="3" fillId="0" borderId="0" xfId="0" applyFont="1" applyAlignment="1">
      <alignment vertical="center"/>
    </xf>
    <xf numFmtId="0" fontId="3" fillId="12" borderId="0" xfId="0" applyFont="1" applyFill="1" applyAlignment="1">
      <alignment horizontal="left" vertical="top" wrapText="1"/>
    </xf>
    <xf numFmtId="1" fontId="46" fillId="0" borderId="50" xfId="0" applyNumberFormat="1" applyFont="1" applyBorder="1" applyAlignment="1">
      <alignment horizontal="center" vertical="top"/>
    </xf>
    <xf numFmtId="1" fontId="46" fillId="0" borderId="0" xfId="0" applyNumberFormat="1" applyFont="1" applyAlignment="1">
      <alignment horizontal="center" vertical="top"/>
    </xf>
    <xf numFmtId="1" fontId="46" fillId="0" borderId="41" xfId="0" applyNumberFormat="1" applyFont="1" applyBorder="1" applyAlignment="1">
      <alignment horizontal="center" vertical="top"/>
    </xf>
    <xf numFmtId="1" fontId="46" fillId="0" borderId="36" xfId="0" applyNumberFormat="1" applyFont="1" applyBorder="1" applyAlignment="1">
      <alignment horizontal="center" vertical="top"/>
    </xf>
    <xf numFmtId="1" fontId="46" fillId="0" borderId="32" xfId="0" applyNumberFormat="1" applyFont="1" applyBorder="1" applyAlignment="1">
      <alignment horizontal="center" vertical="top"/>
    </xf>
    <xf numFmtId="0" fontId="12" fillId="36" borderId="0" xfId="0" applyFont="1" applyFill="1" applyAlignment="1">
      <alignment horizontal="center"/>
    </xf>
    <xf numFmtId="0" fontId="7" fillId="0" borderId="0" xfId="0" applyFont="1" applyAlignment="1">
      <alignment horizontal="center" wrapText="1"/>
    </xf>
    <xf numFmtId="0" fontId="7" fillId="41" borderId="0" xfId="0" applyFont="1" applyFill="1" applyAlignment="1">
      <alignment wrapText="1"/>
    </xf>
    <xf numFmtId="0" fontId="1" fillId="0" borderId="0" xfId="0" applyFont="1" applyAlignment="1">
      <alignment wrapText="1"/>
    </xf>
    <xf numFmtId="0" fontId="7" fillId="43" borderId="0" xfId="0" applyFont="1" applyFill="1" applyAlignment="1">
      <alignment horizontal="center" wrapText="1"/>
    </xf>
    <xf numFmtId="0" fontId="1" fillId="12" borderId="0" xfId="0" applyFont="1" applyFill="1" applyAlignment="1">
      <alignment horizontal="center" wrapText="1"/>
    </xf>
    <xf numFmtId="0" fontId="7" fillId="42" borderId="0" xfId="0" applyFont="1" applyFill="1" applyAlignment="1">
      <alignment horizontal="center" wrapText="1"/>
    </xf>
    <xf numFmtId="0" fontId="7" fillId="44" borderId="0" xfId="0" applyFont="1" applyFill="1" applyAlignment="1">
      <alignment horizontal="center" wrapText="1"/>
    </xf>
  </cellXfs>
  <cellStyles count="2">
    <cellStyle name="Hyperlink" xfId="1" builtinId="8"/>
    <cellStyle name="Normal" xfId="0" builtinId="0"/>
  </cellStyles>
  <dxfs count="79">
    <dxf>
      <fill>
        <patternFill>
          <bgColor theme="9" tint="0.79998168889431442"/>
        </patternFill>
      </fill>
    </dxf>
    <dxf>
      <fill>
        <patternFill>
          <bgColor theme="5" tint="0.39994506668294322"/>
        </patternFill>
      </fill>
    </dxf>
    <dxf>
      <fill>
        <patternFill>
          <bgColor theme="9" tint="0.59996337778862885"/>
        </patternFill>
      </fill>
    </dxf>
    <dxf>
      <fill>
        <patternFill>
          <bgColor theme="5" tint="0.59996337778862885"/>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2" justifyLastLine="0" shrinkToFit="0" readingOrder="0"/>
    </dxf>
    <dxf>
      <font>
        <strike val="0"/>
        <outline val="0"/>
        <shadow val="0"/>
        <u val="none"/>
        <vertAlign val="baseline"/>
        <color theme="1"/>
        <name val="Arial"/>
        <family val="2"/>
        <scheme val="none"/>
      </font>
    </dxf>
    <dxf>
      <font>
        <b val="0"/>
        <i val="0"/>
        <strike val="0"/>
        <condense val="0"/>
        <extend val="0"/>
        <outline val="0"/>
        <shadow val="0"/>
        <u val="none"/>
        <vertAlign val="baseline"/>
        <sz val="16"/>
        <color theme="1"/>
        <name val="Arial"/>
        <family val="2"/>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pivotCacheDefinition" Target="pivotCache/pivotCacheDefinition1.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'forecast comparison'!$E$51:$K$51</c:f>
              <c:numCache>
                <c:formatCode>General</c:formatCode>
                <c:ptCount val="7"/>
                <c:pt idx="0">
                  <c:v>2275.6980000000003</c:v>
                </c:pt>
                <c:pt idx="1">
                  <c:v>2266.1590000000001</c:v>
                </c:pt>
                <c:pt idx="2">
                  <c:v>2311.4161905010001</c:v>
                </c:pt>
                <c:pt idx="3">
                  <c:v>2317.3881905010003</c:v>
                </c:pt>
                <c:pt idx="4">
                  <c:v>2325.0881905010001</c:v>
                </c:pt>
                <c:pt idx="5">
                  <c:v>2332.7881905010004</c:v>
                </c:pt>
                <c:pt idx="6">
                  <c:v>2381.3600593835235</c:v>
                </c:pt>
              </c:numCache>
            </c:numRef>
          </c:val>
          <c:smooth val="0"/>
          <c:extLst>
            <c:ext xmlns:c16="http://schemas.microsoft.com/office/drawing/2014/chart" uri="{C3380CC4-5D6E-409C-BE32-E72D297353CC}">
              <c16:uniqueId val="{00000000-36F0-444F-BC6A-F4A145331280}"/>
            </c:ext>
          </c:extLst>
        </c:ser>
        <c:dLbls>
          <c:showLegendKey val="0"/>
          <c:showVal val="0"/>
          <c:showCatName val="0"/>
          <c:showSerName val="0"/>
          <c:showPercent val="0"/>
          <c:showBubbleSize val="0"/>
        </c:dLbls>
        <c:smooth val="0"/>
        <c:axId val="1239956400"/>
        <c:axId val="1239961680"/>
      </c:lineChart>
      <c:catAx>
        <c:axId val="123995640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961680"/>
        <c:crosses val="autoZero"/>
        <c:auto val="1"/>
        <c:lblAlgn val="ctr"/>
        <c:lblOffset val="100"/>
        <c:noMultiLvlLbl val="0"/>
      </c:catAx>
      <c:valAx>
        <c:axId val="1239961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956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'forecast comparison'!$E$19:$K$19</c:f>
              <c:numCache>
                <c:formatCode>0</c:formatCode>
                <c:ptCount val="7"/>
                <c:pt idx="0">
                  <c:v>2359.3871549999999</c:v>
                </c:pt>
                <c:pt idx="1">
                  <c:v>2351.4927557750002</c:v>
                </c:pt>
                <c:pt idx="2">
                  <c:v>2405.1255305538753</c:v>
                </c:pt>
                <c:pt idx="3">
                  <c:v>2420.7362699766445</c:v>
                </c:pt>
                <c:pt idx="4">
                  <c:v>2438.0917030965275</c:v>
                </c:pt>
                <c:pt idx="5">
                  <c:v>2447.3089133820104</c:v>
                </c:pt>
                <c:pt idx="6">
                  <c:v>2504.0627755769201</c:v>
                </c:pt>
              </c:numCache>
            </c:numRef>
          </c:val>
          <c:smooth val="0"/>
          <c:extLst>
            <c:ext xmlns:c16="http://schemas.microsoft.com/office/drawing/2014/chart" uri="{C3380CC4-5D6E-409C-BE32-E72D297353CC}">
              <c16:uniqueId val="{00000000-5615-4526-AEAD-CEEAA12C109D}"/>
            </c:ext>
          </c:extLst>
        </c:ser>
        <c:dLbls>
          <c:showLegendKey val="0"/>
          <c:showVal val="0"/>
          <c:showCatName val="0"/>
          <c:showSerName val="0"/>
          <c:showPercent val="0"/>
          <c:showBubbleSize val="0"/>
        </c:dLbls>
        <c:smooth val="0"/>
        <c:axId val="1239950160"/>
        <c:axId val="1239956880"/>
      </c:lineChart>
      <c:catAx>
        <c:axId val="123995016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956880"/>
        <c:crosses val="autoZero"/>
        <c:auto val="1"/>
        <c:lblAlgn val="ctr"/>
        <c:lblOffset val="100"/>
        <c:noMultiLvlLbl val="0"/>
      </c:catAx>
      <c:valAx>
        <c:axId val="12399568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950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MPI!$R$30:$AL$30</c:f>
              <c:numCache>
                <c:formatCode>#,##0.0</c:formatCode>
                <c:ptCount val="21"/>
                <c:pt idx="0">
                  <c:v>1378.6</c:v>
                </c:pt>
                <c:pt idx="1">
                  <c:v>1370.3</c:v>
                </c:pt>
                <c:pt idx="2">
                  <c:v>1373.8</c:v>
                </c:pt>
                <c:pt idx="3">
                  <c:v>1421.9</c:v>
                </c:pt>
                <c:pt idx="4">
                  <c:v>1425</c:v>
                </c:pt>
                <c:pt idx="5">
                  <c:v>1432.7</c:v>
                </c:pt>
                <c:pt idx="6">
                  <c:v>1435.9</c:v>
                </c:pt>
                <c:pt idx="7">
                  <c:v>1438.7</c:v>
                </c:pt>
                <c:pt idx="8">
                  <c:v>1444.6</c:v>
                </c:pt>
                <c:pt idx="9">
                  <c:v>1448.8</c:v>
                </c:pt>
                <c:pt idx="10">
                  <c:v>1452.8</c:v>
                </c:pt>
                <c:pt idx="11">
                  <c:v>1457.8</c:v>
                </c:pt>
                <c:pt idx="12">
                  <c:v>1470.6</c:v>
                </c:pt>
                <c:pt idx="13">
                  <c:v>1466.8</c:v>
                </c:pt>
                <c:pt idx="14" formatCode="0.00">
                  <c:v>1466.3</c:v>
                </c:pt>
                <c:pt idx="15" formatCode="0.00">
                  <c:v>1503.3</c:v>
                </c:pt>
                <c:pt idx="16" formatCode="0.00">
                  <c:v>1513.6</c:v>
                </c:pt>
                <c:pt idx="17" formatCode="0.00">
                  <c:v>1569.4</c:v>
                </c:pt>
                <c:pt idx="18" formatCode="0.00">
                  <c:v>1677</c:v>
                </c:pt>
                <c:pt idx="19" formatCode="0.00">
                  <c:v>1554.7</c:v>
                </c:pt>
                <c:pt idx="20" formatCode="0.00">
                  <c:v>1583.9</c:v>
                </c:pt>
              </c:numCache>
            </c:numRef>
          </c:val>
          <c:smooth val="0"/>
          <c:extLst>
            <c:ext xmlns:c16="http://schemas.microsoft.com/office/drawing/2014/chart" uri="{C3380CC4-5D6E-409C-BE32-E72D297353CC}">
              <c16:uniqueId val="{00000000-1882-4606-B839-7E5D7D47FD84}"/>
            </c:ext>
          </c:extLst>
        </c:ser>
        <c:dLbls>
          <c:showLegendKey val="0"/>
          <c:showVal val="0"/>
          <c:showCatName val="0"/>
          <c:showSerName val="0"/>
          <c:showPercent val="0"/>
          <c:showBubbleSize val="0"/>
        </c:dLbls>
        <c:smooth val="0"/>
        <c:axId val="1820319727"/>
        <c:axId val="1820323087"/>
      </c:lineChart>
      <c:catAx>
        <c:axId val="182031972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323087"/>
        <c:crosses val="autoZero"/>
        <c:auto val="1"/>
        <c:lblAlgn val="ctr"/>
        <c:lblOffset val="100"/>
        <c:noMultiLvlLbl val="0"/>
      </c:catAx>
      <c:valAx>
        <c:axId val="1820323087"/>
        <c:scaling>
          <c:orientation val="minMax"/>
          <c:min val="13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319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marker>
            <c:symbol val="none"/>
          </c:marker>
          <c:val>
            <c:numRef>
              <c:f>'Supply Side IRA'!$S$12:$AH$12</c:f>
              <c:numCache>
                <c:formatCode>0.0</c:formatCode>
                <c:ptCount val="16"/>
                <c:pt idx="0">
                  <c:v>4.0506371546650453</c:v>
                </c:pt>
                <c:pt idx="1">
                  <c:v>6.7510619244417409</c:v>
                </c:pt>
                <c:pt idx="2">
                  <c:v>25.428999915397224</c:v>
                </c:pt>
                <c:pt idx="3">
                  <c:v>38.481052969317929</c:v>
                </c:pt>
                <c:pt idx="4">
                  <c:v>51.308070625757232</c:v>
                </c:pt>
                <c:pt idx="5">
                  <c:v>56.236345830599703</c:v>
                </c:pt>
                <c:pt idx="6">
                  <c:v>63.685017487233758</c:v>
                </c:pt>
                <c:pt idx="7">
                  <c:v>69.310902424268548</c:v>
                </c:pt>
                <c:pt idx="8">
                  <c:v>64.357873325703125</c:v>
                </c:pt>
                <c:pt idx="9">
                  <c:v>57.18149450002155</c:v>
                </c:pt>
                <c:pt idx="10">
                  <c:v>59.094295378613374</c:v>
                </c:pt>
                <c:pt idx="11">
                  <c:v>70.233547553942245</c:v>
                </c:pt>
                <c:pt idx="12">
                  <c:v>81.462813888263668</c:v>
                </c:pt>
                <c:pt idx="13">
                  <c:v>86.188557235372897</c:v>
                </c:pt>
                <c:pt idx="14">
                  <c:v>105.31656602129117</c:v>
                </c:pt>
                <c:pt idx="15">
                  <c:v>120.73149074876648</c:v>
                </c:pt>
              </c:numCache>
            </c:numRef>
          </c:val>
          <c:smooth val="0"/>
          <c:extLst>
            <c:ext xmlns:c16="http://schemas.microsoft.com/office/drawing/2014/chart" uri="{C3380CC4-5D6E-409C-BE32-E72D297353CC}">
              <c16:uniqueId val="{00000003-B859-431C-B6BE-C2953939C774}"/>
            </c:ext>
          </c:extLst>
        </c:ser>
        <c:ser>
          <c:idx val="0"/>
          <c:order val="1"/>
          <c:spPr>
            <a:ln w="28575" cap="rnd">
              <a:solidFill>
                <a:schemeClr val="accent1"/>
              </a:solidFill>
              <a:round/>
            </a:ln>
            <a:effectLst/>
          </c:spPr>
          <c:marker>
            <c:symbol val="none"/>
          </c:marker>
          <c:val>
            <c:numRef>
              <c:f>'Supply Side IRA'!$S$15:$AN$15</c:f>
              <c:numCache>
                <c:formatCode>0.0</c:formatCode>
                <c:ptCount val="22"/>
              </c:numCache>
            </c:numRef>
          </c:val>
          <c:smooth val="0"/>
          <c:extLst>
            <c:ext xmlns:c16="http://schemas.microsoft.com/office/drawing/2014/chart" uri="{C3380CC4-5D6E-409C-BE32-E72D297353CC}">
              <c16:uniqueId val="{00000002-B859-431C-B6BE-C2953939C774}"/>
            </c:ext>
          </c:extLst>
        </c:ser>
        <c:dLbls>
          <c:showLegendKey val="0"/>
          <c:showVal val="0"/>
          <c:showCatName val="0"/>
          <c:showSerName val="0"/>
          <c:showPercent val="0"/>
          <c:showBubbleSize val="0"/>
        </c:dLbls>
        <c:smooth val="0"/>
        <c:axId val="549930015"/>
        <c:axId val="373845503"/>
      </c:lineChart>
      <c:catAx>
        <c:axId val="5499300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45503"/>
        <c:crosses val="autoZero"/>
        <c:auto val="1"/>
        <c:lblAlgn val="ctr"/>
        <c:lblOffset val="100"/>
        <c:noMultiLvlLbl val="0"/>
      </c:catAx>
      <c:valAx>
        <c:axId val="3738455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3001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'Supply Side IRA'!$T$16:$AG$16</c:f>
              <c:numCache>
                <c:formatCode>0.0</c:formatCode>
                <c:ptCount val="14"/>
                <c:pt idx="0">
                  <c:v>6.7510619244417409</c:v>
                </c:pt>
                <c:pt idx="1">
                  <c:v>25.428999915397224</c:v>
                </c:pt>
                <c:pt idx="2">
                  <c:v>38.481052969317929</c:v>
                </c:pt>
                <c:pt idx="3">
                  <c:v>51.308070625757232</c:v>
                </c:pt>
                <c:pt idx="4">
                  <c:v>56.236345830599703</c:v>
                </c:pt>
                <c:pt idx="5">
                  <c:v>63.685017487233758</c:v>
                </c:pt>
                <c:pt idx="6">
                  <c:v>69.310902424268548</c:v>
                </c:pt>
                <c:pt idx="7">
                  <c:v>64.357873325703125</c:v>
                </c:pt>
                <c:pt idx="8">
                  <c:v>57.18149450002155</c:v>
                </c:pt>
                <c:pt idx="9">
                  <c:v>59.094295378613374</c:v>
                </c:pt>
                <c:pt idx="10">
                  <c:v>70.233547553942245</c:v>
                </c:pt>
                <c:pt idx="11">
                  <c:v>81.462813888263668</c:v>
                </c:pt>
                <c:pt idx="12">
                  <c:v>86.188557235372897</c:v>
                </c:pt>
                <c:pt idx="13">
                  <c:v>105.31656602129117</c:v>
                </c:pt>
              </c:numCache>
            </c:numRef>
          </c:val>
          <c:smooth val="0"/>
          <c:extLst>
            <c:ext xmlns:c16="http://schemas.microsoft.com/office/drawing/2014/chart" uri="{C3380CC4-5D6E-409C-BE32-E72D297353CC}">
              <c16:uniqueId val="{00000000-A02C-435A-98E2-0549EC4F1D6D}"/>
            </c:ext>
          </c:extLst>
        </c:ser>
        <c:ser>
          <c:idx val="1"/>
          <c:order val="1"/>
          <c:spPr>
            <a:ln w="28575" cap="rnd">
              <a:solidFill>
                <a:schemeClr val="accent2"/>
              </a:solidFill>
              <a:round/>
            </a:ln>
            <a:effectLst/>
          </c:spPr>
          <c:marker>
            <c:symbol val="none"/>
          </c:marker>
          <c:val>
            <c:numRef>
              <c:f>'Supply Side IRA'!$T$17:$AG$17</c:f>
              <c:numCache>
                <c:formatCode>General</c:formatCode>
                <c:ptCount val="14"/>
              </c:numCache>
            </c:numRef>
          </c:val>
          <c:smooth val="0"/>
          <c:extLst>
            <c:ext xmlns:c16="http://schemas.microsoft.com/office/drawing/2014/chart" uri="{C3380CC4-5D6E-409C-BE32-E72D297353CC}">
              <c16:uniqueId val="{00000001-A02C-435A-98E2-0549EC4F1D6D}"/>
            </c:ext>
          </c:extLst>
        </c:ser>
        <c:dLbls>
          <c:showLegendKey val="0"/>
          <c:showVal val="0"/>
          <c:showCatName val="0"/>
          <c:showSerName val="0"/>
          <c:showPercent val="0"/>
          <c:showBubbleSize val="0"/>
        </c:dLbls>
        <c:smooth val="0"/>
        <c:axId val="379482351"/>
        <c:axId val="554282767"/>
      </c:lineChart>
      <c:catAx>
        <c:axId val="3794823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282767"/>
        <c:crosses val="autoZero"/>
        <c:auto val="1"/>
        <c:lblAlgn val="ctr"/>
        <c:lblOffset val="100"/>
        <c:noMultiLvlLbl val="0"/>
      </c:catAx>
      <c:valAx>
        <c:axId val="5542827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82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'Social Benefits (BETA VERSION)'!$D$98:$V$98</c:f>
              <c:numCache>
                <c:formatCode>0</c:formatCode>
                <c:ptCount val="19"/>
                <c:pt idx="0">
                  <c:v>812.1</c:v>
                </c:pt>
                <c:pt idx="1">
                  <c:v>833.1</c:v>
                </c:pt>
                <c:pt idx="2">
                  <c:v>845.8</c:v>
                </c:pt>
                <c:pt idx="3">
                  <c:v>854.4</c:v>
                </c:pt>
                <c:pt idx="4">
                  <c:v>858.7</c:v>
                </c:pt>
                <c:pt idx="5">
                  <c:v>872</c:v>
                </c:pt>
                <c:pt idx="6">
                  <c:v>1795.8</c:v>
                </c:pt>
                <c:pt idx="7">
                  <c:v>1656.8</c:v>
                </c:pt>
                <c:pt idx="8">
                  <c:v>1191.7</c:v>
                </c:pt>
                <c:pt idx="9">
                  <c:v>1473.1</c:v>
                </c:pt>
                <c:pt idx="10">
                  <c:v>1346.4</c:v>
                </c:pt>
                <c:pt idx="11">
                  <c:v>1318.833333333333</c:v>
                </c:pt>
                <c:pt idx="12">
                  <c:v>1157.333333333333</c:v>
                </c:pt>
                <c:pt idx="13">
                  <c:v>1036.4000000000001</c:v>
                </c:pt>
                <c:pt idx="14">
                  <c:v>1042.6000000000001</c:v>
                </c:pt>
                <c:pt idx="15">
                  <c:v>1054.8</c:v>
                </c:pt>
                <c:pt idx="16">
                  <c:v>1078.7</c:v>
                </c:pt>
                <c:pt idx="17">
                  <c:v>1045.2</c:v>
                </c:pt>
                <c:pt idx="18">
                  <c:v>1066.76</c:v>
                </c:pt>
              </c:numCache>
            </c:numRef>
          </c:val>
          <c:smooth val="0"/>
          <c:extLst>
            <c:ext xmlns:c16="http://schemas.microsoft.com/office/drawing/2014/chart" uri="{C3380CC4-5D6E-409C-BE32-E72D297353CC}">
              <c16:uniqueId val="{00000000-C884-4DFE-8853-1C7757AECB1F}"/>
            </c:ext>
          </c:extLst>
        </c:ser>
        <c:dLbls>
          <c:showLegendKey val="0"/>
          <c:showVal val="0"/>
          <c:showCatName val="0"/>
          <c:showSerName val="0"/>
          <c:showPercent val="0"/>
          <c:showBubbleSize val="0"/>
        </c:dLbls>
        <c:smooth val="0"/>
        <c:axId val="471157935"/>
        <c:axId val="471141711"/>
      </c:lineChart>
      <c:catAx>
        <c:axId val="4711579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41711"/>
        <c:crosses val="autoZero"/>
        <c:auto val="1"/>
        <c:lblAlgn val="ctr"/>
        <c:lblOffset val="100"/>
        <c:noMultiLvlLbl val="0"/>
      </c:catAx>
      <c:valAx>
        <c:axId val="471141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5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hyperlink" Target="#MPI!A1"/></Relationships>
</file>

<file path=xl/drawings/_rels/drawing7.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8.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9.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0.xml.rels><?xml version="1.0" encoding="UTF-8" standalone="yes"?>
<Relationships xmlns="http://schemas.openxmlformats.org/package/2006/relationships"><Relationship Id="rId1" Type="http://schemas.openxmlformats.org/officeDocument/2006/relationships/hyperlink" Target="#MPI!A1"/></Relationships>
</file>

<file path=xl/drawings/_rels/drawing11.xml.rels><?xml version="1.0" encoding="UTF-8" standalone="yes"?>
<Relationships xmlns="http://schemas.openxmlformats.org/package/2006/relationships"><Relationship Id="rId1" Type="http://schemas.openxmlformats.org/officeDocument/2006/relationships/hyperlink" Target="#MPI!A1"/></Relationships>
</file>

<file path=xl/drawings/_rels/drawing12.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3.xml.rels><?xml version="1.0" encoding="UTF-8" standalone="yes"?>
<Relationships xmlns="http://schemas.openxmlformats.org/package/2006/relationships"><Relationship Id="rId1" Type="http://schemas.openxmlformats.org/officeDocument/2006/relationships/hyperlink" Target="#MPI!A1"/></Relationships>
</file>

<file path=xl/drawings/_rels/drawing14.xml.rels><?xml version="1.0" encoding="UTF-8" standalone="yes"?>
<Relationships xmlns="http://schemas.openxmlformats.org/package/2006/relationships"><Relationship Id="rId1" Type="http://schemas.openxmlformats.org/officeDocument/2006/relationships/hyperlink" Target="#MPI!A1"/></Relationships>
</file>

<file path=xl/drawings/_rels/drawing15.xml.rels><?xml version="1.0" encoding="UTF-8" standalone="yes"?>
<Relationships xmlns="http://schemas.openxmlformats.org/package/2006/relationships"><Relationship Id="rId1" Type="http://schemas.openxmlformats.org/officeDocument/2006/relationships/hyperlink" Target="#MPI!A1"/></Relationships>
</file>

<file path=xl/drawings/_rels/drawing16.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1.png"/><Relationship Id="rId4" Type="http://schemas.openxmlformats.org/officeDocument/2006/relationships/hyperlink" Target="#'forecast comparison'!A1"/></Relationships>
</file>

<file path=xl/drawings/_rels/drawing17.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18.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19.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13</xdr:col>
      <xdr:colOff>501650</xdr:colOff>
      <xdr:row>35</xdr:row>
      <xdr:rowOff>125412</xdr:rowOff>
    </xdr:from>
    <xdr:to>
      <xdr:col>19</xdr:col>
      <xdr:colOff>501650</xdr:colOff>
      <xdr:row>50</xdr:row>
      <xdr:rowOff>150812</xdr:rowOff>
    </xdr:to>
    <xdr:graphicFrame macro="">
      <xdr:nvGraphicFramePr>
        <xdr:cNvPr id="2" name="Chart 1">
          <a:extLst>
            <a:ext uri="{FF2B5EF4-FFF2-40B4-BE49-F238E27FC236}">
              <a16:creationId xmlns:a16="http://schemas.microsoft.com/office/drawing/2014/main" id="{34AF91F6-F479-F82D-ED3B-DC426FE334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520700</xdr:colOff>
      <xdr:row>52</xdr:row>
      <xdr:rowOff>106362</xdr:rowOff>
    </xdr:from>
    <xdr:to>
      <xdr:col>19</xdr:col>
      <xdr:colOff>520700</xdr:colOff>
      <xdr:row>67</xdr:row>
      <xdr:rowOff>134937</xdr:rowOff>
    </xdr:to>
    <xdr:graphicFrame macro="">
      <xdr:nvGraphicFramePr>
        <xdr:cNvPr id="3" name="Chart 2">
          <a:extLst>
            <a:ext uri="{FF2B5EF4-FFF2-40B4-BE49-F238E27FC236}">
              <a16:creationId xmlns:a16="http://schemas.microsoft.com/office/drawing/2014/main" id="{9D499ECE-16C5-FC24-4C93-CFF6206FF6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10</xdr:col>
      <xdr:colOff>95250</xdr:colOff>
      <xdr:row>0</xdr:row>
      <xdr:rowOff>114300</xdr:rowOff>
    </xdr:from>
    <xdr:to>
      <xdr:col>11</xdr:col>
      <xdr:colOff>609600</xdr:colOff>
      <xdr:row>4</xdr:row>
      <xdr:rowOff>76200</xdr:rowOff>
    </xdr:to>
    <xdr:sp macro="" textlink="">
      <xdr:nvSpPr>
        <xdr:cNvPr id="407554" name="Text Box 1026" hidden="1">
          <a:extLst>
            <a:ext uri="{FF2B5EF4-FFF2-40B4-BE49-F238E27FC236}">
              <a16:creationId xmlns:a16="http://schemas.microsoft.com/office/drawing/2014/main" id="{E75DD7C3-CC01-832D-42F9-7E53ECBBB2AA}"/>
            </a:ext>
          </a:extLst>
        </xdr:cNvPr>
        <xdr:cNvSpPr txBox="1">
          <a:spLocks noChangeArrowheads="1"/>
        </xdr:cNvSpPr>
      </xdr:nvSpPr>
      <xdr:spPr bwMode="auto">
        <a:xfrm>
          <a:off x="11715750" y="114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11</xdr:col>
      <xdr:colOff>609600</xdr:colOff>
      <xdr:row>4</xdr:row>
      <xdr:rowOff>76200</xdr:rowOff>
    </xdr:to>
    <xdr:sp macro="" textlink="">
      <xdr:nvSpPr>
        <xdr:cNvPr id="407553" name="Text Box 1025" hidden="1">
          <a:extLst>
            <a:ext uri="{FF2B5EF4-FFF2-40B4-BE49-F238E27FC236}">
              <a16:creationId xmlns:a16="http://schemas.microsoft.com/office/drawing/2014/main" id="{255C547B-00CB-49BB-98B9-C264A1624B1F}"/>
            </a:ext>
          </a:extLst>
        </xdr:cNvPr>
        <xdr:cNvSpPr txBox="1">
          <a:spLocks noChangeArrowheads="1"/>
        </xdr:cNvSpPr>
      </xdr:nvSpPr>
      <xdr:spPr bwMode="auto">
        <a:xfrm>
          <a:off x="11715750" y="114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7" name="Text Box 3" hidden="1">
          <a:extLst>
            <a:ext uri="{FF2B5EF4-FFF2-40B4-BE49-F238E27FC236}">
              <a16:creationId xmlns:a16="http://schemas.microsoft.com/office/drawing/2014/main" id="{B65A979E-9BB7-97E5-5D94-DC0E243CFD4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2" name="Text Box 3" hidden="1">
          <a:extLst>
            <a:ext uri="{FF2B5EF4-FFF2-40B4-BE49-F238E27FC236}">
              <a16:creationId xmlns:a16="http://schemas.microsoft.com/office/drawing/2014/main" id="{8D42D086-D0DB-F84C-3B6B-349A015F87DC}"/>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3" name="Text Box 3" hidden="1">
          <a:extLst>
            <a:ext uri="{FF2B5EF4-FFF2-40B4-BE49-F238E27FC236}">
              <a16:creationId xmlns:a16="http://schemas.microsoft.com/office/drawing/2014/main" id="{72231C4F-67ED-0710-0CB4-DF3A4F46B3E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8" name="Text Box 4" hidden="1">
          <a:extLst>
            <a:ext uri="{FF2B5EF4-FFF2-40B4-BE49-F238E27FC236}">
              <a16:creationId xmlns:a16="http://schemas.microsoft.com/office/drawing/2014/main" id="{000F1114-0866-C078-EE28-969ADDF51E30}"/>
            </a:ext>
          </a:extLst>
        </xdr:cNvPr>
        <xdr:cNvSpPr txBox="1">
          <a:spLocks noChangeArrowheads="1"/>
        </xdr:cNvSpPr>
      </xdr:nvSpPr>
      <xdr:spPr bwMode="auto">
        <a:xfrm>
          <a:off x="11715750" y="114300"/>
          <a:ext cx="45466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4" name="Text Box 3" hidden="1">
          <a:extLst>
            <a:ext uri="{FF2B5EF4-FFF2-40B4-BE49-F238E27FC236}">
              <a16:creationId xmlns:a16="http://schemas.microsoft.com/office/drawing/2014/main" id="{DE70C771-2A8E-6E2E-3631-20B10DCD74FE}"/>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5" name="Text Box 3" hidden="1">
          <a:extLst>
            <a:ext uri="{FF2B5EF4-FFF2-40B4-BE49-F238E27FC236}">
              <a16:creationId xmlns:a16="http://schemas.microsoft.com/office/drawing/2014/main" id="{3F8D98D2-9C7E-F1CE-1672-53CB68CF093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6" name="Text Box 3" hidden="1">
          <a:extLst>
            <a:ext uri="{FF2B5EF4-FFF2-40B4-BE49-F238E27FC236}">
              <a16:creationId xmlns:a16="http://schemas.microsoft.com/office/drawing/2014/main" id="{B198546A-8A87-5C29-E0F8-C95658CC4FFD}"/>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7" name="Text Box 3" hidden="1">
          <a:extLst>
            <a:ext uri="{FF2B5EF4-FFF2-40B4-BE49-F238E27FC236}">
              <a16:creationId xmlns:a16="http://schemas.microsoft.com/office/drawing/2014/main" id="{D6EE26A2-3F36-DA44-B535-D44D2458EE23}"/>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26</xdr:col>
      <xdr:colOff>733011</xdr:colOff>
      <xdr:row>35</xdr:row>
      <xdr:rowOff>89315</xdr:rowOff>
    </xdr:from>
    <xdr:to>
      <xdr:col>32</xdr:col>
      <xdr:colOff>487708</xdr:colOff>
      <xdr:row>47</xdr:row>
      <xdr:rowOff>157232</xdr:rowOff>
    </xdr:to>
    <xdr:graphicFrame macro="">
      <xdr:nvGraphicFramePr>
        <xdr:cNvPr id="8" name="Chart 7">
          <a:extLst>
            <a:ext uri="{FF2B5EF4-FFF2-40B4-BE49-F238E27FC236}">
              <a16:creationId xmlns:a16="http://schemas.microsoft.com/office/drawing/2014/main" id="{C94E9101-D431-AA6C-CD87-41CE3B83B6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14</xdr:col>
      <xdr:colOff>0</xdr:colOff>
      <xdr:row>0</xdr:row>
      <xdr:rowOff>114300</xdr:rowOff>
    </xdr:from>
    <xdr:to>
      <xdr:col>15</xdr:col>
      <xdr:colOff>542925</xdr:colOff>
      <xdr:row>4</xdr:row>
      <xdr:rowOff>152400</xdr:rowOff>
    </xdr:to>
    <xdr:sp macro="" textlink="">
      <xdr:nvSpPr>
        <xdr:cNvPr id="363521" name="Text Box 1025" hidden="1">
          <a:extLst>
            <a:ext uri="{FF2B5EF4-FFF2-40B4-BE49-F238E27FC236}">
              <a16:creationId xmlns:a16="http://schemas.microsoft.com/office/drawing/2014/main" id="{C4582F29-6434-2C37-E058-0B9EC5B08A82}"/>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363522" name="Text Box 1026" hidden="1">
          <a:extLst>
            <a:ext uri="{FF2B5EF4-FFF2-40B4-BE49-F238E27FC236}">
              <a16:creationId xmlns:a16="http://schemas.microsoft.com/office/drawing/2014/main" id="{45E0A5A5-9294-D4A3-0DF5-F69514794BDE}"/>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1031" name="Text Box 7" hidden="1">
          <a:extLst>
            <a:ext uri="{FF2B5EF4-FFF2-40B4-BE49-F238E27FC236}">
              <a16:creationId xmlns:a16="http://schemas.microsoft.com/office/drawing/2014/main" id="{21710B01-CDB5-E523-9A3E-390C2DBE3164}"/>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1030" name="Text Box 6" hidden="1">
          <a:extLst>
            <a:ext uri="{FF2B5EF4-FFF2-40B4-BE49-F238E27FC236}">
              <a16:creationId xmlns:a16="http://schemas.microsoft.com/office/drawing/2014/main" id="{726BD858-8F93-EB02-3CEC-6F67BE18B7A0}"/>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1029" name="Text Box 5" hidden="1">
          <a:extLst>
            <a:ext uri="{FF2B5EF4-FFF2-40B4-BE49-F238E27FC236}">
              <a16:creationId xmlns:a16="http://schemas.microsoft.com/office/drawing/2014/main" id="{B110EA28-FABC-A5CA-D3CF-C8802A3B94AB}"/>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1028" name="Text Box 4" hidden="1">
          <a:extLst>
            <a:ext uri="{FF2B5EF4-FFF2-40B4-BE49-F238E27FC236}">
              <a16:creationId xmlns:a16="http://schemas.microsoft.com/office/drawing/2014/main" id="{B9A12AE7-C74D-8ACD-4705-3A207FCFF031}"/>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2" name="Text Box 5" hidden="1">
          <a:extLst>
            <a:ext uri="{FF2B5EF4-FFF2-40B4-BE49-F238E27FC236}">
              <a16:creationId xmlns:a16="http://schemas.microsoft.com/office/drawing/2014/main" id="{8E692E4C-B57B-D863-7CCA-555F044335EF}"/>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3" name="Text Box 4" hidden="1">
          <a:extLst>
            <a:ext uri="{FF2B5EF4-FFF2-40B4-BE49-F238E27FC236}">
              <a16:creationId xmlns:a16="http://schemas.microsoft.com/office/drawing/2014/main" id="{F6D290EA-876C-598B-37CF-FC87B10AB50B}"/>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4" name="Text Box 5" hidden="1">
          <a:extLst>
            <a:ext uri="{FF2B5EF4-FFF2-40B4-BE49-F238E27FC236}">
              <a16:creationId xmlns:a16="http://schemas.microsoft.com/office/drawing/2014/main" id="{075F1CEA-707F-4B06-B72B-DDACFC87F452}"/>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5" name="Text Box 4" hidden="1">
          <a:extLst>
            <a:ext uri="{FF2B5EF4-FFF2-40B4-BE49-F238E27FC236}">
              <a16:creationId xmlns:a16="http://schemas.microsoft.com/office/drawing/2014/main" id="{B85E49AE-FDE1-3905-F652-6AC28D6200BE}"/>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6" name="Text Box 5" hidden="1">
          <a:extLst>
            <a:ext uri="{FF2B5EF4-FFF2-40B4-BE49-F238E27FC236}">
              <a16:creationId xmlns:a16="http://schemas.microsoft.com/office/drawing/2014/main" id="{409313C2-9048-2919-1AAE-AA1A42AF977B}"/>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7" name="Text Box 4" hidden="1">
          <a:extLst>
            <a:ext uri="{FF2B5EF4-FFF2-40B4-BE49-F238E27FC236}">
              <a16:creationId xmlns:a16="http://schemas.microsoft.com/office/drawing/2014/main" id="{0C8AFBF9-0AE8-0618-43CD-8DEBA6655552}"/>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695325</xdr:colOff>
      <xdr:row>0</xdr:row>
      <xdr:rowOff>114300</xdr:rowOff>
    </xdr:from>
    <xdr:to>
      <xdr:col>13</xdr:col>
      <xdr:colOff>539750</xdr:colOff>
      <xdr:row>4</xdr:row>
      <xdr:rowOff>152400</xdr:rowOff>
    </xdr:to>
    <xdr:sp macro="" textlink="">
      <xdr:nvSpPr>
        <xdr:cNvPr id="8" name="Text Box 5" hidden="1">
          <a:extLst>
            <a:ext uri="{FF2B5EF4-FFF2-40B4-BE49-F238E27FC236}">
              <a16:creationId xmlns:a16="http://schemas.microsoft.com/office/drawing/2014/main" id="{42A28683-48A1-DD87-7AEC-83EF8D095126}"/>
            </a:ext>
          </a:extLst>
        </xdr:cNvPr>
        <xdr:cNvSpPr txBox="1">
          <a:spLocks noChangeArrowheads="1"/>
        </xdr:cNvSpPr>
      </xdr:nvSpPr>
      <xdr:spPr bwMode="auto">
        <a:xfrm>
          <a:off x="12096750" y="1143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695325</xdr:colOff>
      <xdr:row>2</xdr:row>
      <xdr:rowOff>114300</xdr:rowOff>
    </xdr:from>
    <xdr:to>
      <xdr:col>13</xdr:col>
      <xdr:colOff>539750</xdr:colOff>
      <xdr:row>6</xdr:row>
      <xdr:rowOff>152400</xdr:rowOff>
    </xdr:to>
    <xdr:sp macro="" textlink="">
      <xdr:nvSpPr>
        <xdr:cNvPr id="9" name="Text Box 4" hidden="1">
          <a:extLst>
            <a:ext uri="{FF2B5EF4-FFF2-40B4-BE49-F238E27FC236}">
              <a16:creationId xmlns:a16="http://schemas.microsoft.com/office/drawing/2014/main" id="{9E2E11C0-996A-CA8F-972E-B541721B0197}"/>
            </a:ext>
          </a:extLst>
        </xdr:cNvPr>
        <xdr:cNvSpPr txBox="1">
          <a:spLocks noChangeArrowheads="1"/>
        </xdr:cNvSpPr>
      </xdr:nvSpPr>
      <xdr:spPr bwMode="auto">
        <a:xfrm>
          <a:off x="12096750" y="4826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0" name="Text Box 7" hidden="1">
          <a:extLst>
            <a:ext uri="{FF2B5EF4-FFF2-40B4-BE49-F238E27FC236}">
              <a16:creationId xmlns:a16="http://schemas.microsoft.com/office/drawing/2014/main" id="{B4AE98C2-C83E-CAEC-E732-82773BDAE54D}"/>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1" name="Text Box 6" hidden="1">
          <a:extLst>
            <a:ext uri="{FF2B5EF4-FFF2-40B4-BE49-F238E27FC236}">
              <a16:creationId xmlns:a16="http://schemas.microsoft.com/office/drawing/2014/main" id="{C0D230E4-6506-DC87-39F7-0AC646514704}"/>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2" name="Text Box 5" hidden="1">
          <a:extLst>
            <a:ext uri="{FF2B5EF4-FFF2-40B4-BE49-F238E27FC236}">
              <a16:creationId xmlns:a16="http://schemas.microsoft.com/office/drawing/2014/main" id="{1EEB87CC-224B-3694-B195-29F5B6F92522}"/>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3" name="Text Box 4" hidden="1">
          <a:extLst>
            <a:ext uri="{FF2B5EF4-FFF2-40B4-BE49-F238E27FC236}">
              <a16:creationId xmlns:a16="http://schemas.microsoft.com/office/drawing/2014/main" id="{E91E7D93-09ED-CD92-7345-6DBFAF7C8ECB}"/>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4" name="Text Box 5" hidden="1">
          <a:extLst>
            <a:ext uri="{FF2B5EF4-FFF2-40B4-BE49-F238E27FC236}">
              <a16:creationId xmlns:a16="http://schemas.microsoft.com/office/drawing/2014/main" id="{2FFCD4F6-130C-1076-6FA0-5D8ED4A51460}"/>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5" name="Text Box 4" hidden="1">
          <a:extLst>
            <a:ext uri="{FF2B5EF4-FFF2-40B4-BE49-F238E27FC236}">
              <a16:creationId xmlns:a16="http://schemas.microsoft.com/office/drawing/2014/main" id="{C2FA62FD-D123-4255-A48E-5EA8491EF4E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6" name="Text Box 5" hidden="1">
          <a:extLst>
            <a:ext uri="{FF2B5EF4-FFF2-40B4-BE49-F238E27FC236}">
              <a16:creationId xmlns:a16="http://schemas.microsoft.com/office/drawing/2014/main" id="{13659BFF-9669-B3C6-2B10-1228CFF2647B}"/>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7" name="Text Box 4" hidden="1">
          <a:extLst>
            <a:ext uri="{FF2B5EF4-FFF2-40B4-BE49-F238E27FC236}">
              <a16:creationId xmlns:a16="http://schemas.microsoft.com/office/drawing/2014/main" id="{AAFE44A8-4598-4579-92C0-8E7860CA7DE9}"/>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8" name="Text Box 5" hidden="1">
          <a:extLst>
            <a:ext uri="{FF2B5EF4-FFF2-40B4-BE49-F238E27FC236}">
              <a16:creationId xmlns:a16="http://schemas.microsoft.com/office/drawing/2014/main" id="{32B19FAE-E3D7-9345-0DA7-3EE1F0EB5A3F}"/>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9" name="Text Box 4" hidden="1">
          <a:extLst>
            <a:ext uri="{FF2B5EF4-FFF2-40B4-BE49-F238E27FC236}">
              <a16:creationId xmlns:a16="http://schemas.microsoft.com/office/drawing/2014/main" id="{591ACBB3-0734-9E9F-4CC5-51ADA4948EE7}"/>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20" name="Text Box 5" hidden="1">
          <a:extLst>
            <a:ext uri="{FF2B5EF4-FFF2-40B4-BE49-F238E27FC236}">
              <a16:creationId xmlns:a16="http://schemas.microsoft.com/office/drawing/2014/main" id="{FAA84F7E-335A-D9F5-7BCD-B99F4352C438}"/>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21" name="Text Box 4" hidden="1">
          <a:extLst>
            <a:ext uri="{FF2B5EF4-FFF2-40B4-BE49-F238E27FC236}">
              <a16:creationId xmlns:a16="http://schemas.microsoft.com/office/drawing/2014/main" id="{5BDD403E-89FC-9E72-27BD-7633290CC53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12</xdr:col>
      <xdr:colOff>76200</xdr:colOff>
      <xdr:row>8</xdr:row>
      <xdr:rowOff>114300</xdr:rowOff>
    </xdr:from>
    <xdr:to>
      <xdr:col>13</xdr:col>
      <xdr:colOff>609600</xdr:colOff>
      <xdr:row>11</xdr:row>
      <xdr:rowOff>304800</xdr:rowOff>
    </xdr:to>
    <xdr:sp macro="" textlink="">
      <xdr:nvSpPr>
        <xdr:cNvPr id="291841" name="Text Box 1025" hidden="1">
          <a:extLst>
            <a:ext uri="{FF2B5EF4-FFF2-40B4-BE49-F238E27FC236}">
              <a16:creationId xmlns:a16="http://schemas.microsoft.com/office/drawing/2014/main" id="{59F931C4-3CEC-488C-9295-DD87FFBF6346}"/>
            </a:ext>
          </a:extLst>
        </xdr:cNvPr>
        <xdr:cNvSpPr txBox="1">
          <a:spLocks noChangeArrowheads="1"/>
        </xdr:cNvSpPr>
      </xdr:nvSpPr>
      <xdr:spPr bwMode="auto">
        <a:xfrm>
          <a:off x="17145000" y="183832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027" name="Text Box 3" hidden="1">
          <a:extLst>
            <a:ext uri="{FF2B5EF4-FFF2-40B4-BE49-F238E27FC236}">
              <a16:creationId xmlns:a16="http://schemas.microsoft.com/office/drawing/2014/main" id="{2CFB6872-35A6-4E3E-9831-117F30FCB99D}"/>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2" name="Text Box 3" hidden="1">
          <a:extLst>
            <a:ext uri="{FF2B5EF4-FFF2-40B4-BE49-F238E27FC236}">
              <a16:creationId xmlns:a16="http://schemas.microsoft.com/office/drawing/2014/main" id="{5B78127B-FDE8-4D1C-B9BF-3B0959B5B31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 name="Text Box 3" hidden="1">
          <a:extLst>
            <a:ext uri="{FF2B5EF4-FFF2-40B4-BE49-F238E27FC236}">
              <a16:creationId xmlns:a16="http://schemas.microsoft.com/office/drawing/2014/main" id="{4EF50001-7DFD-42E6-BEEF-D54C3CA59439}"/>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4" name="Text Box 3" hidden="1">
          <a:extLst>
            <a:ext uri="{FF2B5EF4-FFF2-40B4-BE49-F238E27FC236}">
              <a16:creationId xmlns:a16="http://schemas.microsoft.com/office/drawing/2014/main" id="{CB83A888-A7B4-47BA-A453-3120A87CED8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5" name="Text Box 3" hidden="1">
          <a:extLst>
            <a:ext uri="{FF2B5EF4-FFF2-40B4-BE49-F238E27FC236}">
              <a16:creationId xmlns:a16="http://schemas.microsoft.com/office/drawing/2014/main" id="{368DB186-4601-4007-9006-74EA267F466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6" name="Text Box 3" hidden="1">
          <a:extLst>
            <a:ext uri="{FF2B5EF4-FFF2-40B4-BE49-F238E27FC236}">
              <a16:creationId xmlns:a16="http://schemas.microsoft.com/office/drawing/2014/main" id="{BE5A5817-214A-43F9-B5F1-9052966DA3B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7" name="Text Box 3" hidden="1">
          <a:extLst>
            <a:ext uri="{FF2B5EF4-FFF2-40B4-BE49-F238E27FC236}">
              <a16:creationId xmlns:a16="http://schemas.microsoft.com/office/drawing/2014/main" id="{749CC484-0D3E-402A-B877-07FB7F80EA0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8" name="Text Box 3" hidden="1">
          <a:extLst>
            <a:ext uri="{FF2B5EF4-FFF2-40B4-BE49-F238E27FC236}">
              <a16:creationId xmlns:a16="http://schemas.microsoft.com/office/drawing/2014/main" id="{B7F47E0E-3AD4-A4F2-8B14-3C0557F2DC08}"/>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5" name="Text Box 1" hidden="1">
          <a:extLst>
            <a:ext uri="{FF2B5EF4-FFF2-40B4-BE49-F238E27FC236}">
              <a16:creationId xmlns:a16="http://schemas.microsoft.com/office/drawing/2014/main" id="{57591A0A-96CD-9CE6-5034-15ACF0DA891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7" name="Text Box 1027" hidden="1">
          <a:extLst>
            <a:ext uri="{FF2B5EF4-FFF2-40B4-BE49-F238E27FC236}">
              <a16:creationId xmlns:a16="http://schemas.microsoft.com/office/drawing/2014/main" id="{629F8263-B26F-484C-6832-5A29C9040DE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6" name="Text Box 1026" hidden="1">
          <a:extLst>
            <a:ext uri="{FF2B5EF4-FFF2-40B4-BE49-F238E27FC236}">
              <a16:creationId xmlns:a16="http://schemas.microsoft.com/office/drawing/2014/main" id="{AA3D9C71-178A-C320-6608-380C95BF408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8" name="Text Box 1028" hidden="1">
          <a:extLst>
            <a:ext uri="{FF2B5EF4-FFF2-40B4-BE49-F238E27FC236}">
              <a16:creationId xmlns:a16="http://schemas.microsoft.com/office/drawing/2014/main" id="{33216E7F-4501-CDF8-D8A8-16DD7B77B9B3}"/>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9" name="Text Box 1029" hidden="1">
          <a:extLst>
            <a:ext uri="{FF2B5EF4-FFF2-40B4-BE49-F238E27FC236}">
              <a16:creationId xmlns:a16="http://schemas.microsoft.com/office/drawing/2014/main" id="{09AFA688-399E-86BE-A913-FDE226A6649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0" name="Text Box 1030" hidden="1">
          <a:extLst>
            <a:ext uri="{FF2B5EF4-FFF2-40B4-BE49-F238E27FC236}">
              <a16:creationId xmlns:a16="http://schemas.microsoft.com/office/drawing/2014/main" id="{96F03471-F2A5-FEDE-015A-5097826EA6D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1" name="Text Box 1031" hidden="1">
          <a:extLst>
            <a:ext uri="{FF2B5EF4-FFF2-40B4-BE49-F238E27FC236}">
              <a16:creationId xmlns:a16="http://schemas.microsoft.com/office/drawing/2014/main" id="{A34D15F6-2C18-6D3E-CCB6-32978A04B3CD}"/>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3" name="Text Box 1033" hidden="1">
          <a:extLst>
            <a:ext uri="{FF2B5EF4-FFF2-40B4-BE49-F238E27FC236}">
              <a16:creationId xmlns:a16="http://schemas.microsoft.com/office/drawing/2014/main" id="{18965EA2-1E4F-FDB9-39FC-E7B00F36864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2" name="Text Box 1032" hidden="1">
          <a:extLst>
            <a:ext uri="{FF2B5EF4-FFF2-40B4-BE49-F238E27FC236}">
              <a16:creationId xmlns:a16="http://schemas.microsoft.com/office/drawing/2014/main" id="{2015F65A-B78D-D14E-56B5-9F556D25A3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4" name="Text Box 1034" hidden="1">
          <a:extLst>
            <a:ext uri="{FF2B5EF4-FFF2-40B4-BE49-F238E27FC236}">
              <a16:creationId xmlns:a16="http://schemas.microsoft.com/office/drawing/2014/main" id="{7D7BAC87-0CB6-8439-6BDA-4F555F1ECEE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5" name="Text Box 1035" hidden="1">
          <a:extLst>
            <a:ext uri="{FF2B5EF4-FFF2-40B4-BE49-F238E27FC236}">
              <a16:creationId xmlns:a16="http://schemas.microsoft.com/office/drawing/2014/main" id="{8E9732D6-8C81-8A35-E872-C95DA13D296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6" name="Text Box 1036" hidden="1">
          <a:extLst>
            <a:ext uri="{FF2B5EF4-FFF2-40B4-BE49-F238E27FC236}">
              <a16:creationId xmlns:a16="http://schemas.microsoft.com/office/drawing/2014/main" id="{24294775-D474-CEE8-A57A-50E74D00ABDB}"/>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7" name="Text Box 1037" hidden="1">
          <a:extLst>
            <a:ext uri="{FF2B5EF4-FFF2-40B4-BE49-F238E27FC236}">
              <a16:creationId xmlns:a16="http://schemas.microsoft.com/office/drawing/2014/main" id="{0656B50A-EBC3-3E72-1BDC-6FAAB860E72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8" name="Text Box 1038" hidden="1">
          <a:extLst>
            <a:ext uri="{FF2B5EF4-FFF2-40B4-BE49-F238E27FC236}">
              <a16:creationId xmlns:a16="http://schemas.microsoft.com/office/drawing/2014/main" id="{188F2022-0CE8-E518-D776-3FB95A4B8CA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9" name="Text Box 3" hidden="1">
          <a:extLst>
            <a:ext uri="{FF2B5EF4-FFF2-40B4-BE49-F238E27FC236}">
              <a16:creationId xmlns:a16="http://schemas.microsoft.com/office/drawing/2014/main" id="{0A3C7845-E7BC-22C2-D747-C570D983E1C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0" name="Text Box 3" hidden="1">
          <a:extLst>
            <a:ext uri="{FF2B5EF4-FFF2-40B4-BE49-F238E27FC236}">
              <a16:creationId xmlns:a16="http://schemas.microsoft.com/office/drawing/2014/main" id="{2C7F2ED8-0E1D-8C3A-F935-C4908198D9A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1" name="Text Box 3" hidden="1">
          <a:extLst>
            <a:ext uri="{FF2B5EF4-FFF2-40B4-BE49-F238E27FC236}">
              <a16:creationId xmlns:a16="http://schemas.microsoft.com/office/drawing/2014/main" id="{6C4409BE-E6B8-0EB6-3C4A-D3E8BAE818B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2" name="Text Box 3" hidden="1">
          <a:extLst>
            <a:ext uri="{FF2B5EF4-FFF2-40B4-BE49-F238E27FC236}">
              <a16:creationId xmlns:a16="http://schemas.microsoft.com/office/drawing/2014/main" id="{B5E1F315-2A0A-2C0D-EE81-DBEE1BAD3702}"/>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3" name="Text Box 3" hidden="1">
          <a:extLst>
            <a:ext uri="{FF2B5EF4-FFF2-40B4-BE49-F238E27FC236}">
              <a16:creationId xmlns:a16="http://schemas.microsoft.com/office/drawing/2014/main" id="{821B5185-D5F5-2D2A-80B8-9691BF7252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4" name="Text Box 3" hidden="1">
          <a:extLst>
            <a:ext uri="{FF2B5EF4-FFF2-40B4-BE49-F238E27FC236}">
              <a16:creationId xmlns:a16="http://schemas.microsoft.com/office/drawing/2014/main" id="{2CB30112-EF70-FC35-B3A3-FA0AA7578017}"/>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15" name="Text Box 3" hidden="1">
          <a:extLst>
            <a:ext uri="{FF2B5EF4-FFF2-40B4-BE49-F238E27FC236}">
              <a16:creationId xmlns:a16="http://schemas.microsoft.com/office/drawing/2014/main" id="{D24E9D7F-606C-5BC2-5B22-32C27C72C1F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2" name="Text Box 2" hidden="1">
          <a:extLst>
            <a:ext uri="{FF2B5EF4-FFF2-40B4-BE49-F238E27FC236}">
              <a16:creationId xmlns:a16="http://schemas.microsoft.com/office/drawing/2014/main" id="{9EAE56D1-AB87-5C65-6CC9-1E198830EED8}"/>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1" name="Text Box 1" hidden="1">
          <a:extLst>
            <a:ext uri="{FF2B5EF4-FFF2-40B4-BE49-F238E27FC236}">
              <a16:creationId xmlns:a16="http://schemas.microsoft.com/office/drawing/2014/main" id="{9C22E836-B6B9-2B4C-AF89-33D885AFB94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3" name="Text Box 1027" hidden="1">
          <a:extLst>
            <a:ext uri="{FF2B5EF4-FFF2-40B4-BE49-F238E27FC236}">
              <a16:creationId xmlns:a16="http://schemas.microsoft.com/office/drawing/2014/main" id="{77DD53A7-FDB8-C852-AF98-444AA84DA3A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4" name="Text Box 1028" hidden="1">
          <a:extLst>
            <a:ext uri="{FF2B5EF4-FFF2-40B4-BE49-F238E27FC236}">
              <a16:creationId xmlns:a16="http://schemas.microsoft.com/office/drawing/2014/main" id="{17C24B2C-F830-9208-B97A-C48454E15BC2}"/>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5" name="Text Box 1029" hidden="1">
          <a:extLst>
            <a:ext uri="{FF2B5EF4-FFF2-40B4-BE49-F238E27FC236}">
              <a16:creationId xmlns:a16="http://schemas.microsoft.com/office/drawing/2014/main" id="{806BB5EC-28C8-52F6-BEC4-AEE71BEEA9BF}"/>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7" name="Text Box 1031" hidden="1">
          <a:extLst>
            <a:ext uri="{FF2B5EF4-FFF2-40B4-BE49-F238E27FC236}">
              <a16:creationId xmlns:a16="http://schemas.microsoft.com/office/drawing/2014/main" id="{7165EAA9-41B5-A243-CB55-55D71D8321A9}"/>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6" name="Text Box 1030" hidden="1">
          <a:extLst>
            <a:ext uri="{FF2B5EF4-FFF2-40B4-BE49-F238E27FC236}">
              <a16:creationId xmlns:a16="http://schemas.microsoft.com/office/drawing/2014/main" id="{841E9979-6163-39FF-2A0D-AB0B188EC35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8" name="Text Box 1032" hidden="1">
          <a:extLst>
            <a:ext uri="{FF2B5EF4-FFF2-40B4-BE49-F238E27FC236}">
              <a16:creationId xmlns:a16="http://schemas.microsoft.com/office/drawing/2014/main" id="{AC3A8540-7E2E-54A2-28A5-2C489066B2E4}"/>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9" name="Text Box 1033" hidden="1">
          <a:extLst>
            <a:ext uri="{FF2B5EF4-FFF2-40B4-BE49-F238E27FC236}">
              <a16:creationId xmlns:a16="http://schemas.microsoft.com/office/drawing/2014/main" id="{A6E7BE4C-5F43-B075-1386-08A8889B8295}"/>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10" name="Text Box 1034" hidden="1">
          <a:extLst>
            <a:ext uri="{FF2B5EF4-FFF2-40B4-BE49-F238E27FC236}">
              <a16:creationId xmlns:a16="http://schemas.microsoft.com/office/drawing/2014/main" id="{9856C702-EF4A-F953-23B2-CFD8C1A003D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165889" name="Text Box 1025" hidden="1">
          <a:extLst>
            <a:ext uri="{FF2B5EF4-FFF2-40B4-BE49-F238E27FC236}">
              <a16:creationId xmlns:a16="http://schemas.microsoft.com/office/drawing/2014/main" id="{B1168B61-EE79-4C3A-A5BE-017914EFE07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7" name="Text Box 3" hidden="1">
          <a:extLst>
            <a:ext uri="{FF2B5EF4-FFF2-40B4-BE49-F238E27FC236}">
              <a16:creationId xmlns:a16="http://schemas.microsoft.com/office/drawing/2014/main" id="{9F247216-4D56-4166-9831-3F596F2022A8}"/>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9" name="Text Box 5" hidden="1">
          <a:extLst>
            <a:ext uri="{FF2B5EF4-FFF2-40B4-BE49-F238E27FC236}">
              <a16:creationId xmlns:a16="http://schemas.microsoft.com/office/drawing/2014/main" id="{409D7FE2-E0CF-48FB-B6D1-897059BF6B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1028" name="Text Box 4" hidden="1">
          <a:extLst>
            <a:ext uri="{FF2B5EF4-FFF2-40B4-BE49-F238E27FC236}">
              <a16:creationId xmlns:a16="http://schemas.microsoft.com/office/drawing/2014/main" id="{7D7B7B44-87B2-4A3C-809F-1F92C4FB4C3E}"/>
            </a:ext>
          </a:extLst>
        </xdr:cNvPr>
        <xdr:cNvSpPr txBox="1">
          <a:spLocks noChangeArrowheads="1"/>
        </xdr:cNvSpPr>
      </xdr:nvSpPr>
      <xdr:spPr bwMode="auto">
        <a:xfrm>
          <a:off x="4410075" y="44672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2" name="Text Box 5" hidden="1">
          <a:extLst>
            <a:ext uri="{FF2B5EF4-FFF2-40B4-BE49-F238E27FC236}">
              <a16:creationId xmlns:a16="http://schemas.microsoft.com/office/drawing/2014/main" id="{DF9764D7-CFDA-44EF-A61E-AFF4E5C13812}"/>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3" name="Text Box 4" hidden="1">
          <a:extLst>
            <a:ext uri="{FF2B5EF4-FFF2-40B4-BE49-F238E27FC236}">
              <a16:creationId xmlns:a16="http://schemas.microsoft.com/office/drawing/2014/main" id="{DAB62A5A-C934-4E11-A33A-DC5810CB9810}"/>
            </a:ext>
          </a:extLst>
        </xdr:cNvPr>
        <xdr:cNvSpPr txBox="1">
          <a:spLocks noChangeArrowheads="1"/>
        </xdr:cNvSpPr>
      </xdr:nvSpPr>
      <xdr:spPr bwMode="auto">
        <a:xfrm>
          <a:off x="4410075" y="44672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C70C765D-FC44-4369-9A03-6CA121B0E5B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5" name="Text Box 4" hidden="1">
          <a:extLst>
            <a:ext uri="{FF2B5EF4-FFF2-40B4-BE49-F238E27FC236}">
              <a16:creationId xmlns:a16="http://schemas.microsoft.com/office/drawing/2014/main" id="{6F21556B-AD24-43E2-9807-B733A6C718EF}"/>
            </a:ext>
          </a:extLst>
        </xdr:cNvPr>
        <xdr:cNvSpPr txBox="1">
          <a:spLocks noChangeArrowheads="1"/>
        </xdr:cNvSpPr>
      </xdr:nvSpPr>
      <xdr:spPr bwMode="auto">
        <a:xfrm>
          <a:off x="4541520" y="438912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2681A8F0-B020-4BB5-8BF4-DF2005DE34B9}"/>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7" name="Text Box 4" hidden="1">
          <a:extLst>
            <a:ext uri="{FF2B5EF4-FFF2-40B4-BE49-F238E27FC236}">
              <a16:creationId xmlns:a16="http://schemas.microsoft.com/office/drawing/2014/main" id="{6B1C72C2-F321-4FC6-A0EB-92F1F27ED4C7}"/>
            </a:ext>
          </a:extLst>
        </xdr:cNvPr>
        <xdr:cNvSpPr txBox="1">
          <a:spLocks noChangeArrowheads="1"/>
        </xdr:cNvSpPr>
      </xdr:nvSpPr>
      <xdr:spPr bwMode="auto">
        <a:xfrm>
          <a:off x="4541520" y="438150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21CBC1C9-32EC-4C83-85DE-2FFBC939EC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9" name="Text Box 4" hidden="1">
          <a:extLst>
            <a:ext uri="{FF2B5EF4-FFF2-40B4-BE49-F238E27FC236}">
              <a16:creationId xmlns:a16="http://schemas.microsoft.com/office/drawing/2014/main" id="{F0B06422-C8B0-4FF9-BB1C-F2E8A66A9C86}"/>
            </a:ext>
          </a:extLst>
        </xdr:cNvPr>
        <xdr:cNvSpPr txBox="1">
          <a:spLocks noChangeArrowheads="1"/>
        </xdr:cNvSpPr>
      </xdr:nvSpPr>
      <xdr:spPr bwMode="auto">
        <a:xfrm>
          <a:off x="4410075" y="444817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1030" name="Text Box 6" hidden="1">
          <a:extLst>
            <a:ext uri="{FF2B5EF4-FFF2-40B4-BE49-F238E27FC236}">
              <a16:creationId xmlns:a16="http://schemas.microsoft.com/office/drawing/2014/main" id="{27E47AA2-CC4B-4B61-A49D-80718B56B4FF}"/>
            </a:ext>
          </a:extLst>
        </xdr:cNvPr>
        <xdr:cNvSpPr txBox="1">
          <a:spLocks noChangeArrowheads="1"/>
        </xdr:cNvSpPr>
      </xdr:nvSpPr>
      <xdr:spPr bwMode="auto">
        <a:xfrm>
          <a:off x="4371975" y="4276725"/>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4097" name="Text Box 1" hidden="1">
          <a:extLst>
            <a:ext uri="{FF2B5EF4-FFF2-40B4-BE49-F238E27FC236}">
              <a16:creationId xmlns:a16="http://schemas.microsoft.com/office/drawing/2014/main" id="{95BDDA10-9916-4529-9626-B0878D39761F}"/>
            </a:ext>
          </a:extLst>
        </xdr:cNvPr>
        <xdr:cNvSpPr txBox="1">
          <a:spLocks noChangeArrowheads="1"/>
        </xdr:cNvSpPr>
      </xdr:nvSpPr>
      <xdr:spPr bwMode="auto">
        <a:xfrm>
          <a:off x="4371975" y="4276725"/>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160867</xdr:rowOff>
    </xdr:to>
    <xdr:sp macro="" textlink="">
      <xdr:nvSpPr>
        <xdr:cNvPr id="4098" name="Text Box 1026" hidden="1">
          <a:extLst>
            <a:ext uri="{FF2B5EF4-FFF2-40B4-BE49-F238E27FC236}">
              <a16:creationId xmlns:a16="http://schemas.microsoft.com/office/drawing/2014/main" id="{B03B7B27-AB11-4450-B36F-E76290F87129}"/>
            </a:ext>
          </a:extLst>
        </xdr:cNvPr>
        <xdr:cNvSpPr txBox="1">
          <a:spLocks noChangeArrowheads="1"/>
        </xdr:cNvSpPr>
      </xdr:nvSpPr>
      <xdr:spPr bwMode="auto">
        <a:xfrm>
          <a:off x="4503420" y="4198620"/>
          <a:ext cx="128016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0" name="Text Box 3" hidden="1">
          <a:extLst>
            <a:ext uri="{FF2B5EF4-FFF2-40B4-BE49-F238E27FC236}">
              <a16:creationId xmlns:a16="http://schemas.microsoft.com/office/drawing/2014/main" id="{346DAD7D-D95F-4864-95F9-1BD9E840432F}"/>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1" name="Text Box 3" hidden="1">
          <a:extLst>
            <a:ext uri="{FF2B5EF4-FFF2-40B4-BE49-F238E27FC236}">
              <a16:creationId xmlns:a16="http://schemas.microsoft.com/office/drawing/2014/main" id="{51C51AD1-B099-4459-9454-7D4EE49AA1F9}"/>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2" name="Text Box 3" hidden="1">
          <a:extLst>
            <a:ext uri="{FF2B5EF4-FFF2-40B4-BE49-F238E27FC236}">
              <a16:creationId xmlns:a16="http://schemas.microsoft.com/office/drawing/2014/main" id="{A2ABDDF0-BC9C-45A0-885D-324CFC4FCDDC}"/>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3" name="Text Box 3" hidden="1">
          <a:extLst>
            <a:ext uri="{FF2B5EF4-FFF2-40B4-BE49-F238E27FC236}">
              <a16:creationId xmlns:a16="http://schemas.microsoft.com/office/drawing/2014/main" id="{1E478032-2CAE-4BA9-89C0-45798760EFB3}"/>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4" name="Text Box 5" hidden="1">
          <a:extLst>
            <a:ext uri="{FF2B5EF4-FFF2-40B4-BE49-F238E27FC236}">
              <a16:creationId xmlns:a16="http://schemas.microsoft.com/office/drawing/2014/main" id="{D13EF6B5-2682-4ECF-B973-340D8E001D05}"/>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5" name="Text Box 4" hidden="1">
          <a:extLst>
            <a:ext uri="{FF2B5EF4-FFF2-40B4-BE49-F238E27FC236}">
              <a16:creationId xmlns:a16="http://schemas.microsoft.com/office/drawing/2014/main" id="{E11DC0DB-7371-4425-9CBE-95825ABA6A24}"/>
            </a:ext>
          </a:extLst>
        </xdr:cNvPr>
        <xdr:cNvSpPr txBox="1">
          <a:spLocks noChangeArrowheads="1"/>
        </xdr:cNvSpPr>
      </xdr:nvSpPr>
      <xdr:spPr bwMode="auto">
        <a:xfrm>
          <a:off x="4410075" y="76485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6" name="Text Box 5" hidden="1">
          <a:extLst>
            <a:ext uri="{FF2B5EF4-FFF2-40B4-BE49-F238E27FC236}">
              <a16:creationId xmlns:a16="http://schemas.microsoft.com/office/drawing/2014/main" id="{FCD2AAA4-3E4D-4629-87C4-2DEC8297A0AF}"/>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7" name="Text Box 4" hidden="1">
          <a:extLst>
            <a:ext uri="{FF2B5EF4-FFF2-40B4-BE49-F238E27FC236}">
              <a16:creationId xmlns:a16="http://schemas.microsoft.com/office/drawing/2014/main" id="{E73FB451-1516-46E8-BEAA-3AFDD2C1F193}"/>
            </a:ext>
          </a:extLst>
        </xdr:cNvPr>
        <xdr:cNvSpPr txBox="1">
          <a:spLocks noChangeArrowheads="1"/>
        </xdr:cNvSpPr>
      </xdr:nvSpPr>
      <xdr:spPr bwMode="auto">
        <a:xfrm>
          <a:off x="4578350" y="7537450"/>
          <a:ext cx="14478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8" name="Text Box 3" hidden="1">
          <a:extLst>
            <a:ext uri="{FF2B5EF4-FFF2-40B4-BE49-F238E27FC236}">
              <a16:creationId xmlns:a16="http://schemas.microsoft.com/office/drawing/2014/main" id="{C63FB503-C9B9-48A7-8A6D-FC54F3E896F8}"/>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9" name="Text Box 5" hidden="1">
          <a:extLst>
            <a:ext uri="{FF2B5EF4-FFF2-40B4-BE49-F238E27FC236}">
              <a16:creationId xmlns:a16="http://schemas.microsoft.com/office/drawing/2014/main" id="{CF8E4A29-7D40-4AC2-AB46-1738A546268F}"/>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0" name="Text Box 4" hidden="1">
          <a:extLst>
            <a:ext uri="{FF2B5EF4-FFF2-40B4-BE49-F238E27FC236}">
              <a16:creationId xmlns:a16="http://schemas.microsoft.com/office/drawing/2014/main" id="{1386C8AA-9EEB-4F66-B3F3-F40EFE84FCF3}"/>
            </a:ext>
          </a:extLst>
        </xdr:cNvPr>
        <xdr:cNvSpPr txBox="1">
          <a:spLocks noChangeArrowheads="1"/>
        </xdr:cNvSpPr>
      </xdr:nvSpPr>
      <xdr:spPr bwMode="auto">
        <a:xfrm>
          <a:off x="19286220" y="3680460"/>
          <a:ext cx="131064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1" name="Text Box 5" hidden="1">
          <a:extLst>
            <a:ext uri="{FF2B5EF4-FFF2-40B4-BE49-F238E27FC236}">
              <a16:creationId xmlns:a16="http://schemas.microsoft.com/office/drawing/2014/main" id="{74BCA315-ADA4-44F9-BDD1-8F4FAB19F33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2" name="Text Box 4" hidden="1">
          <a:extLst>
            <a:ext uri="{FF2B5EF4-FFF2-40B4-BE49-F238E27FC236}">
              <a16:creationId xmlns:a16="http://schemas.microsoft.com/office/drawing/2014/main" id="{193C9771-E0F9-451F-8EFB-3F53190EB5A8}"/>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3" name="Text Box 5" hidden="1">
          <a:extLst>
            <a:ext uri="{FF2B5EF4-FFF2-40B4-BE49-F238E27FC236}">
              <a16:creationId xmlns:a16="http://schemas.microsoft.com/office/drawing/2014/main" id="{F5692FE4-1B20-45FF-8715-87B997E5ABB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4" name="Text Box 4" hidden="1">
          <a:extLst>
            <a:ext uri="{FF2B5EF4-FFF2-40B4-BE49-F238E27FC236}">
              <a16:creationId xmlns:a16="http://schemas.microsoft.com/office/drawing/2014/main" id="{0B318B3F-00E1-4C69-9EAE-7F7FC78D7861}"/>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3" name="Text Box 9" hidden="1">
          <a:extLst>
            <a:ext uri="{FF2B5EF4-FFF2-40B4-BE49-F238E27FC236}">
              <a16:creationId xmlns:a16="http://schemas.microsoft.com/office/drawing/2014/main" id="{5DBC428D-1BC4-4E31-A9B7-8EE97C9B2A85}"/>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1032" name="Text Box 8" hidden="1">
          <a:extLst>
            <a:ext uri="{FF2B5EF4-FFF2-40B4-BE49-F238E27FC236}">
              <a16:creationId xmlns:a16="http://schemas.microsoft.com/office/drawing/2014/main" id="{39F6FFEE-0DE6-44B1-B59B-9135AA846A09}"/>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1" name="Text Box 7" hidden="1">
          <a:extLst>
            <a:ext uri="{FF2B5EF4-FFF2-40B4-BE49-F238E27FC236}">
              <a16:creationId xmlns:a16="http://schemas.microsoft.com/office/drawing/2014/main" id="{D07CA957-525F-4466-A0FE-AA367FAACA38}"/>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5" name="Text Box 6" hidden="1">
          <a:extLst>
            <a:ext uri="{FF2B5EF4-FFF2-40B4-BE49-F238E27FC236}">
              <a16:creationId xmlns:a16="http://schemas.microsoft.com/office/drawing/2014/main" id="{6D62BEE8-45A2-4D90-8239-5F1332C1B788}"/>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6" name="Text Box 5" hidden="1">
          <a:extLst>
            <a:ext uri="{FF2B5EF4-FFF2-40B4-BE49-F238E27FC236}">
              <a16:creationId xmlns:a16="http://schemas.microsoft.com/office/drawing/2014/main" id="{DA200543-8CA7-47D7-8809-64482693720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7" name="Text Box 4" hidden="1">
          <a:extLst>
            <a:ext uri="{FF2B5EF4-FFF2-40B4-BE49-F238E27FC236}">
              <a16:creationId xmlns:a16="http://schemas.microsoft.com/office/drawing/2014/main" id="{01D2A96B-E7FF-426A-9FBA-B11FEC6936F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8" name="Text Box 9" hidden="1">
          <a:extLst>
            <a:ext uri="{FF2B5EF4-FFF2-40B4-BE49-F238E27FC236}">
              <a16:creationId xmlns:a16="http://schemas.microsoft.com/office/drawing/2014/main" id="{0374750F-9017-403A-A9A9-87AA2A44A07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 name="Text Box 8" hidden="1">
          <a:extLst>
            <a:ext uri="{FF2B5EF4-FFF2-40B4-BE49-F238E27FC236}">
              <a16:creationId xmlns:a16="http://schemas.microsoft.com/office/drawing/2014/main" id="{654B8F1D-BBF1-4A09-85FA-E2D5C34BAF6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0" name="Text Box 7" hidden="1">
          <a:extLst>
            <a:ext uri="{FF2B5EF4-FFF2-40B4-BE49-F238E27FC236}">
              <a16:creationId xmlns:a16="http://schemas.microsoft.com/office/drawing/2014/main" id="{7F6165CA-9C10-4B46-91A3-A1FB4035365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1" name="Text Box 6" hidden="1">
          <a:extLst>
            <a:ext uri="{FF2B5EF4-FFF2-40B4-BE49-F238E27FC236}">
              <a16:creationId xmlns:a16="http://schemas.microsoft.com/office/drawing/2014/main" id="{B753FEF6-168E-4B08-A1C2-721F5921810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2" name="Text Box 5" hidden="1">
          <a:extLst>
            <a:ext uri="{FF2B5EF4-FFF2-40B4-BE49-F238E27FC236}">
              <a16:creationId xmlns:a16="http://schemas.microsoft.com/office/drawing/2014/main" id="{E953FA81-878C-40DC-BAA4-748A87337770}"/>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3" name="Text Box 4" hidden="1">
          <a:extLst>
            <a:ext uri="{FF2B5EF4-FFF2-40B4-BE49-F238E27FC236}">
              <a16:creationId xmlns:a16="http://schemas.microsoft.com/office/drawing/2014/main" id="{E4927B30-9EB6-4548-A6F1-A254266D289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4" name="Text Box 5" hidden="1">
          <a:extLst>
            <a:ext uri="{FF2B5EF4-FFF2-40B4-BE49-F238E27FC236}">
              <a16:creationId xmlns:a16="http://schemas.microsoft.com/office/drawing/2014/main" id="{6CD20597-A15D-40FC-ADDE-435E3AAC4D1B}"/>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5" name="Text Box 4" hidden="1">
          <a:extLst>
            <a:ext uri="{FF2B5EF4-FFF2-40B4-BE49-F238E27FC236}">
              <a16:creationId xmlns:a16="http://schemas.microsoft.com/office/drawing/2014/main" id="{750F3BE7-16C9-4FC5-8D1D-2B34D20496E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6" name="Text Box 5" hidden="1">
          <a:extLst>
            <a:ext uri="{FF2B5EF4-FFF2-40B4-BE49-F238E27FC236}">
              <a16:creationId xmlns:a16="http://schemas.microsoft.com/office/drawing/2014/main" id="{2DBFC909-DA0D-4549-91FE-63AE8F32CF66}"/>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7" name="Text Box 4" hidden="1">
          <a:extLst>
            <a:ext uri="{FF2B5EF4-FFF2-40B4-BE49-F238E27FC236}">
              <a16:creationId xmlns:a16="http://schemas.microsoft.com/office/drawing/2014/main" id="{17F79880-544E-47B7-B243-27B7131CD6C7}"/>
            </a:ext>
          </a:extLst>
        </xdr:cNvPr>
        <xdr:cNvSpPr txBox="1">
          <a:spLocks noChangeArrowheads="1"/>
        </xdr:cNvSpPr>
      </xdr:nvSpPr>
      <xdr:spPr bwMode="auto">
        <a:xfrm>
          <a:off x="19270980" y="3680460"/>
          <a:ext cx="13030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8" name="Text Box 5" hidden="1">
          <a:extLst>
            <a:ext uri="{FF2B5EF4-FFF2-40B4-BE49-F238E27FC236}">
              <a16:creationId xmlns:a16="http://schemas.microsoft.com/office/drawing/2014/main" id="{3A1A4179-F6EA-4E31-BBAF-FD2DD88BDA7C}"/>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9" name="Text Box 4" hidden="1">
          <a:extLst>
            <a:ext uri="{FF2B5EF4-FFF2-40B4-BE49-F238E27FC236}">
              <a16:creationId xmlns:a16="http://schemas.microsoft.com/office/drawing/2014/main" id="{3500C700-4830-4F0E-AD85-88300FBA60D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0" name="Text Box 5" hidden="1">
          <a:extLst>
            <a:ext uri="{FF2B5EF4-FFF2-40B4-BE49-F238E27FC236}">
              <a16:creationId xmlns:a16="http://schemas.microsoft.com/office/drawing/2014/main" id="{1D0D8D82-B531-47E0-A48D-2113C5A13DC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1" name="Text Box 4" hidden="1">
          <a:extLst>
            <a:ext uri="{FF2B5EF4-FFF2-40B4-BE49-F238E27FC236}">
              <a16:creationId xmlns:a16="http://schemas.microsoft.com/office/drawing/2014/main" id="{E0AB096A-C302-488D-A72A-D595704AF0DE}"/>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2" name="Text Box 5" hidden="1">
          <a:extLst>
            <a:ext uri="{FF2B5EF4-FFF2-40B4-BE49-F238E27FC236}">
              <a16:creationId xmlns:a16="http://schemas.microsoft.com/office/drawing/2014/main" id="{B974FD8E-5C68-4348-BBF6-D4D2387AED88}"/>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3" name="Text Box 4" hidden="1">
          <a:extLst>
            <a:ext uri="{FF2B5EF4-FFF2-40B4-BE49-F238E27FC236}">
              <a16:creationId xmlns:a16="http://schemas.microsoft.com/office/drawing/2014/main" id="{688C37E8-7D4A-409C-8B5C-7D7805A3775D}"/>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68" name="Text Box 4" hidden="1">
          <a:extLst>
            <a:ext uri="{FF2B5EF4-FFF2-40B4-BE49-F238E27FC236}">
              <a16:creationId xmlns:a16="http://schemas.microsoft.com/office/drawing/2014/main" id="{6E2B8F22-0E38-41D9-8F7B-7C3BCE2B3B9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67" name="Text Box 3" hidden="1">
          <a:extLst>
            <a:ext uri="{FF2B5EF4-FFF2-40B4-BE49-F238E27FC236}">
              <a16:creationId xmlns:a16="http://schemas.microsoft.com/office/drawing/2014/main" id="{119B2E95-0CAA-40CD-9E55-E3408E22FEEB}"/>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292866" name="Text Box 2" hidden="1">
          <a:extLst>
            <a:ext uri="{FF2B5EF4-FFF2-40B4-BE49-F238E27FC236}">
              <a16:creationId xmlns:a16="http://schemas.microsoft.com/office/drawing/2014/main" id="{C6DAA0B5-9A57-42B3-BC65-3F7B8EE12C51}"/>
            </a:ext>
          </a:extLst>
        </xdr:cNvPr>
        <xdr:cNvSpPr txBox="1">
          <a:spLocks noChangeArrowheads="1"/>
        </xdr:cNvSpPr>
      </xdr:nvSpPr>
      <xdr:spPr bwMode="auto">
        <a:xfrm>
          <a:off x="4352925" y="448627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5" name="Text Box 1" hidden="1">
          <a:extLst>
            <a:ext uri="{FF2B5EF4-FFF2-40B4-BE49-F238E27FC236}">
              <a16:creationId xmlns:a16="http://schemas.microsoft.com/office/drawing/2014/main" id="{6EBD14C1-8DB6-4338-A663-153F9B4C26B6}"/>
            </a:ext>
          </a:extLst>
        </xdr:cNvPr>
        <xdr:cNvSpPr txBox="1">
          <a:spLocks noChangeArrowheads="1"/>
        </xdr:cNvSpPr>
      </xdr:nvSpPr>
      <xdr:spPr bwMode="auto">
        <a:xfrm>
          <a:off x="16011525" y="42767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2" name="Text Box 1032" hidden="1">
          <a:extLst>
            <a:ext uri="{FF2B5EF4-FFF2-40B4-BE49-F238E27FC236}">
              <a16:creationId xmlns:a16="http://schemas.microsoft.com/office/drawing/2014/main" id="{591829AD-463B-4C84-958C-E47BE6A8765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1" name="Text Box 1031" hidden="1">
          <a:extLst>
            <a:ext uri="{FF2B5EF4-FFF2-40B4-BE49-F238E27FC236}">
              <a16:creationId xmlns:a16="http://schemas.microsoft.com/office/drawing/2014/main" id="{6F1E5FC8-0F04-4A9F-8FDB-5A88115AC25C}"/>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9" name="Text Box 1029" hidden="1">
          <a:extLst>
            <a:ext uri="{FF2B5EF4-FFF2-40B4-BE49-F238E27FC236}">
              <a16:creationId xmlns:a16="http://schemas.microsoft.com/office/drawing/2014/main" id="{42723461-903E-4C98-B174-37238F030163}"/>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5" name="Text Box 1035" hidden="1">
          <a:extLst>
            <a:ext uri="{FF2B5EF4-FFF2-40B4-BE49-F238E27FC236}">
              <a16:creationId xmlns:a16="http://schemas.microsoft.com/office/drawing/2014/main" id="{D2D84568-74BB-46CC-9EEF-B86509D08A6A}"/>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4" name="Text Box 1034" hidden="1">
          <a:extLst>
            <a:ext uri="{FF2B5EF4-FFF2-40B4-BE49-F238E27FC236}">
              <a16:creationId xmlns:a16="http://schemas.microsoft.com/office/drawing/2014/main" id="{C4FF3281-3DB5-4A10-9AF4-4839F4CBF7F7}"/>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3" name="Text Box 1033" hidden="1">
          <a:extLst>
            <a:ext uri="{FF2B5EF4-FFF2-40B4-BE49-F238E27FC236}">
              <a16:creationId xmlns:a16="http://schemas.microsoft.com/office/drawing/2014/main" id="{5E75ACAA-B37B-4549-85F2-FEADE330C147}"/>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8" name="Text Box 1038" hidden="1">
          <a:extLst>
            <a:ext uri="{FF2B5EF4-FFF2-40B4-BE49-F238E27FC236}">
              <a16:creationId xmlns:a16="http://schemas.microsoft.com/office/drawing/2014/main" id="{7F7E6C3B-B2E4-456A-959F-5FAFA2535946}"/>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7" name="Text Box 1037" hidden="1">
          <a:extLst>
            <a:ext uri="{FF2B5EF4-FFF2-40B4-BE49-F238E27FC236}">
              <a16:creationId xmlns:a16="http://schemas.microsoft.com/office/drawing/2014/main" id="{EE07511F-7ACC-4E37-A255-D25512C82BC3}"/>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6" name="Text Box 1036" hidden="1">
          <a:extLst>
            <a:ext uri="{FF2B5EF4-FFF2-40B4-BE49-F238E27FC236}">
              <a16:creationId xmlns:a16="http://schemas.microsoft.com/office/drawing/2014/main" id="{75B4224F-857E-4265-87B5-2FD1DD4480AF}"/>
            </a:ext>
          </a:extLst>
        </xdr:cNvPr>
        <xdr:cNvSpPr txBox="1">
          <a:spLocks noChangeArrowheads="1"/>
        </xdr:cNvSpPr>
      </xdr:nvSpPr>
      <xdr:spPr bwMode="auto">
        <a:xfrm>
          <a:off x="16764000" y="4229100"/>
          <a:ext cx="14351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0" name="Text Box 1040" hidden="1">
          <a:extLst>
            <a:ext uri="{FF2B5EF4-FFF2-40B4-BE49-F238E27FC236}">
              <a16:creationId xmlns:a16="http://schemas.microsoft.com/office/drawing/2014/main" id="{649477F5-38AD-41E8-8449-D117D578BBCC}"/>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79" name="Text Box 1039" hidden="1">
          <a:extLst>
            <a:ext uri="{FF2B5EF4-FFF2-40B4-BE49-F238E27FC236}">
              <a16:creationId xmlns:a16="http://schemas.microsoft.com/office/drawing/2014/main" id="{BF42BBBF-33CE-403D-BC9D-07DA7BB065AF}"/>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2" name="Text Box 1042" hidden="1">
          <a:extLst>
            <a:ext uri="{FF2B5EF4-FFF2-40B4-BE49-F238E27FC236}">
              <a16:creationId xmlns:a16="http://schemas.microsoft.com/office/drawing/2014/main" id="{36BA3978-87EB-4419-B906-A5491F567D08}"/>
            </a:ext>
          </a:extLst>
        </xdr:cNvPr>
        <xdr:cNvSpPr txBox="1">
          <a:spLocks noChangeArrowheads="1"/>
        </xdr:cNvSpPr>
      </xdr:nvSpPr>
      <xdr:spPr bwMode="auto">
        <a:xfrm>
          <a:off x="4540250" y="4229100"/>
          <a:ext cx="1295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5" name="Text Box 1045" hidden="1">
          <a:extLst>
            <a:ext uri="{FF2B5EF4-FFF2-40B4-BE49-F238E27FC236}">
              <a16:creationId xmlns:a16="http://schemas.microsoft.com/office/drawing/2014/main" id="{D1759B2E-E9CB-4BC9-91FB-D43758AC844F}"/>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84" name="Text Box 1044" hidden="1">
          <a:extLst>
            <a:ext uri="{FF2B5EF4-FFF2-40B4-BE49-F238E27FC236}">
              <a16:creationId xmlns:a16="http://schemas.microsoft.com/office/drawing/2014/main" id="{A4AB38C7-3A7F-47E6-8991-6E07E13C870F}"/>
            </a:ext>
          </a:extLst>
        </xdr:cNvPr>
        <xdr:cNvSpPr txBox="1">
          <a:spLocks noChangeArrowheads="1"/>
        </xdr:cNvSpPr>
      </xdr:nvSpPr>
      <xdr:spPr bwMode="auto">
        <a:xfrm>
          <a:off x="16011525" y="4448175"/>
          <a:ext cx="13525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3" name="Text Box 1043" hidden="1">
          <a:extLst>
            <a:ext uri="{FF2B5EF4-FFF2-40B4-BE49-F238E27FC236}">
              <a16:creationId xmlns:a16="http://schemas.microsoft.com/office/drawing/2014/main" id="{A3AE5B1B-327E-4495-9FE3-3F33B1093694}"/>
            </a:ext>
          </a:extLst>
        </xdr:cNvPr>
        <xdr:cNvSpPr txBox="1">
          <a:spLocks noChangeArrowheads="1"/>
        </xdr:cNvSpPr>
      </xdr:nvSpPr>
      <xdr:spPr bwMode="auto">
        <a:xfrm>
          <a:off x="4371975" y="4276725"/>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889" name="Text Box 1049" hidden="1">
          <a:extLst>
            <a:ext uri="{FF2B5EF4-FFF2-40B4-BE49-F238E27FC236}">
              <a16:creationId xmlns:a16="http://schemas.microsoft.com/office/drawing/2014/main" id="{F5807095-13EA-4516-B570-80C32FBC236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0" name="Text Box 1050" hidden="1">
          <a:extLst>
            <a:ext uri="{FF2B5EF4-FFF2-40B4-BE49-F238E27FC236}">
              <a16:creationId xmlns:a16="http://schemas.microsoft.com/office/drawing/2014/main" id="{9DB0620E-E539-46F4-8F26-4AB907C0CC77}"/>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1" name="Text Box 1051" hidden="1">
          <a:extLst>
            <a:ext uri="{FF2B5EF4-FFF2-40B4-BE49-F238E27FC236}">
              <a16:creationId xmlns:a16="http://schemas.microsoft.com/office/drawing/2014/main" id="{20187772-D78D-4941-B2D7-CFED1A891F8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49212</xdr:rowOff>
    </xdr:from>
    <xdr:to>
      <xdr:col>24</xdr:col>
      <xdr:colOff>647700</xdr:colOff>
      <xdr:row>42</xdr:row>
      <xdr:rowOff>107156</xdr:rowOff>
    </xdr:to>
    <xdr:sp macro="" textlink="">
      <xdr:nvSpPr>
        <xdr:cNvPr id="292892" name="Text Box 1052" hidden="1">
          <a:extLst>
            <a:ext uri="{FF2B5EF4-FFF2-40B4-BE49-F238E27FC236}">
              <a16:creationId xmlns:a16="http://schemas.microsoft.com/office/drawing/2014/main" id="{CF7174A6-9546-4BCA-8B6E-E364FD5626D6}"/>
            </a:ext>
          </a:extLst>
        </xdr:cNvPr>
        <xdr:cNvSpPr txBox="1">
          <a:spLocks noChangeArrowheads="1"/>
        </xdr:cNvSpPr>
      </xdr:nvSpPr>
      <xdr:spPr bwMode="auto">
        <a:xfrm>
          <a:off x="19615150" y="755015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30956</xdr:rowOff>
    </xdr:from>
    <xdr:to>
      <xdr:col>3</xdr:col>
      <xdr:colOff>609600</xdr:colOff>
      <xdr:row>45</xdr:row>
      <xdr:rowOff>107156</xdr:rowOff>
    </xdr:to>
    <xdr:sp macro="" textlink="">
      <xdr:nvSpPr>
        <xdr:cNvPr id="292893" name="Text Box 1053" hidden="1">
          <a:extLst>
            <a:ext uri="{FF2B5EF4-FFF2-40B4-BE49-F238E27FC236}">
              <a16:creationId xmlns:a16="http://schemas.microsoft.com/office/drawing/2014/main" id="{359D0C25-DB76-42D2-BAD0-97B27BAB7426}"/>
            </a:ext>
          </a:extLst>
        </xdr:cNvPr>
        <xdr:cNvSpPr txBox="1">
          <a:spLocks noChangeArrowheads="1"/>
        </xdr:cNvSpPr>
      </xdr:nvSpPr>
      <xdr:spPr bwMode="auto">
        <a:xfrm>
          <a:off x="4502150" y="8102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30956</xdr:rowOff>
    </xdr:from>
    <xdr:to>
      <xdr:col>21</xdr:col>
      <xdr:colOff>0</xdr:colOff>
      <xdr:row>46</xdr:row>
      <xdr:rowOff>107156</xdr:rowOff>
    </xdr:to>
    <xdr:sp macro="" textlink="">
      <xdr:nvSpPr>
        <xdr:cNvPr id="292894" name="Text Box 1054" hidden="1">
          <a:extLst>
            <a:ext uri="{FF2B5EF4-FFF2-40B4-BE49-F238E27FC236}">
              <a16:creationId xmlns:a16="http://schemas.microsoft.com/office/drawing/2014/main" id="{B9346CFE-9E6D-400A-8A69-4E865AE7AFCF}"/>
            </a:ext>
          </a:extLst>
        </xdr:cNvPr>
        <xdr:cNvSpPr txBox="1">
          <a:spLocks noChangeArrowheads="1"/>
        </xdr:cNvSpPr>
      </xdr:nvSpPr>
      <xdr:spPr bwMode="auto">
        <a:xfrm>
          <a:off x="16687800" y="8286750"/>
          <a:ext cx="13398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0" name="Text Box 1060" hidden="1">
          <a:extLst>
            <a:ext uri="{FF2B5EF4-FFF2-40B4-BE49-F238E27FC236}">
              <a16:creationId xmlns:a16="http://schemas.microsoft.com/office/drawing/2014/main" id="{4DB9DDAF-60B0-4654-89AB-F042381E3DC1}"/>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9" name="Text Box 1059" hidden="1">
          <a:extLst>
            <a:ext uri="{FF2B5EF4-FFF2-40B4-BE49-F238E27FC236}">
              <a16:creationId xmlns:a16="http://schemas.microsoft.com/office/drawing/2014/main" id="{CDA4BFF4-43B2-499D-815D-37C5DBFED8E7}"/>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8" name="Text Box 1058" hidden="1">
          <a:extLst>
            <a:ext uri="{FF2B5EF4-FFF2-40B4-BE49-F238E27FC236}">
              <a16:creationId xmlns:a16="http://schemas.microsoft.com/office/drawing/2014/main" id="{029D70AF-BD6C-4A7A-9151-A756FF596947}"/>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49212</xdr:rowOff>
    </xdr:from>
    <xdr:to>
      <xdr:col>24</xdr:col>
      <xdr:colOff>647700</xdr:colOff>
      <xdr:row>42</xdr:row>
      <xdr:rowOff>107156</xdr:rowOff>
    </xdr:to>
    <xdr:sp macro="" textlink="">
      <xdr:nvSpPr>
        <xdr:cNvPr id="292897" name="Text Box 1057" hidden="1">
          <a:extLst>
            <a:ext uri="{FF2B5EF4-FFF2-40B4-BE49-F238E27FC236}">
              <a16:creationId xmlns:a16="http://schemas.microsoft.com/office/drawing/2014/main" id="{74DD998C-2763-42C6-81D5-26A6488EF545}"/>
            </a:ext>
          </a:extLst>
        </xdr:cNvPr>
        <xdr:cNvSpPr txBox="1">
          <a:spLocks noChangeArrowheads="1"/>
        </xdr:cNvSpPr>
      </xdr:nvSpPr>
      <xdr:spPr bwMode="auto">
        <a:xfrm>
          <a:off x="19615150" y="7550150"/>
          <a:ext cx="13271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30956</xdr:rowOff>
    </xdr:from>
    <xdr:to>
      <xdr:col>3</xdr:col>
      <xdr:colOff>609600</xdr:colOff>
      <xdr:row>45</xdr:row>
      <xdr:rowOff>107156</xdr:rowOff>
    </xdr:to>
    <xdr:sp macro="" textlink="">
      <xdr:nvSpPr>
        <xdr:cNvPr id="292896" name="Text Box 1056" hidden="1">
          <a:extLst>
            <a:ext uri="{FF2B5EF4-FFF2-40B4-BE49-F238E27FC236}">
              <a16:creationId xmlns:a16="http://schemas.microsoft.com/office/drawing/2014/main" id="{CF75F4B8-ECD0-40C5-8354-17893BB94E08}"/>
            </a:ext>
          </a:extLst>
        </xdr:cNvPr>
        <xdr:cNvSpPr txBox="1">
          <a:spLocks noChangeArrowheads="1"/>
        </xdr:cNvSpPr>
      </xdr:nvSpPr>
      <xdr:spPr bwMode="auto">
        <a:xfrm>
          <a:off x="4502150" y="8102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30956</xdr:rowOff>
    </xdr:from>
    <xdr:to>
      <xdr:col>21</xdr:col>
      <xdr:colOff>0</xdr:colOff>
      <xdr:row>46</xdr:row>
      <xdr:rowOff>107156</xdr:rowOff>
    </xdr:to>
    <xdr:sp macro="" textlink="">
      <xdr:nvSpPr>
        <xdr:cNvPr id="292895" name="Text Box 1055" hidden="1">
          <a:extLst>
            <a:ext uri="{FF2B5EF4-FFF2-40B4-BE49-F238E27FC236}">
              <a16:creationId xmlns:a16="http://schemas.microsoft.com/office/drawing/2014/main" id="{C7816C2B-C1C5-4468-B360-58D1A737AF81}"/>
            </a:ext>
          </a:extLst>
        </xdr:cNvPr>
        <xdr:cNvSpPr txBox="1">
          <a:spLocks noChangeArrowheads="1"/>
        </xdr:cNvSpPr>
      </xdr:nvSpPr>
      <xdr:spPr bwMode="auto">
        <a:xfrm>
          <a:off x="16687800" y="8286750"/>
          <a:ext cx="13398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6" name="Text Box 1066" hidden="1">
          <a:extLst>
            <a:ext uri="{FF2B5EF4-FFF2-40B4-BE49-F238E27FC236}">
              <a16:creationId xmlns:a16="http://schemas.microsoft.com/office/drawing/2014/main" id="{A5F44801-ABBA-3CC8-B960-95677867F069}"/>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5" name="Text Box 1065" hidden="1">
          <a:extLst>
            <a:ext uri="{FF2B5EF4-FFF2-40B4-BE49-F238E27FC236}">
              <a16:creationId xmlns:a16="http://schemas.microsoft.com/office/drawing/2014/main" id="{3A867F1A-DB9E-1B20-CAD3-7DCCF42F046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4" name="Text Box 1064" hidden="1">
          <a:extLst>
            <a:ext uri="{FF2B5EF4-FFF2-40B4-BE49-F238E27FC236}">
              <a16:creationId xmlns:a16="http://schemas.microsoft.com/office/drawing/2014/main" id="{A46BD5C6-4315-ADC2-0D34-90CBF103EE4E}"/>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9" name="Text Box 45" hidden="1">
          <a:extLst>
            <a:ext uri="{FF2B5EF4-FFF2-40B4-BE49-F238E27FC236}">
              <a16:creationId xmlns:a16="http://schemas.microsoft.com/office/drawing/2014/main" id="{5FE45257-A7CA-9B70-D2B2-4A2276FFDCE3}"/>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8" name="Text Box 44" hidden="1">
          <a:extLst>
            <a:ext uri="{FF2B5EF4-FFF2-40B4-BE49-F238E27FC236}">
              <a16:creationId xmlns:a16="http://schemas.microsoft.com/office/drawing/2014/main" id="{73EA9274-894B-F7BD-BDF8-FF1B56D49F7C}"/>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7" name="Text Box 43" hidden="1">
          <a:extLst>
            <a:ext uri="{FF2B5EF4-FFF2-40B4-BE49-F238E27FC236}">
              <a16:creationId xmlns:a16="http://schemas.microsoft.com/office/drawing/2014/main" id="{921266E3-2122-77DF-C5DA-7C218F438AD4}"/>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4" name="Text Box 6" hidden="1">
          <a:extLst>
            <a:ext uri="{FF2B5EF4-FFF2-40B4-BE49-F238E27FC236}">
              <a16:creationId xmlns:a16="http://schemas.microsoft.com/office/drawing/2014/main" id="{909A6A4C-6A5D-4CF6-2D57-88FCB72967BF}"/>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3" name="Text Box 5" hidden="1">
          <a:extLst>
            <a:ext uri="{FF2B5EF4-FFF2-40B4-BE49-F238E27FC236}">
              <a16:creationId xmlns:a16="http://schemas.microsoft.com/office/drawing/2014/main" id="{DF140B59-D4A1-AEF0-3CB2-7BF7A25A8064}"/>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2" name="Text Box 4" hidden="1">
          <a:extLst>
            <a:ext uri="{FF2B5EF4-FFF2-40B4-BE49-F238E27FC236}">
              <a16:creationId xmlns:a16="http://schemas.microsoft.com/office/drawing/2014/main" id="{652B5534-8628-3DEF-AAE1-2F4EE625A952}"/>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1" name="Text Box 3" hidden="1">
          <a:extLst>
            <a:ext uri="{FF2B5EF4-FFF2-40B4-BE49-F238E27FC236}">
              <a16:creationId xmlns:a16="http://schemas.microsoft.com/office/drawing/2014/main" id="{CE1AECB9-7A6D-4396-5A06-45A4B5B60D12}"/>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0" name="Text Box 2" hidden="1">
          <a:extLst>
            <a:ext uri="{FF2B5EF4-FFF2-40B4-BE49-F238E27FC236}">
              <a16:creationId xmlns:a16="http://schemas.microsoft.com/office/drawing/2014/main" id="{C89ACE0E-F785-7DAA-918D-7B91955CE6C3}"/>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69" name="Text Box 1" hidden="1">
          <a:extLst>
            <a:ext uri="{FF2B5EF4-FFF2-40B4-BE49-F238E27FC236}">
              <a16:creationId xmlns:a16="http://schemas.microsoft.com/office/drawing/2014/main" id="{9DAF1CFE-C5D0-7875-21F1-2B7C380548EC}"/>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7" name="Text Box 9" hidden="1">
          <a:extLst>
            <a:ext uri="{FF2B5EF4-FFF2-40B4-BE49-F238E27FC236}">
              <a16:creationId xmlns:a16="http://schemas.microsoft.com/office/drawing/2014/main" id="{E3CC37DD-4513-AD37-5955-882E8F9B5E07}"/>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6" name="Text Box 8" hidden="1">
          <a:extLst>
            <a:ext uri="{FF2B5EF4-FFF2-40B4-BE49-F238E27FC236}">
              <a16:creationId xmlns:a16="http://schemas.microsoft.com/office/drawing/2014/main" id="{3FACB48C-C75F-CCD4-9F34-06E938D5BC0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5" name="Text Box 7" hidden="1">
          <a:extLst>
            <a:ext uri="{FF2B5EF4-FFF2-40B4-BE49-F238E27FC236}">
              <a16:creationId xmlns:a16="http://schemas.microsoft.com/office/drawing/2014/main" id="{964F59D1-0016-4F3B-FD15-8C3E51CC2A7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0" name="Text Box 12" hidden="1">
          <a:extLst>
            <a:ext uri="{FF2B5EF4-FFF2-40B4-BE49-F238E27FC236}">
              <a16:creationId xmlns:a16="http://schemas.microsoft.com/office/drawing/2014/main" id="{A57AE242-44C5-6571-28DF-729A1FA59D36}"/>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9" name="Text Box 11" hidden="1">
          <a:extLst>
            <a:ext uri="{FF2B5EF4-FFF2-40B4-BE49-F238E27FC236}">
              <a16:creationId xmlns:a16="http://schemas.microsoft.com/office/drawing/2014/main" id="{2BDF44C8-B606-53E7-FC90-8F4A60E37F81}"/>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8" name="Text Box 10" hidden="1">
          <a:extLst>
            <a:ext uri="{FF2B5EF4-FFF2-40B4-BE49-F238E27FC236}">
              <a16:creationId xmlns:a16="http://schemas.microsoft.com/office/drawing/2014/main" id="{5D1EA86D-07A4-4DAD-3341-1B44A98EBBE6}"/>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3" name="Text Box 15" hidden="1">
          <a:extLst>
            <a:ext uri="{FF2B5EF4-FFF2-40B4-BE49-F238E27FC236}">
              <a16:creationId xmlns:a16="http://schemas.microsoft.com/office/drawing/2014/main" id="{05A02FCF-65D0-F9FF-DBD5-2A13237C5DBB}"/>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2" name="Text Box 14" hidden="1">
          <a:extLst>
            <a:ext uri="{FF2B5EF4-FFF2-40B4-BE49-F238E27FC236}">
              <a16:creationId xmlns:a16="http://schemas.microsoft.com/office/drawing/2014/main" id="{1482CC5A-6AA9-A150-7627-2E34C2081E7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1" name="Text Box 13" hidden="1">
          <a:extLst>
            <a:ext uri="{FF2B5EF4-FFF2-40B4-BE49-F238E27FC236}">
              <a16:creationId xmlns:a16="http://schemas.microsoft.com/office/drawing/2014/main" id="{59AE6AFE-BE59-69AE-8056-4E6D343A674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6" name="Text Box 18" hidden="1">
          <a:extLst>
            <a:ext uri="{FF2B5EF4-FFF2-40B4-BE49-F238E27FC236}">
              <a16:creationId xmlns:a16="http://schemas.microsoft.com/office/drawing/2014/main" id="{BF6E6B34-6536-133A-69F9-E201C5736454}"/>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5" name="Text Box 17" hidden="1">
          <a:extLst>
            <a:ext uri="{FF2B5EF4-FFF2-40B4-BE49-F238E27FC236}">
              <a16:creationId xmlns:a16="http://schemas.microsoft.com/office/drawing/2014/main" id="{6B3728F5-16A7-0BD9-5E6C-66CFE80F011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4" name="Text Box 16" hidden="1">
          <a:extLst>
            <a:ext uri="{FF2B5EF4-FFF2-40B4-BE49-F238E27FC236}">
              <a16:creationId xmlns:a16="http://schemas.microsoft.com/office/drawing/2014/main" id="{FAE92ADE-D3D6-E013-6DC8-0BBEA46AB98F}"/>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2" name="Text Box 24" hidden="1">
          <a:extLst>
            <a:ext uri="{FF2B5EF4-FFF2-40B4-BE49-F238E27FC236}">
              <a16:creationId xmlns:a16="http://schemas.microsoft.com/office/drawing/2014/main" id="{86445EA2-C958-D3AB-4939-3D9C9009CC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1" name="Text Box 23" hidden="1">
          <a:extLst>
            <a:ext uri="{FF2B5EF4-FFF2-40B4-BE49-F238E27FC236}">
              <a16:creationId xmlns:a16="http://schemas.microsoft.com/office/drawing/2014/main" id="{56C4CB05-9F52-993D-7006-17EA298C6052}"/>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0" name="Text Box 22" hidden="1">
          <a:extLst>
            <a:ext uri="{FF2B5EF4-FFF2-40B4-BE49-F238E27FC236}">
              <a16:creationId xmlns:a16="http://schemas.microsoft.com/office/drawing/2014/main" id="{A97183B6-158E-CBB5-F7D4-97393BDA9D90}"/>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9" name="Text Box 21" hidden="1">
          <a:extLst>
            <a:ext uri="{FF2B5EF4-FFF2-40B4-BE49-F238E27FC236}">
              <a16:creationId xmlns:a16="http://schemas.microsoft.com/office/drawing/2014/main" id="{FAFD43CD-B7C3-6C39-2CE5-2CA2CC2B468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8" name="Text Box 20" hidden="1">
          <a:extLst>
            <a:ext uri="{FF2B5EF4-FFF2-40B4-BE49-F238E27FC236}">
              <a16:creationId xmlns:a16="http://schemas.microsoft.com/office/drawing/2014/main" id="{EDD3762C-E603-4E48-0839-3213DCCE89C4}"/>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7" name="Text Box 19" hidden="1">
          <a:extLst>
            <a:ext uri="{FF2B5EF4-FFF2-40B4-BE49-F238E27FC236}">
              <a16:creationId xmlns:a16="http://schemas.microsoft.com/office/drawing/2014/main" id="{3E124CDC-5136-DFE2-4FA7-0C6DA852C28E}"/>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5" name="Text Box 27" hidden="1">
          <a:extLst>
            <a:ext uri="{FF2B5EF4-FFF2-40B4-BE49-F238E27FC236}">
              <a16:creationId xmlns:a16="http://schemas.microsoft.com/office/drawing/2014/main" id="{E3456175-2130-75EC-C8CD-F5C411DB67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4" name="Text Box 26" hidden="1">
          <a:extLst>
            <a:ext uri="{FF2B5EF4-FFF2-40B4-BE49-F238E27FC236}">
              <a16:creationId xmlns:a16="http://schemas.microsoft.com/office/drawing/2014/main" id="{74BF26FB-2F41-5BE2-F3B8-1FC0E41B54CE}"/>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3" name="Text Box 25" hidden="1">
          <a:extLst>
            <a:ext uri="{FF2B5EF4-FFF2-40B4-BE49-F238E27FC236}">
              <a16:creationId xmlns:a16="http://schemas.microsoft.com/office/drawing/2014/main" id="{E11D3415-9D00-A1D3-FD51-B4F19C825CC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8" name="Text Box 30" hidden="1">
          <a:extLst>
            <a:ext uri="{FF2B5EF4-FFF2-40B4-BE49-F238E27FC236}">
              <a16:creationId xmlns:a16="http://schemas.microsoft.com/office/drawing/2014/main" id="{FD280310-00EB-D1C3-3111-617430AEED5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7" name="Text Box 29" hidden="1">
          <a:extLst>
            <a:ext uri="{FF2B5EF4-FFF2-40B4-BE49-F238E27FC236}">
              <a16:creationId xmlns:a16="http://schemas.microsoft.com/office/drawing/2014/main" id="{48F85B53-1706-5654-36D1-9B908917B685}"/>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6" name="Text Box 28" hidden="1">
          <a:extLst>
            <a:ext uri="{FF2B5EF4-FFF2-40B4-BE49-F238E27FC236}">
              <a16:creationId xmlns:a16="http://schemas.microsoft.com/office/drawing/2014/main" id="{978C4297-2843-5A12-D25F-4C73AEE1DAC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1" name="Text Box 33" hidden="1">
          <a:extLst>
            <a:ext uri="{FF2B5EF4-FFF2-40B4-BE49-F238E27FC236}">
              <a16:creationId xmlns:a16="http://schemas.microsoft.com/office/drawing/2014/main" id="{88312548-429C-A981-9CA2-19713AB2DDBA}"/>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0" name="Text Box 32" hidden="1">
          <a:extLst>
            <a:ext uri="{FF2B5EF4-FFF2-40B4-BE49-F238E27FC236}">
              <a16:creationId xmlns:a16="http://schemas.microsoft.com/office/drawing/2014/main" id="{01263EB2-BA87-4A3B-0532-F581A5DF8896}"/>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9" name="Text Box 31" hidden="1">
          <a:extLst>
            <a:ext uri="{FF2B5EF4-FFF2-40B4-BE49-F238E27FC236}">
              <a16:creationId xmlns:a16="http://schemas.microsoft.com/office/drawing/2014/main" id="{6D11F9A7-3657-CE56-1CD3-B33A4F307EE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4" name="Text Box 36" hidden="1">
          <a:extLst>
            <a:ext uri="{FF2B5EF4-FFF2-40B4-BE49-F238E27FC236}">
              <a16:creationId xmlns:a16="http://schemas.microsoft.com/office/drawing/2014/main" id="{ED52A00F-218C-E805-D707-9A856AA2A55A}"/>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3" name="Text Box 35" hidden="1">
          <a:extLst>
            <a:ext uri="{FF2B5EF4-FFF2-40B4-BE49-F238E27FC236}">
              <a16:creationId xmlns:a16="http://schemas.microsoft.com/office/drawing/2014/main" id="{67046F62-50DC-0F77-7A03-2F3F2C78BFE6}"/>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602" name="Text Box 34" hidden="1">
          <a:extLst>
            <a:ext uri="{FF2B5EF4-FFF2-40B4-BE49-F238E27FC236}">
              <a16:creationId xmlns:a16="http://schemas.microsoft.com/office/drawing/2014/main" id="{60592406-9086-C0DF-68D9-DBDB274D3049}"/>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596" name="Text Box 4" hidden="1">
          <a:extLst>
            <a:ext uri="{FF2B5EF4-FFF2-40B4-BE49-F238E27FC236}">
              <a16:creationId xmlns:a16="http://schemas.microsoft.com/office/drawing/2014/main" id="{E7675201-16B7-63DD-F4CE-08CF996AD7C5}"/>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5" name="Text Box 3" hidden="1">
          <a:extLst>
            <a:ext uri="{FF2B5EF4-FFF2-40B4-BE49-F238E27FC236}">
              <a16:creationId xmlns:a16="http://schemas.microsoft.com/office/drawing/2014/main" id="{198C5B28-EF1A-B1D3-B99F-F6C2F4CECEDD}"/>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4" name="Text Box 2" hidden="1">
          <a:extLst>
            <a:ext uri="{FF2B5EF4-FFF2-40B4-BE49-F238E27FC236}">
              <a16:creationId xmlns:a16="http://schemas.microsoft.com/office/drawing/2014/main" id="{1D767B8B-EB61-43AA-78FA-4BE53DB1171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3" name="Text Box 1" hidden="1">
          <a:extLst>
            <a:ext uri="{FF2B5EF4-FFF2-40B4-BE49-F238E27FC236}">
              <a16:creationId xmlns:a16="http://schemas.microsoft.com/office/drawing/2014/main" id="{8DDB04C9-B491-5A70-49A5-E10380B0E439}"/>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0" name="Text Box 1032" hidden="1">
          <a:extLst>
            <a:ext uri="{FF2B5EF4-FFF2-40B4-BE49-F238E27FC236}">
              <a16:creationId xmlns:a16="http://schemas.microsoft.com/office/drawing/2014/main" id="{8275E840-0006-5A2F-82ED-5CA75CB4728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9" name="Text Box 1031" hidden="1">
          <a:extLst>
            <a:ext uri="{FF2B5EF4-FFF2-40B4-BE49-F238E27FC236}">
              <a16:creationId xmlns:a16="http://schemas.microsoft.com/office/drawing/2014/main" id="{A528208D-6284-5EFE-E308-CB88115F6EB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8" name="Text Box 1030" hidden="1">
          <a:extLst>
            <a:ext uri="{FF2B5EF4-FFF2-40B4-BE49-F238E27FC236}">
              <a16:creationId xmlns:a16="http://schemas.microsoft.com/office/drawing/2014/main" id="{2B434C1C-FDCD-ABD8-FF8A-A942C742795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7" name="Text Box 1029" hidden="1">
          <a:extLst>
            <a:ext uri="{FF2B5EF4-FFF2-40B4-BE49-F238E27FC236}">
              <a16:creationId xmlns:a16="http://schemas.microsoft.com/office/drawing/2014/main" id="{25B05381-C6DE-EF4B-6212-340C91EA9FB7}"/>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4" name="Text Box 1036" hidden="1">
          <a:extLst>
            <a:ext uri="{FF2B5EF4-FFF2-40B4-BE49-F238E27FC236}">
              <a16:creationId xmlns:a16="http://schemas.microsoft.com/office/drawing/2014/main" id="{967AC289-31FE-4790-89B9-77166A066040}"/>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3" name="Text Box 1035" hidden="1">
          <a:extLst>
            <a:ext uri="{FF2B5EF4-FFF2-40B4-BE49-F238E27FC236}">
              <a16:creationId xmlns:a16="http://schemas.microsoft.com/office/drawing/2014/main" id="{2326546A-F496-D889-35D7-37407EC5435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2" name="Text Box 1034" hidden="1">
          <a:extLst>
            <a:ext uri="{FF2B5EF4-FFF2-40B4-BE49-F238E27FC236}">
              <a16:creationId xmlns:a16="http://schemas.microsoft.com/office/drawing/2014/main" id="{6F48FBF4-B8D6-6A63-67F5-7BD64E788F16}"/>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1" name="Text Box 1033" hidden="1">
          <a:extLst>
            <a:ext uri="{FF2B5EF4-FFF2-40B4-BE49-F238E27FC236}">
              <a16:creationId xmlns:a16="http://schemas.microsoft.com/office/drawing/2014/main" id="{FABB22FA-88CA-70CD-40B2-AA81C368CF28}"/>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8" name="Text Box 1040" hidden="1">
          <a:extLst>
            <a:ext uri="{FF2B5EF4-FFF2-40B4-BE49-F238E27FC236}">
              <a16:creationId xmlns:a16="http://schemas.microsoft.com/office/drawing/2014/main" id="{1E81D015-01C7-91A2-C9B3-AF55AE08A60C}"/>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7" name="Text Box 1039" hidden="1">
          <a:extLst>
            <a:ext uri="{FF2B5EF4-FFF2-40B4-BE49-F238E27FC236}">
              <a16:creationId xmlns:a16="http://schemas.microsoft.com/office/drawing/2014/main" id="{F58B6BC0-3213-3BF6-30D1-67576F41184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6" name="Text Box 1038" hidden="1">
          <a:extLst>
            <a:ext uri="{FF2B5EF4-FFF2-40B4-BE49-F238E27FC236}">
              <a16:creationId xmlns:a16="http://schemas.microsoft.com/office/drawing/2014/main" id="{BE4DA6E8-9857-FEDB-2298-1C793B627B23}"/>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5" name="Text Box 1037" hidden="1">
          <a:extLst>
            <a:ext uri="{FF2B5EF4-FFF2-40B4-BE49-F238E27FC236}">
              <a16:creationId xmlns:a16="http://schemas.microsoft.com/office/drawing/2014/main" id="{5572ABB5-5873-07AA-5412-CBA1E613D9F0}"/>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12" name="Text Box 1044" hidden="1">
          <a:extLst>
            <a:ext uri="{FF2B5EF4-FFF2-40B4-BE49-F238E27FC236}">
              <a16:creationId xmlns:a16="http://schemas.microsoft.com/office/drawing/2014/main" id="{386D2D74-CC4D-7EAE-4A59-8DD6D0B330E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11" name="Text Box 1043" hidden="1">
          <a:extLst>
            <a:ext uri="{FF2B5EF4-FFF2-40B4-BE49-F238E27FC236}">
              <a16:creationId xmlns:a16="http://schemas.microsoft.com/office/drawing/2014/main" id="{45A6E9E6-191A-C357-D3E3-BB6E5ABE446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10" name="Text Box 1042" hidden="1">
          <a:extLst>
            <a:ext uri="{FF2B5EF4-FFF2-40B4-BE49-F238E27FC236}">
              <a16:creationId xmlns:a16="http://schemas.microsoft.com/office/drawing/2014/main" id="{A6CD7237-42D9-1D20-F9E9-E22F8F27A8F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9" name="Text Box 1041" hidden="1">
          <a:extLst>
            <a:ext uri="{FF2B5EF4-FFF2-40B4-BE49-F238E27FC236}">
              <a16:creationId xmlns:a16="http://schemas.microsoft.com/office/drawing/2014/main" id="{57C7FCCE-116A-8452-69D2-817AEA5841CA}"/>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16" name="Text Box 1048" hidden="1">
          <a:extLst>
            <a:ext uri="{FF2B5EF4-FFF2-40B4-BE49-F238E27FC236}">
              <a16:creationId xmlns:a16="http://schemas.microsoft.com/office/drawing/2014/main" id="{DCECAF08-942B-7BBE-B6F8-A9542E6969C2}"/>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5" name="Text Box 1047" hidden="1">
          <a:extLst>
            <a:ext uri="{FF2B5EF4-FFF2-40B4-BE49-F238E27FC236}">
              <a16:creationId xmlns:a16="http://schemas.microsoft.com/office/drawing/2014/main" id="{F796CF67-55F4-91BB-8A14-753A131F26BC}"/>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4" name="Text Box 1046" hidden="1">
          <a:extLst>
            <a:ext uri="{FF2B5EF4-FFF2-40B4-BE49-F238E27FC236}">
              <a16:creationId xmlns:a16="http://schemas.microsoft.com/office/drawing/2014/main" id="{9D789E15-48A4-32C6-5D91-D4734496723B}"/>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3" name="Text Box 1045" hidden="1">
          <a:extLst>
            <a:ext uri="{FF2B5EF4-FFF2-40B4-BE49-F238E27FC236}">
              <a16:creationId xmlns:a16="http://schemas.microsoft.com/office/drawing/2014/main" id="{495F8012-5056-26DB-2289-920D8A34C629}"/>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20" name="Text Box 1052" hidden="1">
          <a:extLst>
            <a:ext uri="{FF2B5EF4-FFF2-40B4-BE49-F238E27FC236}">
              <a16:creationId xmlns:a16="http://schemas.microsoft.com/office/drawing/2014/main" id="{311945DF-B58F-1D46-1E90-2EE293730065}"/>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9" name="Text Box 1051" hidden="1">
          <a:extLst>
            <a:ext uri="{FF2B5EF4-FFF2-40B4-BE49-F238E27FC236}">
              <a16:creationId xmlns:a16="http://schemas.microsoft.com/office/drawing/2014/main" id="{E35776BF-E33D-FEAE-241F-D6EFF5D0984F}"/>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8" name="Text Box 1050" hidden="1">
          <a:extLst>
            <a:ext uri="{FF2B5EF4-FFF2-40B4-BE49-F238E27FC236}">
              <a16:creationId xmlns:a16="http://schemas.microsoft.com/office/drawing/2014/main" id="{81E17F54-4AFC-D23E-10F3-F31AD2A5B097}"/>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7" name="Text Box 1049" hidden="1">
          <a:extLst>
            <a:ext uri="{FF2B5EF4-FFF2-40B4-BE49-F238E27FC236}">
              <a16:creationId xmlns:a16="http://schemas.microsoft.com/office/drawing/2014/main" id="{C73C66B2-9D28-6DC4-1359-21974E777A87}"/>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4" name="Text Box 1056" hidden="1">
          <a:extLst>
            <a:ext uri="{FF2B5EF4-FFF2-40B4-BE49-F238E27FC236}">
              <a16:creationId xmlns:a16="http://schemas.microsoft.com/office/drawing/2014/main" id="{E2C6FFFF-7775-11DF-6242-083E323C9FAA}"/>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3" name="Text Box 1055" hidden="1">
          <a:extLst>
            <a:ext uri="{FF2B5EF4-FFF2-40B4-BE49-F238E27FC236}">
              <a16:creationId xmlns:a16="http://schemas.microsoft.com/office/drawing/2014/main" id="{F3C3B7BD-B179-14FC-5925-E619608B4F0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2" name="Text Box 1054" hidden="1">
          <a:extLst>
            <a:ext uri="{FF2B5EF4-FFF2-40B4-BE49-F238E27FC236}">
              <a16:creationId xmlns:a16="http://schemas.microsoft.com/office/drawing/2014/main" id="{98C4E4F3-D4D8-2450-CC9B-B027F771B020}"/>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1" name="Text Box 1053" hidden="1">
          <a:extLst>
            <a:ext uri="{FF2B5EF4-FFF2-40B4-BE49-F238E27FC236}">
              <a16:creationId xmlns:a16="http://schemas.microsoft.com/office/drawing/2014/main" id="{C3AEA35D-758A-F879-9D58-A1B30651A96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28" name="Text Box 1028" hidden="1">
          <a:extLst>
            <a:ext uri="{FF2B5EF4-FFF2-40B4-BE49-F238E27FC236}">
              <a16:creationId xmlns:a16="http://schemas.microsoft.com/office/drawing/2014/main" id="{56543E08-D962-ABE6-F421-886523FB4531}"/>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27" name="Text Box 1027" hidden="1">
          <a:extLst>
            <a:ext uri="{FF2B5EF4-FFF2-40B4-BE49-F238E27FC236}">
              <a16:creationId xmlns:a16="http://schemas.microsoft.com/office/drawing/2014/main" id="{C256D319-D1AF-07D3-592F-DCEA43B5C17D}"/>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26" name="Text Box 1026" hidden="1">
          <a:extLst>
            <a:ext uri="{FF2B5EF4-FFF2-40B4-BE49-F238E27FC236}">
              <a16:creationId xmlns:a16="http://schemas.microsoft.com/office/drawing/2014/main" id="{95A3FA66-9E2E-3CC4-7E57-DD50B5E95BC1}"/>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25" name="Text Box 1025" hidden="1">
          <a:extLst>
            <a:ext uri="{FF2B5EF4-FFF2-40B4-BE49-F238E27FC236}">
              <a16:creationId xmlns:a16="http://schemas.microsoft.com/office/drawing/2014/main" id="{86F33D4B-00B1-24DC-730C-7159C45B92A9}"/>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8" name="Text Box 36" hidden="1">
          <a:extLst>
            <a:ext uri="{FF2B5EF4-FFF2-40B4-BE49-F238E27FC236}">
              <a16:creationId xmlns:a16="http://schemas.microsoft.com/office/drawing/2014/main" id="{BA5A4131-FD1E-452D-748B-084DC7CE0B18}"/>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7" name="Text Box 35" hidden="1">
          <a:extLst>
            <a:ext uri="{FF2B5EF4-FFF2-40B4-BE49-F238E27FC236}">
              <a16:creationId xmlns:a16="http://schemas.microsoft.com/office/drawing/2014/main" id="{4DFF0166-6CCF-DA64-4BC4-F004F638FB87}"/>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6" name="Text Box 34" hidden="1">
          <a:extLst>
            <a:ext uri="{FF2B5EF4-FFF2-40B4-BE49-F238E27FC236}">
              <a16:creationId xmlns:a16="http://schemas.microsoft.com/office/drawing/2014/main" id="{0B244F46-7A72-C17D-D68E-52870846E5B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5" name="Text Box 33" hidden="1">
          <a:extLst>
            <a:ext uri="{FF2B5EF4-FFF2-40B4-BE49-F238E27FC236}">
              <a16:creationId xmlns:a16="http://schemas.microsoft.com/office/drawing/2014/main" id="{360645C6-79F0-303B-5FCC-430681DAFCF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32" name="Text Box 8" hidden="1">
          <a:extLst>
            <a:ext uri="{FF2B5EF4-FFF2-40B4-BE49-F238E27FC236}">
              <a16:creationId xmlns:a16="http://schemas.microsoft.com/office/drawing/2014/main" id="{BE50D781-8889-A08B-D035-68CF1B2BD8B2}"/>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1" name="Text Box 7" hidden="1">
          <a:extLst>
            <a:ext uri="{FF2B5EF4-FFF2-40B4-BE49-F238E27FC236}">
              <a16:creationId xmlns:a16="http://schemas.microsoft.com/office/drawing/2014/main" id="{E460D574-BC01-CF19-32A8-2CFB90CF2A9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0" name="Text Box 6" hidden="1">
          <a:extLst>
            <a:ext uri="{FF2B5EF4-FFF2-40B4-BE49-F238E27FC236}">
              <a16:creationId xmlns:a16="http://schemas.microsoft.com/office/drawing/2014/main" id="{AC7F05E6-9C19-7994-E6C6-F05F555D1B33}"/>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29" name="Text Box 5" hidden="1">
          <a:extLst>
            <a:ext uri="{FF2B5EF4-FFF2-40B4-BE49-F238E27FC236}">
              <a16:creationId xmlns:a16="http://schemas.microsoft.com/office/drawing/2014/main" id="{3D8A3645-89EC-484C-7115-B334B9641989}"/>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72091</xdr:colOff>
      <xdr:row>0</xdr:row>
      <xdr:rowOff>33617</xdr:rowOff>
    </xdr:from>
    <xdr:to>
      <xdr:col>0</xdr:col>
      <xdr:colOff>725207</xdr:colOff>
      <xdr:row>1</xdr:row>
      <xdr:rowOff>129614</xdr:rowOff>
    </xdr:to>
    <xdr:sp macro="" textlink="">
      <xdr:nvSpPr>
        <xdr:cNvPr id="44" name="Arrow: Pentagon 43">
          <a:hlinkClick xmlns:r="http://schemas.openxmlformats.org/officeDocument/2006/relationships" r:id="rId1"/>
          <a:extLst>
            <a:ext uri="{FF2B5EF4-FFF2-40B4-BE49-F238E27FC236}">
              <a16:creationId xmlns:a16="http://schemas.microsoft.com/office/drawing/2014/main" id="{3F63EE3E-F758-6182-9349-7155332DDA5D}"/>
            </a:ext>
          </a:extLst>
        </xdr:cNvPr>
        <xdr:cNvSpPr/>
      </xdr:nvSpPr>
      <xdr:spPr>
        <a:xfrm>
          <a:off x="72091" y="33617"/>
          <a:ext cx="65311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36" name="Text Box 12" hidden="1">
          <a:extLst>
            <a:ext uri="{FF2B5EF4-FFF2-40B4-BE49-F238E27FC236}">
              <a16:creationId xmlns:a16="http://schemas.microsoft.com/office/drawing/2014/main" id="{F52517D1-4E0D-61F3-6A06-325ED4BEBD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5" name="Text Box 11" hidden="1">
          <a:extLst>
            <a:ext uri="{FF2B5EF4-FFF2-40B4-BE49-F238E27FC236}">
              <a16:creationId xmlns:a16="http://schemas.microsoft.com/office/drawing/2014/main" id="{F58612C1-8C1E-4B2C-AD7F-FC47445D627F}"/>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4" name="Text Box 10" hidden="1">
          <a:extLst>
            <a:ext uri="{FF2B5EF4-FFF2-40B4-BE49-F238E27FC236}">
              <a16:creationId xmlns:a16="http://schemas.microsoft.com/office/drawing/2014/main" id="{4A6463AD-D23D-A9A6-C792-CD38BAD15C0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33" name="Text Box 9" hidden="1">
          <a:extLst>
            <a:ext uri="{FF2B5EF4-FFF2-40B4-BE49-F238E27FC236}">
              <a16:creationId xmlns:a16="http://schemas.microsoft.com/office/drawing/2014/main" id="{ED3C51E0-98C0-64BF-8E7B-4D735C6E2653}"/>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0" name="Text Box 16" hidden="1">
          <a:extLst>
            <a:ext uri="{FF2B5EF4-FFF2-40B4-BE49-F238E27FC236}">
              <a16:creationId xmlns:a16="http://schemas.microsoft.com/office/drawing/2014/main" id="{A88417A0-ECD7-68EB-2C99-4808493ACEA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9" name="Text Box 15" hidden="1">
          <a:extLst>
            <a:ext uri="{FF2B5EF4-FFF2-40B4-BE49-F238E27FC236}">
              <a16:creationId xmlns:a16="http://schemas.microsoft.com/office/drawing/2014/main" id="{638AB3B6-FD27-9F0A-2DC8-CD189D1B8BE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8" name="Text Box 14" hidden="1">
          <a:extLst>
            <a:ext uri="{FF2B5EF4-FFF2-40B4-BE49-F238E27FC236}">
              <a16:creationId xmlns:a16="http://schemas.microsoft.com/office/drawing/2014/main" id="{25AEF771-CD3F-F87B-D47E-CA4A73A30CC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37" name="Text Box 13" hidden="1">
          <a:extLst>
            <a:ext uri="{FF2B5EF4-FFF2-40B4-BE49-F238E27FC236}">
              <a16:creationId xmlns:a16="http://schemas.microsoft.com/office/drawing/2014/main" id="{397DBC5B-E5B6-24D0-E0B4-5F116F40D6A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8" name="Text Box 24" hidden="1">
          <a:extLst>
            <a:ext uri="{FF2B5EF4-FFF2-40B4-BE49-F238E27FC236}">
              <a16:creationId xmlns:a16="http://schemas.microsoft.com/office/drawing/2014/main" id="{EA12FF2F-E6B5-B106-B3C8-11F8B80BD300}"/>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47" name="Text Box 23" hidden="1">
          <a:extLst>
            <a:ext uri="{FF2B5EF4-FFF2-40B4-BE49-F238E27FC236}">
              <a16:creationId xmlns:a16="http://schemas.microsoft.com/office/drawing/2014/main" id="{33108DA1-8D1C-E799-C143-B4C438C2AD08}"/>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46" name="Text Box 22" hidden="1">
          <a:extLst>
            <a:ext uri="{FF2B5EF4-FFF2-40B4-BE49-F238E27FC236}">
              <a16:creationId xmlns:a16="http://schemas.microsoft.com/office/drawing/2014/main" id="{2E1370C6-8FAC-E342-63F4-FEE2DFE08579}"/>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5" name="Text Box 21" hidden="1">
          <a:extLst>
            <a:ext uri="{FF2B5EF4-FFF2-40B4-BE49-F238E27FC236}">
              <a16:creationId xmlns:a16="http://schemas.microsoft.com/office/drawing/2014/main" id="{3BE4DED7-EA1B-FF05-38C3-78C3A72684F4}"/>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4" name="Text Box 20" hidden="1">
          <a:extLst>
            <a:ext uri="{FF2B5EF4-FFF2-40B4-BE49-F238E27FC236}">
              <a16:creationId xmlns:a16="http://schemas.microsoft.com/office/drawing/2014/main" id="{5C700F35-2AA0-1D68-0F87-D101CFD44271}"/>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43" name="Text Box 19" hidden="1">
          <a:extLst>
            <a:ext uri="{FF2B5EF4-FFF2-40B4-BE49-F238E27FC236}">
              <a16:creationId xmlns:a16="http://schemas.microsoft.com/office/drawing/2014/main" id="{C7E4150C-0852-AB2B-0C39-F96FEFCD364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42" name="Text Box 18" hidden="1">
          <a:extLst>
            <a:ext uri="{FF2B5EF4-FFF2-40B4-BE49-F238E27FC236}">
              <a16:creationId xmlns:a16="http://schemas.microsoft.com/office/drawing/2014/main" id="{A0D9E966-CCF5-35B6-087D-222852A01F55}"/>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1" name="Text Box 17" hidden="1">
          <a:extLst>
            <a:ext uri="{FF2B5EF4-FFF2-40B4-BE49-F238E27FC236}">
              <a16:creationId xmlns:a16="http://schemas.microsoft.com/office/drawing/2014/main" id="{4801463B-06D1-374E-BCF9-5EFD77B9245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52" name="Text Box 28" hidden="1">
          <a:extLst>
            <a:ext uri="{FF2B5EF4-FFF2-40B4-BE49-F238E27FC236}">
              <a16:creationId xmlns:a16="http://schemas.microsoft.com/office/drawing/2014/main" id="{7E69E74C-EECC-6585-FB9F-AF3A1812095B}"/>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1" name="Text Box 27" hidden="1">
          <a:extLst>
            <a:ext uri="{FF2B5EF4-FFF2-40B4-BE49-F238E27FC236}">
              <a16:creationId xmlns:a16="http://schemas.microsoft.com/office/drawing/2014/main" id="{AB626291-8082-B355-1874-197AEF7F988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0" name="Text Box 26" hidden="1">
          <a:extLst>
            <a:ext uri="{FF2B5EF4-FFF2-40B4-BE49-F238E27FC236}">
              <a16:creationId xmlns:a16="http://schemas.microsoft.com/office/drawing/2014/main" id="{E4961183-306A-A7C1-8A38-0EF2B8861377}"/>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9" name="Text Box 25" hidden="1">
          <a:extLst>
            <a:ext uri="{FF2B5EF4-FFF2-40B4-BE49-F238E27FC236}">
              <a16:creationId xmlns:a16="http://schemas.microsoft.com/office/drawing/2014/main" id="{09651681-F816-12E2-B726-768033E1D83B}"/>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56" name="Text Box 32" hidden="1">
          <a:extLst>
            <a:ext uri="{FF2B5EF4-FFF2-40B4-BE49-F238E27FC236}">
              <a16:creationId xmlns:a16="http://schemas.microsoft.com/office/drawing/2014/main" id="{310D24F5-BAA1-6A7A-71C5-09AE08905EFF}"/>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5" name="Text Box 31" hidden="1">
          <a:extLst>
            <a:ext uri="{FF2B5EF4-FFF2-40B4-BE49-F238E27FC236}">
              <a16:creationId xmlns:a16="http://schemas.microsoft.com/office/drawing/2014/main" id="{B26CE032-AE2A-E847-9E0C-6DA3C1DE5F8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4" name="Text Box 30" hidden="1">
          <a:extLst>
            <a:ext uri="{FF2B5EF4-FFF2-40B4-BE49-F238E27FC236}">
              <a16:creationId xmlns:a16="http://schemas.microsoft.com/office/drawing/2014/main" id="{3E15228F-8BD6-35B7-A04F-4DFA22888E04}"/>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53" name="Text Box 29" hidden="1">
          <a:extLst>
            <a:ext uri="{FF2B5EF4-FFF2-40B4-BE49-F238E27FC236}">
              <a16:creationId xmlns:a16="http://schemas.microsoft.com/office/drawing/2014/main" id="{A0DDF199-6FC0-3257-EBF9-009723C685A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60" name="Text Box 36" hidden="1">
          <a:extLst>
            <a:ext uri="{FF2B5EF4-FFF2-40B4-BE49-F238E27FC236}">
              <a16:creationId xmlns:a16="http://schemas.microsoft.com/office/drawing/2014/main" id="{200369C5-CD1D-B78C-0262-920296A771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9" name="Text Box 35" hidden="1">
          <a:extLst>
            <a:ext uri="{FF2B5EF4-FFF2-40B4-BE49-F238E27FC236}">
              <a16:creationId xmlns:a16="http://schemas.microsoft.com/office/drawing/2014/main" id="{4EF9656D-C981-821E-0E16-BE0A70BCC54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8" name="Text Box 34" hidden="1">
          <a:extLst>
            <a:ext uri="{FF2B5EF4-FFF2-40B4-BE49-F238E27FC236}">
              <a16:creationId xmlns:a16="http://schemas.microsoft.com/office/drawing/2014/main" id="{2812D82A-F8BD-63FA-397B-0607A570AE9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57" name="Text Box 33" hidden="1">
          <a:extLst>
            <a:ext uri="{FF2B5EF4-FFF2-40B4-BE49-F238E27FC236}">
              <a16:creationId xmlns:a16="http://schemas.microsoft.com/office/drawing/2014/main" id="{8A43A7A3-36C4-96FD-DBB2-6D9FD857E8C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2" name="Text Box 1025" hidden="1">
          <a:extLst>
            <a:ext uri="{FF2B5EF4-FFF2-40B4-BE49-F238E27FC236}">
              <a16:creationId xmlns:a16="http://schemas.microsoft.com/office/drawing/2014/main" id="{ECBB749B-8B56-4FEE-86FD-605AB42E077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3" name="Text Box 3" hidden="1">
          <a:extLst>
            <a:ext uri="{FF2B5EF4-FFF2-40B4-BE49-F238E27FC236}">
              <a16:creationId xmlns:a16="http://schemas.microsoft.com/office/drawing/2014/main" id="{743577EB-014D-49F1-BF3E-055AFC35F59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3000E331-2DB5-4881-86E7-2AC241D5C20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5" name="Text Box 4" hidden="1">
          <a:extLst>
            <a:ext uri="{FF2B5EF4-FFF2-40B4-BE49-F238E27FC236}">
              <a16:creationId xmlns:a16="http://schemas.microsoft.com/office/drawing/2014/main" id="{6926F21E-62E9-4EEA-9B3C-58F27AFC658D}"/>
            </a:ext>
          </a:extLst>
        </xdr:cNvPr>
        <xdr:cNvSpPr txBox="1">
          <a:spLocks noChangeArrowheads="1"/>
        </xdr:cNvSpPr>
      </xdr:nvSpPr>
      <xdr:spPr bwMode="auto">
        <a:xfrm>
          <a:off x="4572000" y="4361815"/>
          <a:ext cx="1447800" cy="7425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CAD8A8AB-337C-4100-9FC8-DA225D3F58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7" name="Text Box 4" hidden="1">
          <a:extLst>
            <a:ext uri="{FF2B5EF4-FFF2-40B4-BE49-F238E27FC236}">
              <a16:creationId xmlns:a16="http://schemas.microsoft.com/office/drawing/2014/main" id="{94355D08-E797-4AAB-B233-34CB6E0B40E7}"/>
            </a:ext>
          </a:extLst>
        </xdr:cNvPr>
        <xdr:cNvSpPr txBox="1">
          <a:spLocks noChangeArrowheads="1"/>
        </xdr:cNvSpPr>
      </xdr:nvSpPr>
      <xdr:spPr bwMode="auto">
        <a:xfrm>
          <a:off x="4572000" y="4361815"/>
          <a:ext cx="1447800" cy="7425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AE680059-4F6B-4C73-85B7-5A1F34A33F2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9" name="Text Box 4" hidden="1">
          <a:extLst>
            <a:ext uri="{FF2B5EF4-FFF2-40B4-BE49-F238E27FC236}">
              <a16:creationId xmlns:a16="http://schemas.microsoft.com/office/drawing/2014/main" id="{F0E07FDB-6EE7-4507-90A8-91297DA61B77}"/>
            </a:ext>
          </a:extLst>
        </xdr:cNvPr>
        <xdr:cNvSpPr txBox="1">
          <a:spLocks noChangeArrowheads="1"/>
        </xdr:cNvSpPr>
      </xdr:nvSpPr>
      <xdr:spPr bwMode="auto">
        <a:xfrm>
          <a:off x="4572000" y="4371975"/>
          <a:ext cx="1447800" cy="7349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 name="Text Box 5" hidden="1">
          <a:extLst>
            <a:ext uri="{FF2B5EF4-FFF2-40B4-BE49-F238E27FC236}">
              <a16:creationId xmlns:a16="http://schemas.microsoft.com/office/drawing/2014/main" id="{4E87788B-D118-475E-B17A-D66A6CBA5C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11" name="Text Box 4" hidden="1">
          <a:extLst>
            <a:ext uri="{FF2B5EF4-FFF2-40B4-BE49-F238E27FC236}">
              <a16:creationId xmlns:a16="http://schemas.microsoft.com/office/drawing/2014/main" id="{BD159F8E-BA8E-4B32-88A8-B7A9508B8022}"/>
            </a:ext>
          </a:extLst>
        </xdr:cNvPr>
        <xdr:cNvSpPr txBox="1">
          <a:spLocks noChangeArrowheads="1"/>
        </xdr:cNvSpPr>
      </xdr:nvSpPr>
      <xdr:spPr bwMode="auto">
        <a:xfrm>
          <a:off x="4572000" y="4361815"/>
          <a:ext cx="1447800" cy="7234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2" name="Text Box 5" hidden="1">
          <a:extLst>
            <a:ext uri="{FF2B5EF4-FFF2-40B4-BE49-F238E27FC236}">
              <a16:creationId xmlns:a16="http://schemas.microsoft.com/office/drawing/2014/main" id="{C50EB2B3-49BC-4BE4-A378-DB2B7579C5A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13" name="Text Box 4" hidden="1">
          <a:extLst>
            <a:ext uri="{FF2B5EF4-FFF2-40B4-BE49-F238E27FC236}">
              <a16:creationId xmlns:a16="http://schemas.microsoft.com/office/drawing/2014/main" id="{2735B47E-E903-474E-97BC-055FB4C05D26}"/>
            </a:ext>
          </a:extLst>
        </xdr:cNvPr>
        <xdr:cNvSpPr txBox="1">
          <a:spLocks noChangeArrowheads="1"/>
        </xdr:cNvSpPr>
      </xdr:nvSpPr>
      <xdr:spPr bwMode="auto">
        <a:xfrm>
          <a:off x="4572000" y="4352925"/>
          <a:ext cx="1447800" cy="7323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4" name="Text Box 6" hidden="1">
          <a:extLst>
            <a:ext uri="{FF2B5EF4-FFF2-40B4-BE49-F238E27FC236}">
              <a16:creationId xmlns:a16="http://schemas.microsoft.com/office/drawing/2014/main" id="{4AF253FC-3F46-4451-B47D-448ECEF3034B}"/>
            </a:ext>
          </a:extLst>
        </xdr:cNvPr>
        <xdr:cNvSpPr txBox="1">
          <a:spLocks noChangeArrowheads="1"/>
        </xdr:cNvSpPr>
      </xdr:nvSpPr>
      <xdr:spPr bwMode="auto">
        <a:xfrm>
          <a:off x="4533900" y="4191000"/>
          <a:ext cx="1295400" cy="789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5" name="Text Box 1" hidden="1">
          <a:extLst>
            <a:ext uri="{FF2B5EF4-FFF2-40B4-BE49-F238E27FC236}">
              <a16:creationId xmlns:a16="http://schemas.microsoft.com/office/drawing/2014/main" id="{35473ED7-2342-4262-A85C-D53966C4D41E}"/>
            </a:ext>
          </a:extLst>
        </xdr:cNvPr>
        <xdr:cNvSpPr txBox="1">
          <a:spLocks noChangeArrowheads="1"/>
        </xdr:cNvSpPr>
      </xdr:nvSpPr>
      <xdr:spPr bwMode="auto">
        <a:xfrm>
          <a:off x="4533900" y="4191000"/>
          <a:ext cx="1295400" cy="789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141817</xdr:rowOff>
    </xdr:to>
    <xdr:sp macro="" textlink="">
      <xdr:nvSpPr>
        <xdr:cNvPr id="16" name="Text Box 1026" hidden="1">
          <a:extLst>
            <a:ext uri="{FF2B5EF4-FFF2-40B4-BE49-F238E27FC236}">
              <a16:creationId xmlns:a16="http://schemas.microsoft.com/office/drawing/2014/main" id="{A5955CC3-AA40-414C-BE42-64CFEE72049E}"/>
            </a:ext>
          </a:extLst>
        </xdr:cNvPr>
        <xdr:cNvSpPr txBox="1">
          <a:spLocks noChangeArrowheads="1"/>
        </xdr:cNvSpPr>
      </xdr:nvSpPr>
      <xdr:spPr bwMode="auto">
        <a:xfrm>
          <a:off x="4533900" y="4179570"/>
          <a:ext cx="1295400" cy="8009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7" name="Text Box 3" hidden="1">
          <a:extLst>
            <a:ext uri="{FF2B5EF4-FFF2-40B4-BE49-F238E27FC236}">
              <a16:creationId xmlns:a16="http://schemas.microsoft.com/office/drawing/2014/main" id="{057B7E9E-A5CF-414C-AB79-489B995413F3}"/>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8" name="Text Box 3" hidden="1">
          <a:extLst>
            <a:ext uri="{FF2B5EF4-FFF2-40B4-BE49-F238E27FC236}">
              <a16:creationId xmlns:a16="http://schemas.microsoft.com/office/drawing/2014/main" id="{83A6A10F-6E47-4B7B-B991-BDB83C381728}"/>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9" name="Text Box 3" hidden="1">
          <a:extLst>
            <a:ext uri="{FF2B5EF4-FFF2-40B4-BE49-F238E27FC236}">
              <a16:creationId xmlns:a16="http://schemas.microsoft.com/office/drawing/2014/main" id="{1C09CD8D-D2F3-49EA-B466-33E2F7A13A55}"/>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20" name="Text Box 3" hidden="1">
          <a:extLst>
            <a:ext uri="{FF2B5EF4-FFF2-40B4-BE49-F238E27FC236}">
              <a16:creationId xmlns:a16="http://schemas.microsoft.com/office/drawing/2014/main" id="{C8380F29-7F6C-4A45-8D9E-412E9730175D}"/>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1" name="Text Box 5" hidden="1">
          <a:extLst>
            <a:ext uri="{FF2B5EF4-FFF2-40B4-BE49-F238E27FC236}">
              <a16:creationId xmlns:a16="http://schemas.microsoft.com/office/drawing/2014/main" id="{870B1502-DA5E-4AA6-AEAD-009562DD9AE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2" name="Text Box 4" hidden="1">
          <a:extLst>
            <a:ext uri="{FF2B5EF4-FFF2-40B4-BE49-F238E27FC236}">
              <a16:creationId xmlns:a16="http://schemas.microsoft.com/office/drawing/2014/main" id="{96469756-4942-4D9F-A3E9-36E4E8460246}"/>
            </a:ext>
          </a:extLst>
        </xdr:cNvPr>
        <xdr:cNvSpPr txBox="1">
          <a:spLocks noChangeArrowheads="1"/>
        </xdr:cNvSpPr>
      </xdr:nvSpPr>
      <xdr:spPr bwMode="auto">
        <a:xfrm>
          <a:off x="4572000" y="7459133"/>
          <a:ext cx="1447800" cy="7157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3" name="Text Box 5" hidden="1">
          <a:extLst>
            <a:ext uri="{FF2B5EF4-FFF2-40B4-BE49-F238E27FC236}">
              <a16:creationId xmlns:a16="http://schemas.microsoft.com/office/drawing/2014/main" id="{8C0593E5-DD66-42FF-B9CA-5009E8F954B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4" name="Text Box 4" hidden="1">
          <a:extLst>
            <a:ext uri="{FF2B5EF4-FFF2-40B4-BE49-F238E27FC236}">
              <a16:creationId xmlns:a16="http://schemas.microsoft.com/office/drawing/2014/main" id="{8335CD08-C622-44E1-B3B0-66ED9F4B131E}"/>
            </a:ext>
          </a:extLst>
        </xdr:cNvPr>
        <xdr:cNvSpPr txBox="1">
          <a:spLocks noChangeArrowheads="1"/>
        </xdr:cNvSpPr>
      </xdr:nvSpPr>
      <xdr:spPr bwMode="auto">
        <a:xfrm>
          <a:off x="4572000" y="7459133"/>
          <a:ext cx="1447800" cy="71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5" name="Text Box 3" hidden="1">
          <a:extLst>
            <a:ext uri="{FF2B5EF4-FFF2-40B4-BE49-F238E27FC236}">
              <a16:creationId xmlns:a16="http://schemas.microsoft.com/office/drawing/2014/main" id="{18DB5D99-62B7-4DCC-9847-94B4BE73B6FC}"/>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6" name="Text Box 5" hidden="1">
          <a:extLst>
            <a:ext uri="{FF2B5EF4-FFF2-40B4-BE49-F238E27FC236}">
              <a16:creationId xmlns:a16="http://schemas.microsoft.com/office/drawing/2014/main" id="{640F3FD6-AAD6-4DCC-9785-93B47809A6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7" name="Text Box 4" hidden="1">
          <a:extLst>
            <a:ext uri="{FF2B5EF4-FFF2-40B4-BE49-F238E27FC236}">
              <a16:creationId xmlns:a16="http://schemas.microsoft.com/office/drawing/2014/main" id="{6FB127F6-C68E-4846-BF99-84F8D0C55A27}"/>
            </a:ext>
          </a:extLst>
        </xdr:cNvPr>
        <xdr:cNvSpPr txBox="1">
          <a:spLocks noChangeArrowheads="1"/>
        </xdr:cNvSpPr>
      </xdr:nvSpPr>
      <xdr:spPr bwMode="auto">
        <a:xfrm>
          <a:off x="19573875" y="3667125"/>
          <a:ext cx="13239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8" name="Text Box 5" hidden="1">
          <a:extLst>
            <a:ext uri="{FF2B5EF4-FFF2-40B4-BE49-F238E27FC236}">
              <a16:creationId xmlns:a16="http://schemas.microsoft.com/office/drawing/2014/main" id="{8A5CE19F-A7BA-41CE-A024-CC51F8DE846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9" name="Text Box 4" hidden="1">
          <a:extLst>
            <a:ext uri="{FF2B5EF4-FFF2-40B4-BE49-F238E27FC236}">
              <a16:creationId xmlns:a16="http://schemas.microsoft.com/office/drawing/2014/main" id="{B3577A04-62DF-464F-BDFC-379BD87178C7}"/>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0" name="Text Box 5" hidden="1">
          <a:extLst>
            <a:ext uri="{FF2B5EF4-FFF2-40B4-BE49-F238E27FC236}">
              <a16:creationId xmlns:a16="http://schemas.microsoft.com/office/drawing/2014/main" id="{B64C5363-A72F-4202-826B-93221CA1B3D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1" name="Text Box 4" hidden="1">
          <a:extLst>
            <a:ext uri="{FF2B5EF4-FFF2-40B4-BE49-F238E27FC236}">
              <a16:creationId xmlns:a16="http://schemas.microsoft.com/office/drawing/2014/main" id="{8239C873-D2F7-4041-B370-242F389270F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2" name="Text Box 9" hidden="1">
          <a:extLst>
            <a:ext uri="{FF2B5EF4-FFF2-40B4-BE49-F238E27FC236}">
              <a16:creationId xmlns:a16="http://schemas.microsoft.com/office/drawing/2014/main" id="{D60EEB46-ED75-4735-949B-0643CFDC93B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3" name="Text Box 8" hidden="1">
          <a:extLst>
            <a:ext uri="{FF2B5EF4-FFF2-40B4-BE49-F238E27FC236}">
              <a16:creationId xmlns:a16="http://schemas.microsoft.com/office/drawing/2014/main" id="{935C3AC4-A3E0-4A74-93AB-845A4CA67C8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4" name="Text Box 7" hidden="1">
          <a:extLst>
            <a:ext uri="{FF2B5EF4-FFF2-40B4-BE49-F238E27FC236}">
              <a16:creationId xmlns:a16="http://schemas.microsoft.com/office/drawing/2014/main" id="{F9A7F44B-419B-455B-AC1B-46CC34E25B6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5" name="Text Box 6" hidden="1">
          <a:extLst>
            <a:ext uri="{FF2B5EF4-FFF2-40B4-BE49-F238E27FC236}">
              <a16:creationId xmlns:a16="http://schemas.microsoft.com/office/drawing/2014/main" id="{E7BA1937-2D57-44FF-8330-27503E636D7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6" name="Text Box 5" hidden="1">
          <a:extLst>
            <a:ext uri="{FF2B5EF4-FFF2-40B4-BE49-F238E27FC236}">
              <a16:creationId xmlns:a16="http://schemas.microsoft.com/office/drawing/2014/main" id="{9CAEF361-DD07-4E9B-8C35-3B567AE1592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7" name="Text Box 4" hidden="1">
          <a:extLst>
            <a:ext uri="{FF2B5EF4-FFF2-40B4-BE49-F238E27FC236}">
              <a16:creationId xmlns:a16="http://schemas.microsoft.com/office/drawing/2014/main" id="{806F69AC-0D09-4CC8-8C5C-3742A17A213F}"/>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8" name="Text Box 9" hidden="1">
          <a:extLst>
            <a:ext uri="{FF2B5EF4-FFF2-40B4-BE49-F238E27FC236}">
              <a16:creationId xmlns:a16="http://schemas.microsoft.com/office/drawing/2014/main" id="{C70D3136-0B89-4946-931A-2A13B476252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9" name="Text Box 8" hidden="1">
          <a:extLst>
            <a:ext uri="{FF2B5EF4-FFF2-40B4-BE49-F238E27FC236}">
              <a16:creationId xmlns:a16="http://schemas.microsoft.com/office/drawing/2014/main" id="{099B51A5-22B5-4D1A-AA94-08CDB91C847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0" name="Text Box 7" hidden="1">
          <a:extLst>
            <a:ext uri="{FF2B5EF4-FFF2-40B4-BE49-F238E27FC236}">
              <a16:creationId xmlns:a16="http://schemas.microsoft.com/office/drawing/2014/main" id="{90AD1CC4-BC6D-4DB6-96D6-006F37B51572}"/>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1" name="Text Box 6" hidden="1">
          <a:extLst>
            <a:ext uri="{FF2B5EF4-FFF2-40B4-BE49-F238E27FC236}">
              <a16:creationId xmlns:a16="http://schemas.microsoft.com/office/drawing/2014/main" id="{94405316-7CE4-4D2C-98AE-05D9747F90D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2" name="Text Box 5" hidden="1">
          <a:extLst>
            <a:ext uri="{FF2B5EF4-FFF2-40B4-BE49-F238E27FC236}">
              <a16:creationId xmlns:a16="http://schemas.microsoft.com/office/drawing/2014/main" id="{72EA4791-6467-4046-87A8-A848F283BC1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3" name="Text Box 4" hidden="1">
          <a:extLst>
            <a:ext uri="{FF2B5EF4-FFF2-40B4-BE49-F238E27FC236}">
              <a16:creationId xmlns:a16="http://schemas.microsoft.com/office/drawing/2014/main" id="{1F319975-7685-4F5F-B812-649ABADB35D3}"/>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4" name="Text Box 5" hidden="1">
          <a:extLst>
            <a:ext uri="{FF2B5EF4-FFF2-40B4-BE49-F238E27FC236}">
              <a16:creationId xmlns:a16="http://schemas.microsoft.com/office/drawing/2014/main" id="{1821865F-6519-482B-A655-B1726342441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5" name="Text Box 4" hidden="1">
          <a:extLst>
            <a:ext uri="{FF2B5EF4-FFF2-40B4-BE49-F238E27FC236}">
              <a16:creationId xmlns:a16="http://schemas.microsoft.com/office/drawing/2014/main" id="{D2E4AE40-3777-46F4-8265-1F6224032D29}"/>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6" name="Text Box 5" hidden="1">
          <a:extLst>
            <a:ext uri="{FF2B5EF4-FFF2-40B4-BE49-F238E27FC236}">
              <a16:creationId xmlns:a16="http://schemas.microsoft.com/office/drawing/2014/main" id="{E9D1E4EF-D5BB-4D4E-951B-96CE829BE0A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7" name="Text Box 4" hidden="1">
          <a:extLst>
            <a:ext uri="{FF2B5EF4-FFF2-40B4-BE49-F238E27FC236}">
              <a16:creationId xmlns:a16="http://schemas.microsoft.com/office/drawing/2014/main" id="{22262148-4E9F-490F-919A-2D69BE6347A1}"/>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8" name="Text Box 5" hidden="1">
          <a:extLst>
            <a:ext uri="{FF2B5EF4-FFF2-40B4-BE49-F238E27FC236}">
              <a16:creationId xmlns:a16="http://schemas.microsoft.com/office/drawing/2014/main" id="{C1FED71C-8C31-4499-89CE-B7E594B1F35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9" name="Text Box 4" hidden="1">
          <a:extLst>
            <a:ext uri="{FF2B5EF4-FFF2-40B4-BE49-F238E27FC236}">
              <a16:creationId xmlns:a16="http://schemas.microsoft.com/office/drawing/2014/main" id="{45084DBE-72B6-4B69-93AE-C584D4E1C67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0" name="Text Box 5" hidden="1">
          <a:extLst>
            <a:ext uri="{FF2B5EF4-FFF2-40B4-BE49-F238E27FC236}">
              <a16:creationId xmlns:a16="http://schemas.microsoft.com/office/drawing/2014/main" id="{280C5053-1D24-46A9-AFA0-17F3C3E103C6}"/>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1" name="Text Box 4" hidden="1">
          <a:extLst>
            <a:ext uri="{FF2B5EF4-FFF2-40B4-BE49-F238E27FC236}">
              <a16:creationId xmlns:a16="http://schemas.microsoft.com/office/drawing/2014/main" id="{87E6BC22-8546-44C1-827E-58C74BF059B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2" name="Text Box 5" hidden="1">
          <a:extLst>
            <a:ext uri="{FF2B5EF4-FFF2-40B4-BE49-F238E27FC236}">
              <a16:creationId xmlns:a16="http://schemas.microsoft.com/office/drawing/2014/main" id="{C8EB841C-9E05-4B1C-9250-AE5E0D786C8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3" name="Text Box 4" hidden="1">
          <a:extLst>
            <a:ext uri="{FF2B5EF4-FFF2-40B4-BE49-F238E27FC236}">
              <a16:creationId xmlns:a16="http://schemas.microsoft.com/office/drawing/2014/main" id="{D76CC649-7924-4DFF-B598-48807EEB394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4" name="Text Box 4" hidden="1">
          <a:extLst>
            <a:ext uri="{FF2B5EF4-FFF2-40B4-BE49-F238E27FC236}">
              <a16:creationId xmlns:a16="http://schemas.microsoft.com/office/drawing/2014/main" id="{6500A06E-E7C3-420F-A9DC-A7ECE4E9A243}"/>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5" name="Text Box 3" hidden="1">
          <a:extLst>
            <a:ext uri="{FF2B5EF4-FFF2-40B4-BE49-F238E27FC236}">
              <a16:creationId xmlns:a16="http://schemas.microsoft.com/office/drawing/2014/main" id="{956B44C7-F651-4277-95F5-B3A742647C7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56" name="Text Box 2" hidden="1">
          <a:extLst>
            <a:ext uri="{FF2B5EF4-FFF2-40B4-BE49-F238E27FC236}">
              <a16:creationId xmlns:a16="http://schemas.microsoft.com/office/drawing/2014/main" id="{EE904E9D-7EF9-4869-ABD9-AE48850E0562}"/>
            </a:ext>
          </a:extLst>
        </xdr:cNvPr>
        <xdr:cNvSpPr txBox="1">
          <a:spLocks noChangeArrowheads="1"/>
        </xdr:cNvSpPr>
      </xdr:nvSpPr>
      <xdr:spPr bwMode="auto">
        <a:xfrm>
          <a:off x="4514850" y="4391025"/>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57" name="Text Box 1" hidden="1">
          <a:extLst>
            <a:ext uri="{FF2B5EF4-FFF2-40B4-BE49-F238E27FC236}">
              <a16:creationId xmlns:a16="http://schemas.microsoft.com/office/drawing/2014/main" id="{09754733-3330-4F88-ABD3-A8CF2406792A}"/>
            </a:ext>
          </a:extLst>
        </xdr:cNvPr>
        <xdr:cNvSpPr txBox="1">
          <a:spLocks noChangeArrowheads="1"/>
        </xdr:cNvSpPr>
      </xdr:nvSpPr>
      <xdr:spPr bwMode="auto">
        <a:xfrm>
          <a:off x="16735425" y="4191000"/>
          <a:ext cx="14287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8" name="Text Box 1032" hidden="1">
          <a:extLst>
            <a:ext uri="{FF2B5EF4-FFF2-40B4-BE49-F238E27FC236}">
              <a16:creationId xmlns:a16="http://schemas.microsoft.com/office/drawing/2014/main" id="{468A70D8-57F8-4C4A-8C8E-2847E024DD5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9" name="Text Box 1031" hidden="1">
          <a:extLst>
            <a:ext uri="{FF2B5EF4-FFF2-40B4-BE49-F238E27FC236}">
              <a16:creationId xmlns:a16="http://schemas.microsoft.com/office/drawing/2014/main" id="{C87CB2BF-5434-428F-A432-0D91DC0BB0A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0" name="Text Box 1029" hidden="1">
          <a:extLst>
            <a:ext uri="{FF2B5EF4-FFF2-40B4-BE49-F238E27FC236}">
              <a16:creationId xmlns:a16="http://schemas.microsoft.com/office/drawing/2014/main" id="{BB4F5034-7A42-4C0E-B89D-F94658A4DC20}"/>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1" name="Text Box 1035" hidden="1">
          <a:extLst>
            <a:ext uri="{FF2B5EF4-FFF2-40B4-BE49-F238E27FC236}">
              <a16:creationId xmlns:a16="http://schemas.microsoft.com/office/drawing/2014/main" id="{01B086A1-DAD1-48E2-855E-A2021E55DE8D}"/>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2" name="Text Box 1034" hidden="1">
          <a:extLst>
            <a:ext uri="{FF2B5EF4-FFF2-40B4-BE49-F238E27FC236}">
              <a16:creationId xmlns:a16="http://schemas.microsoft.com/office/drawing/2014/main" id="{10DE6AB9-ED04-481E-9CBC-287F19B9E0D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3" name="Text Box 1033" hidden="1">
          <a:extLst>
            <a:ext uri="{FF2B5EF4-FFF2-40B4-BE49-F238E27FC236}">
              <a16:creationId xmlns:a16="http://schemas.microsoft.com/office/drawing/2014/main" id="{B78C0C4D-1250-456D-8542-417EC5DA38F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4" name="Text Box 1038" hidden="1">
          <a:extLst>
            <a:ext uri="{FF2B5EF4-FFF2-40B4-BE49-F238E27FC236}">
              <a16:creationId xmlns:a16="http://schemas.microsoft.com/office/drawing/2014/main" id="{C4ACEB07-B68B-4A82-AF31-8B2F659241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5" name="Text Box 1037" hidden="1">
          <a:extLst>
            <a:ext uri="{FF2B5EF4-FFF2-40B4-BE49-F238E27FC236}">
              <a16:creationId xmlns:a16="http://schemas.microsoft.com/office/drawing/2014/main" id="{14A91203-D8E4-47E9-BD31-B3CFD6AD86F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6" name="Text Box 1036" hidden="1">
          <a:extLst>
            <a:ext uri="{FF2B5EF4-FFF2-40B4-BE49-F238E27FC236}">
              <a16:creationId xmlns:a16="http://schemas.microsoft.com/office/drawing/2014/main" id="{2E171847-604A-40C1-B709-CB7CB986340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7" name="Text Box 1040" hidden="1">
          <a:extLst>
            <a:ext uri="{FF2B5EF4-FFF2-40B4-BE49-F238E27FC236}">
              <a16:creationId xmlns:a16="http://schemas.microsoft.com/office/drawing/2014/main" id="{0EAE56F9-0D04-4B98-B16E-1F8CCB30163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21</xdr:row>
      <xdr:rowOff>76200</xdr:rowOff>
    </xdr:from>
    <xdr:to>
      <xdr:col>20</xdr:col>
      <xdr:colOff>0</xdr:colOff>
      <xdr:row>25</xdr:row>
      <xdr:rowOff>76200</xdr:rowOff>
    </xdr:to>
    <xdr:sp macro="" textlink="">
      <xdr:nvSpPr>
        <xdr:cNvPr id="68" name="Text Box 1039" hidden="1">
          <a:extLst>
            <a:ext uri="{FF2B5EF4-FFF2-40B4-BE49-F238E27FC236}">
              <a16:creationId xmlns:a16="http://schemas.microsoft.com/office/drawing/2014/main" id="{AB926DBD-38CB-42A2-A78B-FB0739C8E0BC}"/>
            </a:ext>
          </a:extLst>
        </xdr:cNvPr>
        <xdr:cNvSpPr txBox="1">
          <a:spLocks noChangeArrowheads="1"/>
        </xdr:cNvSpPr>
      </xdr:nvSpPr>
      <xdr:spPr bwMode="auto">
        <a:xfrm>
          <a:off x="16735425" y="4352925"/>
          <a:ext cx="14097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114300</xdr:rowOff>
    </xdr:to>
    <xdr:sp macro="" textlink="">
      <xdr:nvSpPr>
        <xdr:cNvPr id="69" name="Text Box 1042" hidden="1">
          <a:extLst>
            <a:ext uri="{FF2B5EF4-FFF2-40B4-BE49-F238E27FC236}">
              <a16:creationId xmlns:a16="http://schemas.microsoft.com/office/drawing/2014/main" id="{8329283A-8087-4C18-A9BD-563DDEB04F15}"/>
            </a:ext>
          </a:extLst>
        </xdr:cNvPr>
        <xdr:cNvSpPr txBox="1">
          <a:spLocks noChangeArrowheads="1"/>
        </xdr:cNvSpPr>
      </xdr:nvSpPr>
      <xdr:spPr bwMode="auto">
        <a:xfrm>
          <a:off x="4533900" y="419100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695325</xdr:colOff>
      <xdr:row>17</xdr:row>
      <xdr:rowOff>114300</xdr:rowOff>
    </xdr:from>
    <xdr:to>
      <xdr:col>23</xdr:col>
      <xdr:colOff>514350</xdr:colOff>
      <xdr:row>22</xdr:row>
      <xdr:rowOff>0</xdr:rowOff>
    </xdr:to>
    <xdr:sp macro="" textlink="">
      <xdr:nvSpPr>
        <xdr:cNvPr id="305153" name="Text Box 1025" hidden="1">
          <a:extLst>
            <a:ext uri="{FF2B5EF4-FFF2-40B4-BE49-F238E27FC236}">
              <a16:creationId xmlns:a16="http://schemas.microsoft.com/office/drawing/2014/main" id="{8A19B203-8A4B-4469-8F8E-140A390E820F}"/>
            </a:ext>
          </a:extLst>
        </xdr:cNvPr>
        <xdr:cNvSpPr txBox="1">
          <a:spLocks noChangeArrowheads="1"/>
        </xdr:cNvSpPr>
      </xdr:nvSpPr>
      <xdr:spPr bwMode="auto">
        <a:xfrm>
          <a:off x="18783300" y="374332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xdr:row>
      <xdr:rowOff>114300</xdr:rowOff>
    </xdr:from>
    <xdr:to>
      <xdr:col>3</xdr:col>
      <xdr:colOff>609600</xdr:colOff>
      <xdr:row>24</xdr:row>
      <xdr:rowOff>161925</xdr:rowOff>
    </xdr:to>
    <xdr:sp macro="" textlink="">
      <xdr:nvSpPr>
        <xdr:cNvPr id="305154" name="Text Box 1026" hidden="1">
          <a:extLst>
            <a:ext uri="{FF2B5EF4-FFF2-40B4-BE49-F238E27FC236}">
              <a16:creationId xmlns:a16="http://schemas.microsoft.com/office/drawing/2014/main" id="{179AB7F1-8982-40B4-9EDB-A6D528CB9452}"/>
            </a:ext>
          </a:extLst>
        </xdr:cNvPr>
        <xdr:cNvSpPr txBox="1">
          <a:spLocks noChangeArrowheads="1"/>
        </xdr:cNvSpPr>
      </xdr:nvSpPr>
      <xdr:spPr bwMode="auto">
        <a:xfrm>
          <a:off x="4352925" y="4295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504825</xdr:colOff>
      <xdr:row>21</xdr:row>
      <xdr:rowOff>114300</xdr:rowOff>
    </xdr:from>
    <xdr:to>
      <xdr:col>19</xdr:col>
      <xdr:colOff>514350</xdr:colOff>
      <xdr:row>25</xdr:row>
      <xdr:rowOff>161925</xdr:rowOff>
    </xdr:to>
    <xdr:sp macro="" textlink="">
      <xdr:nvSpPr>
        <xdr:cNvPr id="305155" name="Text Box 1027" hidden="1">
          <a:extLst>
            <a:ext uri="{FF2B5EF4-FFF2-40B4-BE49-F238E27FC236}">
              <a16:creationId xmlns:a16="http://schemas.microsoft.com/office/drawing/2014/main" id="{7B5117E5-9501-4A02-9D64-D4BC0ED9B360}"/>
            </a:ext>
          </a:extLst>
        </xdr:cNvPr>
        <xdr:cNvSpPr txBox="1">
          <a:spLocks noChangeArrowheads="1"/>
        </xdr:cNvSpPr>
      </xdr:nvSpPr>
      <xdr:spPr bwMode="auto">
        <a:xfrm>
          <a:off x="15982950" y="448627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58" name="Text Box 1030" hidden="1">
          <a:extLst>
            <a:ext uri="{FF2B5EF4-FFF2-40B4-BE49-F238E27FC236}">
              <a16:creationId xmlns:a16="http://schemas.microsoft.com/office/drawing/2014/main" id="{F4133E9F-DBCE-4536-867B-F8F3CC3EF09D}"/>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57" name="Text Box 1029" hidden="1">
          <a:extLst>
            <a:ext uri="{FF2B5EF4-FFF2-40B4-BE49-F238E27FC236}">
              <a16:creationId xmlns:a16="http://schemas.microsoft.com/office/drawing/2014/main" id="{3C232E9E-D919-490B-9ADD-6F64FAAC5221}"/>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6" name="Text Box 1028" hidden="1">
          <a:extLst>
            <a:ext uri="{FF2B5EF4-FFF2-40B4-BE49-F238E27FC236}">
              <a16:creationId xmlns:a16="http://schemas.microsoft.com/office/drawing/2014/main" id="{AEE9F60E-9602-4EA9-BA7F-C7DA6C41E869}"/>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1" name="Text Box 1033" hidden="1">
          <a:extLst>
            <a:ext uri="{FF2B5EF4-FFF2-40B4-BE49-F238E27FC236}">
              <a16:creationId xmlns:a16="http://schemas.microsoft.com/office/drawing/2014/main" id="{53AC921C-079B-429A-B92C-27CA4187C6D5}"/>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0" name="Text Box 1032" hidden="1">
          <a:extLst>
            <a:ext uri="{FF2B5EF4-FFF2-40B4-BE49-F238E27FC236}">
              <a16:creationId xmlns:a16="http://schemas.microsoft.com/office/drawing/2014/main" id="{1DB2F2FA-ED46-4181-9D98-0904C671087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9" name="Text Box 1031" hidden="1">
          <a:extLst>
            <a:ext uri="{FF2B5EF4-FFF2-40B4-BE49-F238E27FC236}">
              <a16:creationId xmlns:a16="http://schemas.microsoft.com/office/drawing/2014/main" id="{6C99C33D-6F80-4F65-A43D-C2114FE94D3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4" name="Text Box 1036" hidden="1">
          <a:extLst>
            <a:ext uri="{FF2B5EF4-FFF2-40B4-BE49-F238E27FC236}">
              <a16:creationId xmlns:a16="http://schemas.microsoft.com/office/drawing/2014/main" id="{6608A358-EEA4-8E11-6AC2-01FA1147F85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3" name="Text Box 1035" hidden="1">
          <a:extLst>
            <a:ext uri="{FF2B5EF4-FFF2-40B4-BE49-F238E27FC236}">
              <a16:creationId xmlns:a16="http://schemas.microsoft.com/office/drawing/2014/main" id="{ED78E389-9F09-2D6C-F255-009D4012A4BA}"/>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2" name="Text Box 1034" hidden="1">
          <a:extLst>
            <a:ext uri="{FF2B5EF4-FFF2-40B4-BE49-F238E27FC236}">
              <a16:creationId xmlns:a16="http://schemas.microsoft.com/office/drawing/2014/main" id="{9F5E3093-0F2B-4677-B3DE-69A1BDCBF0B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7" name="Text Box 15" hidden="1">
          <a:extLst>
            <a:ext uri="{FF2B5EF4-FFF2-40B4-BE49-F238E27FC236}">
              <a16:creationId xmlns:a16="http://schemas.microsoft.com/office/drawing/2014/main" id="{6740CFCA-E830-9625-CF49-920FCBCAC02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6" name="Text Box 14" hidden="1">
          <a:extLst>
            <a:ext uri="{FF2B5EF4-FFF2-40B4-BE49-F238E27FC236}">
              <a16:creationId xmlns:a16="http://schemas.microsoft.com/office/drawing/2014/main" id="{67A248F0-7982-2EA7-70C5-7DB34894D91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5" name="Text Box 13" hidden="1">
          <a:extLst>
            <a:ext uri="{FF2B5EF4-FFF2-40B4-BE49-F238E27FC236}">
              <a16:creationId xmlns:a16="http://schemas.microsoft.com/office/drawing/2014/main" id="{5A7FFB96-487D-EF12-E3A5-8F8F53354675}"/>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8" name="Text Box 6" hidden="1">
          <a:extLst>
            <a:ext uri="{FF2B5EF4-FFF2-40B4-BE49-F238E27FC236}">
              <a16:creationId xmlns:a16="http://schemas.microsoft.com/office/drawing/2014/main" id="{F1C5FA47-6129-26B9-E86D-1A05FD324A3A}"/>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7" name="Text Box 5" hidden="1">
          <a:extLst>
            <a:ext uri="{FF2B5EF4-FFF2-40B4-BE49-F238E27FC236}">
              <a16:creationId xmlns:a16="http://schemas.microsoft.com/office/drawing/2014/main" id="{0C5277D0-752F-ADB6-3E1D-09323BBC9BE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6" name="Text Box 4" hidden="1">
          <a:extLst>
            <a:ext uri="{FF2B5EF4-FFF2-40B4-BE49-F238E27FC236}">
              <a16:creationId xmlns:a16="http://schemas.microsoft.com/office/drawing/2014/main" id="{A12E1175-B113-F137-6D38-295FB2C98123}"/>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5" name="Text Box 3" hidden="1">
          <a:extLst>
            <a:ext uri="{FF2B5EF4-FFF2-40B4-BE49-F238E27FC236}">
              <a16:creationId xmlns:a16="http://schemas.microsoft.com/office/drawing/2014/main" id="{F8DE31D0-47A9-8C75-8335-C4A554634E6B}"/>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4" name="Text Box 2" hidden="1">
          <a:extLst>
            <a:ext uri="{FF2B5EF4-FFF2-40B4-BE49-F238E27FC236}">
              <a16:creationId xmlns:a16="http://schemas.microsoft.com/office/drawing/2014/main" id="{E5714DC6-2F00-39AE-AB6F-7791F0200C9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3" name="Text Box 1" hidden="1">
          <a:extLst>
            <a:ext uri="{FF2B5EF4-FFF2-40B4-BE49-F238E27FC236}">
              <a16:creationId xmlns:a16="http://schemas.microsoft.com/office/drawing/2014/main" id="{5C4E1F5D-1B82-B474-8732-45C2578B034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1" name="Text Box 9" hidden="1">
          <a:extLst>
            <a:ext uri="{FF2B5EF4-FFF2-40B4-BE49-F238E27FC236}">
              <a16:creationId xmlns:a16="http://schemas.microsoft.com/office/drawing/2014/main" id="{FAB88593-252F-78B1-289D-934462856D9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0" name="Text Box 8" hidden="1">
          <a:extLst>
            <a:ext uri="{FF2B5EF4-FFF2-40B4-BE49-F238E27FC236}">
              <a16:creationId xmlns:a16="http://schemas.microsoft.com/office/drawing/2014/main" id="{A2001170-08A6-FE22-1CDA-4494ABCB2F4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9" name="Text Box 7" hidden="1">
          <a:extLst>
            <a:ext uri="{FF2B5EF4-FFF2-40B4-BE49-F238E27FC236}">
              <a16:creationId xmlns:a16="http://schemas.microsoft.com/office/drawing/2014/main" id="{BD58DA73-CBF2-B60F-8C24-E2ECC7BDC2E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4" name="Text Box 12" hidden="1">
          <a:extLst>
            <a:ext uri="{FF2B5EF4-FFF2-40B4-BE49-F238E27FC236}">
              <a16:creationId xmlns:a16="http://schemas.microsoft.com/office/drawing/2014/main" id="{8CCE2989-BC19-25AB-508B-E30245A4A306}"/>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3" name="Text Box 11" hidden="1">
          <a:extLst>
            <a:ext uri="{FF2B5EF4-FFF2-40B4-BE49-F238E27FC236}">
              <a16:creationId xmlns:a16="http://schemas.microsoft.com/office/drawing/2014/main" id="{C7F64EF5-AB2F-9372-7758-6B972CA70B9C}"/>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2" name="Text Box 10" hidden="1">
          <a:extLst>
            <a:ext uri="{FF2B5EF4-FFF2-40B4-BE49-F238E27FC236}">
              <a16:creationId xmlns:a16="http://schemas.microsoft.com/office/drawing/2014/main" id="{6F398CBC-107B-59DB-3A18-EDB0BD37F9B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7" name="Text Box 15" hidden="1">
          <a:extLst>
            <a:ext uri="{FF2B5EF4-FFF2-40B4-BE49-F238E27FC236}">
              <a16:creationId xmlns:a16="http://schemas.microsoft.com/office/drawing/2014/main" id="{CFFD0B42-C987-5119-351C-D16AF1AB1DA4}"/>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6" name="Text Box 14" hidden="1">
          <a:extLst>
            <a:ext uri="{FF2B5EF4-FFF2-40B4-BE49-F238E27FC236}">
              <a16:creationId xmlns:a16="http://schemas.microsoft.com/office/drawing/2014/main" id="{0C231712-E793-3FDB-6140-BA201C6A4E1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5" name="Text Box 13" hidden="1">
          <a:extLst>
            <a:ext uri="{FF2B5EF4-FFF2-40B4-BE49-F238E27FC236}">
              <a16:creationId xmlns:a16="http://schemas.microsoft.com/office/drawing/2014/main" id="{79473F5A-6324-72F8-ECA4-26E07097E276}"/>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0" name="Text Box 18" hidden="1">
          <a:extLst>
            <a:ext uri="{FF2B5EF4-FFF2-40B4-BE49-F238E27FC236}">
              <a16:creationId xmlns:a16="http://schemas.microsoft.com/office/drawing/2014/main" id="{8059AAEE-0524-858F-6D02-31C2C7DBEBFD}"/>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9" name="Text Box 17" hidden="1">
          <a:extLst>
            <a:ext uri="{FF2B5EF4-FFF2-40B4-BE49-F238E27FC236}">
              <a16:creationId xmlns:a16="http://schemas.microsoft.com/office/drawing/2014/main" id="{3C84D185-C2FB-3D89-C360-3A2EBC8213A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8" name="Text Box 16" hidden="1">
          <a:extLst>
            <a:ext uri="{FF2B5EF4-FFF2-40B4-BE49-F238E27FC236}">
              <a16:creationId xmlns:a16="http://schemas.microsoft.com/office/drawing/2014/main" id="{C28B156D-8455-7D23-6C2F-5F63308D7825}"/>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6" name="Text Box 24" hidden="1">
          <a:extLst>
            <a:ext uri="{FF2B5EF4-FFF2-40B4-BE49-F238E27FC236}">
              <a16:creationId xmlns:a16="http://schemas.microsoft.com/office/drawing/2014/main" id="{0A77F3AF-36B4-4926-8AC1-6EA69E85573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5" name="Text Box 23" hidden="1">
          <a:extLst>
            <a:ext uri="{FF2B5EF4-FFF2-40B4-BE49-F238E27FC236}">
              <a16:creationId xmlns:a16="http://schemas.microsoft.com/office/drawing/2014/main" id="{44FEEE27-D204-1F83-D0CD-8E273578BB44}"/>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4" name="Text Box 22" hidden="1">
          <a:extLst>
            <a:ext uri="{FF2B5EF4-FFF2-40B4-BE49-F238E27FC236}">
              <a16:creationId xmlns:a16="http://schemas.microsoft.com/office/drawing/2014/main" id="{594E9550-54E1-F68C-6F04-AEF73EEB9FFF}"/>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3" name="Text Box 21" hidden="1">
          <a:extLst>
            <a:ext uri="{FF2B5EF4-FFF2-40B4-BE49-F238E27FC236}">
              <a16:creationId xmlns:a16="http://schemas.microsoft.com/office/drawing/2014/main" id="{1A8F2685-6968-D6D5-4B33-D5324D992369}"/>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2" name="Text Box 20" hidden="1">
          <a:extLst>
            <a:ext uri="{FF2B5EF4-FFF2-40B4-BE49-F238E27FC236}">
              <a16:creationId xmlns:a16="http://schemas.microsoft.com/office/drawing/2014/main" id="{5BC71980-BED8-DD29-A0BE-273B10A39AD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1" name="Text Box 19" hidden="1">
          <a:extLst>
            <a:ext uri="{FF2B5EF4-FFF2-40B4-BE49-F238E27FC236}">
              <a16:creationId xmlns:a16="http://schemas.microsoft.com/office/drawing/2014/main" id="{9AFED222-8DDE-39E9-99A9-94BCFD876D6B}"/>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9" name="Text Box 27" hidden="1">
          <a:extLst>
            <a:ext uri="{FF2B5EF4-FFF2-40B4-BE49-F238E27FC236}">
              <a16:creationId xmlns:a16="http://schemas.microsoft.com/office/drawing/2014/main" id="{6E756C30-9BC3-2525-4B61-A03C9653D2B7}"/>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8" name="Text Box 26" hidden="1">
          <a:extLst>
            <a:ext uri="{FF2B5EF4-FFF2-40B4-BE49-F238E27FC236}">
              <a16:creationId xmlns:a16="http://schemas.microsoft.com/office/drawing/2014/main" id="{78EC54B2-D089-257F-932F-D8EAB3E7672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7" name="Text Box 25" hidden="1">
          <a:extLst>
            <a:ext uri="{FF2B5EF4-FFF2-40B4-BE49-F238E27FC236}">
              <a16:creationId xmlns:a16="http://schemas.microsoft.com/office/drawing/2014/main" id="{F246CB4B-E70A-E77C-672D-53783416553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2" name="Text Box 30" hidden="1">
          <a:extLst>
            <a:ext uri="{FF2B5EF4-FFF2-40B4-BE49-F238E27FC236}">
              <a16:creationId xmlns:a16="http://schemas.microsoft.com/office/drawing/2014/main" id="{ADE16144-A7FB-7066-2EF4-84DB1A857A0A}"/>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1" name="Text Box 29" hidden="1">
          <a:extLst>
            <a:ext uri="{FF2B5EF4-FFF2-40B4-BE49-F238E27FC236}">
              <a16:creationId xmlns:a16="http://schemas.microsoft.com/office/drawing/2014/main" id="{03103931-C9ED-EB04-5F2D-1F187C17CF5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0" name="Text Box 28" hidden="1">
          <a:extLst>
            <a:ext uri="{FF2B5EF4-FFF2-40B4-BE49-F238E27FC236}">
              <a16:creationId xmlns:a16="http://schemas.microsoft.com/office/drawing/2014/main" id="{589406E7-4A8F-4C38-C15B-4528C896B223}"/>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5" name="Text Box 33" hidden="1">
          <a:extLst>
            <a:ext uri="{FF2B5EF4-FFF2-40B4-BE49-F238E27FC236}">
              <a16:creationId xmlns:a16="http://schemas.microsoft.com/office/drawing/2014/main" id="{F9BE8887-F913-D64F-D87E-C7F29667F35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4" name="Text Box 32" hidden="1">
          <a:extLst>
            <a:ext uri="{FF2B5EF4-FFF2-40B4-BE49-F238E27FC236}">
              <a16:creationId xmlns:a16="http://schemas.microsoft.com/office/drawing/2014/main" id="{6CDC001F-D4B0-0754-3937-EA6157627ABE}"/>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3" name="Text Box 31" hidden="1">
          <a:extLst>
            <a:ext uri="{FF2B5EF4-FFF2-40B4-BE49-F238E27FC236}">
              <a16:creationId xmlns:a16="http://schemas.microsoft.com/office/drawing/2014/main" id="{BD933650-D5E0-851A-D04C-927BE8ADDF04}"/>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8" name="Text Box 36" hidden="1">
          <a:extLst>
            <a:ext uri="{FF2B5EF4-FFF2-40B4-BE49-F238E27FC236}">
              <a16:creationId xmlns:a16="http://schemas.microsoft.com/office/drawing/2014/main" id="{49F94550-3F84-A444-5C8D-17D251CD67B8}"/>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7" name="Text Box 35" hidden="1">
          <a:extLst>
            <a:ext uri="{FF2B5EF4-FFF2-40B4-BE49-F238E27FC236}">
              <a16:creationId xmlns:a16="http://schemas.microsoft.com/office/drawing/2014/main" id="{756766B7-A8AF-6998-E843-E6D9B4FD8B07}"/>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6" name="Text Box 34" hidden="1">
          <a:extLst>
            <a:ext uri="{FF2B5EF4-FFF2-40B4-BE49-F238E27FC236}">
              <a16:creationId xmlns:a16="http://schemas.microsoft.com/office/drawing/2014/main" id="{5E19E3C3-4BC1-6E12-4F16-623BEDE665A6}"/>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19" name="Text Box 3" hidden="1">
          <a:extLst>
            <a:ext uri="{FF2B5EF4-FFF2-40B4-BE49-F238E27FC236}">
              <a16:creationId xmlns:a16="http://schemas.microsoft.com/office/drawing/2014/main" id="{494D44C9-09D3-94DA-9D63-D1E6E7BC3F8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18" name="Text Box 2" hidden="1">
          <a:extLst>
            <a:ext uri="{FF2B5EF4-FFF2-40B4-BE49-F238E27FC236}">
              <a16:creationId xmlns:a16="http://schemas.microsoft.com/office/drawing/2014/main" id="{EB50F576-DD5F-E050-92CA-59A38219AF19}"/>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17" name="Text Box 1" hidden="1">
          <a:extLst>
            <a:ext uri="{FF2B5EF4-FFF2-40B4-BE49-F238E27FC236}">
              <a16:creationId xmlns:a16="http://schemas.microsoft.com/office/drawing/2014/main" id="{678C5C1E-2FAC-65F7-8BA6-2519E8E1741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2" name="Text Box 6" hidden="1">
          <a:extLst>
            <a:ext uri="{FF2B5EF4-FFF2-40B4-BE49-F238E27FC236}">
              <a16:creationId xmlns:a16="http://schemas.microsoft.com/office/drawing/2014/main" id="{BF592FAB-0639-5E9F-67E4-87AAAC8C6830}"/>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1" name="Text Box 5" hidden="1">
          <a:extLst>
            <a:ext uri="{FF2B5EF4-FFF2-40B4-BE49-F238E27FC236}">
              <a16:creationId xmlns:a16="http://schemas.microsoft.com/office/drawing/2014/main" id="{15034452-50A3-59FA-6FEE-397A0F4BBAD5}"/>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0" name="Text Box 4" hidden="1">
          <a:extLst>
            <a:ext uri="{FF2B5EF4-FFF2-40B4-BE49-F238E27FC236}">
              <a16:creationId xmlns:a16="http://schemas.microsoft.com/office/drawing/2014/main" id="{51EF1B46-C1CD-8994-0449-A18F984A1368}"/>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5" name="Text Box 9" hidden="1">
          <a:extLst>
            <a:ext uri="{FF2B5EF4-FFF2-40B4-BE49-F238E27FC236}">
              <a16:creationId xmlns:a16="http://schemas.microsoft.com/office/drawing/2014/main" id="{70773BFD-4749-0BE7-9799-1F408633A7B3}"/>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4" name="Text Box 8" hidden="1">
          <a:extLst>
            <a:ext uri="{FF2B5EF4-FFF2-40B4-BE49-F238E27FC236}">
              <a16:creationId xmlns:a16="http://schemas.microsoft.com/office/drawing/2014/main" id="{7FDC36FE-12FD-73DB-7754-73D93EB16F9D}"/>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3" name="Text Box 7" hidden="1">
          <a:extLst>
            <a:ext uri="{FF2B5EF4-FFF2-40B4-BE49-F238E27FC236}">
              <a16:creationId xmlns:a16="http://schemas.microsoft.com/office/drawing/2014/main" id="{5B19A1C4-552D-BC01-9904-1775F7D1066D}"/>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8" name="Text Box 12" hidden="1">
          <a:extLst>
            <a:ext uri="{FF2B5EF4-FFF2-40B4-BE49-F238E27FC236}">
              <a16:creationId xmlns:a16="http://schemas.microsoft.com/office/drawing/2014/main" id="{055A8BA8-7F0B-2605-FC73-04348EC3EB18}"/>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7" name="Text Box 11" hidden="1">
          <a:extLst>
            <a:ext uri="{FF2B5EF4-FFF2-40B4-BE49-F238E27FC236}">
              <a16:creationId xmlns:a16="http://schemas.microsoft.com/office/drawing/2014/main" id="{FA28DF2C-773D-6902-91FC-3960EA8DCCB1}"/>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6" name="Text Box 10" hidden="1">
          <a:extLst>
            <a:ext uri="{FF2B5EF4-FFF2-40B4-BE49-F238E27FC236}">
              <a16:creationId xmlns:a16="http://schemas.microsoft.com/office/drawing/2014/main" id="{DFC94494-1BEE-F2E0-1B33-ACC894D9BDAE}"/>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1" name="Text Box 15" hidden="1">
          <a:extLst>
            <a:ext uri="{FF2B5EF4-FFF2-40B4-BE49-F238E27FC236}">
              <a16:creationId xmlns:a16="http://schemas.microsoft.com/office/drawing/2014/main" id="{950A58E3-447F-128C-937B-B3641386C9F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0" name="Text Box 14" hidden="1">
          <a:extLst>
            <a:ext uri="{FF2B5EF4-FFF2-40B4-BE49-F238E27FC236}">
              <a16:creationId xmlns:a16="http://schemas.microsoft.com/office/drawing/2014/main" id="{BC066B94-B997-2054-6769-D00BD5C8F3FB}"/>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9" name="Text Box 13" hidden="1">
          <a:extLst>
            <a:ext uri="{FF2B5EF4-FFF2-40B4-BE49-F238E27FC236}">
              <a16:creationId xmlns:a16="http://schemas.microsoft.com/office/drawing/2014/main" id="{D07468F3-9800-70F0-1578-32ACB8C4BF62}"/>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4" name="Text Box 18" hidden="1">
          <a:extLst>
            <a:ext uri="{FF2B5EF4-FFF2-40B4-BE49-F238E27FC236}">
              <a16:creationId xmlns:a16="http://schemas.microsoft.com/office/drawing/2014/main" id="{5B31A5F6-DBF1-3A9C-8422-20C7EC0FD9EB}"/>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3" name="Text Box 17" hidden="1">
          <a:extLst>
            <a:ext uri="{FF2B5EF4-FFF2-40B4-BE49-F238E27FC236}">
              <a16:creationId xmlns:a16="http://schemas.microsoft.com/office/drawing/2014/main" id="{8F36C2CE-2246-DE55-DD4A-86286553958F}"/>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2" name="Text Box 16" hidden="1">
          <a:extLst>
            <a:ext uri="{FF2B5EF4-FFF2-40B4-BE49-F238E27FC236}">
              <a16:creationId xmlns:a16="http://schemas.microsoft.com/office/drawing/2014/main" id="{954B8B15-2E5B-9479-C8A7-D6A1423A2117}"/>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7" name="Text Box 21" hidden="1">
          <a:extLst>
            <a:ext uri="{FF2B5EF4-FFF2-40B4-BE49-F238E27FC236}">
              <a16:creationId xmlns:a16="http://schemas.microsoft.com/office/drawing/2014/main" id="{35AA0DC4-7FE6-2238-D9B0-159F16300CC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6" name="Text Box 20" hidden="1">
          <a:extLst>
            <a:ext uri="{FF2B5EF4-FFF2-40B4-BE49-F238E27FC236}">
              <a16:creationId xmlns:a16="http://schemas.microsoft.com/office/drawing/2014/main" id="{E19E4967-D487-2DFA-AA92-E864C42BF47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5" name="Text Box 19" hidden="1">
          <a:extLst>
            <a:ext uri="{FF2B5EF4-FFF2-40B4-BE49-F238E27FC236}">
              <a16:creationId xmlns:a16="http://schemas.microsoft.com/office/drawing/2014/main" id="{70C241B6-E6B1-1461-A718-B907BE5145B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0" name="Text Box 24" hidden="1">
          <a:extLst>
            <a:ext uri="{FF2B5EF4-FFF2-40B4-BE49-F238E27FC236}">
              <a16:creationId xmlns:a16="http://schemas.microsoft.com/office/drawing/2014/main" id="{7E46E720-D7F6-76A7-F727-B6AD5542691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39" name="Text Box 23" hidden="1">
          <a:extLst>
            <a:ext uri="{FF2B5EF4-FFF2-40B4-BE49-F238E27FC236}">
              <a16:creationId xmlns:a16="http://schemas.microsoft.com/office/drawing/2014/main" id="{6AC5DBBC-98EB-4202-35A5-424F29F30BF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38" name="Text Box 22" hidden="1">
          <a:extLst>
            <a:ext uri="{FF2B5EF4-FFF2-40B4-BE49-F238E27FC236}">
              <a16:creationId xmlns:a16="http://schemas.microsoft.com/office/drawing/2014/main" id="{FC870CF0-A947-A938-B369-C599BEC1CA92}"/>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1" name="Text Box 1027" hidden="1">
          <a:extLst>
            <a:ext uri="{FF2B5EF4-FFF2-40B4-BE49-F238E27FC236}">
              <a16:creationId xmlns:a16="http://schemas.microsoft.com/office/drawing/2014/main" id="{CE45C573-1D9D-EE4F-7925-1D982E544C24}"/>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0" name="Text Box 1026" hidden="1">
          <a:extLst>
            <a:ext uri="{FF2B5EF4-FFF2-40B4-BE49-F238E27FC236}">
              <a16:creationId xmlns:a16="http://schemas.microsoft.com/office/drawing/2014/main" id="{B6BEB898-0FF8-BD7E-FF9E-DE87A4B52C6F}"/>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49" name="Text Box 1025" hidden="1">
          <a:extLst>
            <a:ext uri="{FF2B5EF4-FFF2-40B4-BE49-F238E27FC236}">
              <a16:creationId xmlns:a16="http://schemas.microsoft.com/office/drawing/2014/main" id="{38455516-57CA-26A1-5665-3508EDA71739}"/>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3" name="Text Box 27" hidden="1">
          <a:extLst>
            <a:ext uri="{FF2B5EF4-FFF2-40B4-BE49-F238E27FC236}">
              <a16:creationId xmlns:a16="http://schemas.microsoft.com/office/drawing/2014/main" id="{2E961025-9321-911E-8A5B-2C28AA77EBC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42" name="Text Box 26" hidden="1">
          <a:extLst>
            <a:ext uri="{FF2B5EF4-FFF2-40B4-BE49-F238E27FC236}">
              <a16:creationId xmlns:a16="http://schemas.microsoft.com/office/drawing/2014/main" id="{9CAA8B24-4194-31FD-1DF5-1D4BEFC87848}"/>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41" name="Text Box 25" hidden="1">
          <a:extLst>
            <a:ext uri="{FF2B5EF4-FFF2-40B4-BE49-F238E27FC236}">
              <a16:creationId xmlns:a16="http://schemas.microsoft.com/office/drawing/2014/main" id="{DA814AC8-8F44-8639-9AAA-FB41E96C0A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4" name="Text Box 6" hidden="1">
          <a:extLst>
            <a:ext uri="{FF2B5EF4-FFF2-40B4-BE49-F238E27FC236}">
              <a16:creationId xmlns:a16="http://schemas.microsoft.com/office/drawing/2014/main" id="{EA7F9C9C-A90A-F4E9-EA2A-9B2A45CD30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3" name="Text Box 5" hidden="1">
          <a:extLst>
            <a:ext uri="{FF2B5EF4-FFF2-40B4-BE49-F238E27FC236}">
              <a16:creationId xmlns:a16="http://schemas.microsoft.com/office/drawing/2014/main" id="{0F214CC2-8A65-2284-CED4-FA6F1D663B39}"/>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2" name="Text Box 4" hidden="1">
          <a:extLst>
            <a:ext uri="{FF2B5EF4-FFF2-40B4-BE49-F238E27FC236}">
              <a16:creationId xmlns:a16="http://schemas.microsoft.com/office/drawing/2014/main" id="{3A571BBF-A9A7-038E-3ED5-BE7CEBF07FF9}"/>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7" name="Text Box 9" hidden="1">
          <a:extLst>
            <a:ext uri="{FF2B5EF4-FFF2-40B4-BE49-F238E27FC236}">
              <a16:creationId xmlns:a16="http://schemas.microsoft.com/office/drawing/2014/main" id="{79FF5AF3-5237-C13F-2BE0-9BD291FB01E3}"/>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6" name="Text Box 8" hidden="1">
          <a:extLst>
            <a:ext uri="{FF2B5EF4-FFF2-40B4-BE49-F238E27FC236}">
              <a16:creationId xmlns:a16="http://schemas.microsoft.com/office/drawing/2014/main" id="{366547C2-1DA5-0F10-10F5-0EA40D347B42}"/>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5" name="Text Box 7" hidden="1">
          <a:extLst>
            <a:ext uri="{FF2B5EF4-FFF2-40B4-BE49-F238E27FC236}">
              <a16:creationId xmlns:a16="http://schemas.microsoft.com/office/drawing/2014/main" id="{754475B1-9A43-F667-3ECB-D3460E55385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0" name="Text Box 12" hidden="1">
          <a:extLst>
            <a:ext uri="{FF2B5EF4-FFF2-40B4-BE49-F238E27FC236}">
              <a16:creationId xmlns:a16="http://schemas.microsoft.com/office/drawing/2014/main" id="{4498D7AD-736D-A2A0-7D8B-7C15570508E9}"/>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9" name="Text Box 11" hidden="1">
          <a:extLst>
            <a:ext uri="{FF2B5EF4-FFF2-40B4-BE49-F238E27FC236}">
              <a16:creationId xmlns:a16="http://schemas.microsoft.com/office/drawing/2014/main" id="{598F5A2E-7378-77D0-FF89-C5C1885DBEBC}"/>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8" name="Text Box 10" hidden="1">
          <a:extLst>
            <a:ext uri="{FF2B5EF4-FFF2-40B4-BE49-F238E27FC236}">
              <a16:creationId xmlns:a16="http://schemas.microsoft.com/office/drawing/2014/main" id="{3079FE2B-4DAB-B98E-39F4-94C516D6B1E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6" name="Text Box 18" hidden="1">
          <a:extLst>
            <a:ext uri="{FF2B5EF4-FFF2-40B4-BE49-F238E27FC236}">
              <a16:creationId xmlns:a16="http://schemas.microsoft.com/office/drawing/2014/main" id="{CCBB43A8-4C33-1B02-0629-A4973C3C9EAB}"/>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5" name="Text Box 17" hidden="1">
          <a:extLst>
            <a:ext uri="{FF2B5EF4-FFF2-40B4-BE49-F238E27FC236}">
              <a16:creationId xmlns:a16="http://schemas.microsoft.com/office/drawing/2014/main" id="{FF2ACB2F-0904-2012-A608-EDF7B4917EFC}"/>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4" name="Text Box 16" hidden="1">
          <a:extLst>
            <a:ext uri="{FF2B5EF4-FFF2-40B4-BE49-F238E27FC236}">
              <a16:creationId xmlns:a16="http://schemas.microsoft.com/office/drawing/2014/main" id="{A996102C-0161-B5A3-80F2-01F9FAB660F2}"/>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3" name="Text Box 15" hidden="1">
          <a:extLst>
            <a:ext uri="{FF2B5EF4-FFF2-40B4-BE49-F238E27FC236}">
              <a16:creationId xmlns:a16="http://schemas.microsoft.com/office/drawing/2014/main" id="{6A016623-AE79-2C14-7770-E262E2995C4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2" name="Text Box 14" hidden="1">
          <a:extLst>
            <a:ext uri="{FF2B5EF4-FFF2-40B4-BE49-F238E27FC236}">
              <a16:creationId xmlns:a16="http://schemas.microsoft.com/office/drawing/2014/main" id="{2ED90F62-03A9-0E18-D1F0-82EAE740E00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1" name="Text Box 13" hidden="1">
          <a:extLst>
            <a:ext uri="{FF2B5EF4-FFF2-40B4-BE49-F238E27FC236}">
              <a16:creationId xmlns:a16="http://schemas.microsoft.com/office/drawing/2014/main" id="{CEA82C55-EB86-7EC5-1551-7A3658D77D6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9" name="Text Box 21" hidden="1">
          <a:extLst>
            <a:ext uri="{FF2B5EF4-FFF2-40B4-BE49-F238E27FC236}">
              <a16:creationId xmlns:a16="http://schemas.microsoft.com/office/drawing/2014/main" id="{D71E06C2-8B4F-CFE6-55A2-ECC8001D8DB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8" name="Text Box 20" hidden="1">
          <a:extLst>
            <a:ext uri="{FF2B5EF4-FFF2-40B4-BE49-F238E27FC236}">
              <a16:creationId xmlns:a16="http://schemas.microsoft.com/office/drawing/2014/main" id="{4E2C05F5-5F4C-88C4-4CD0-99B19E5AC074}"/>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7" name="Text Box 19" hidden="1">
          <a:extLst>
            <a:ext uri="{FF2B5EF4-FFF2-40B4-BE49-F238E27FC236}">
              <a16:creationId xmlns:a16="http://schemas.microsoft.com/office/drawing/2014/main" id="{FD034078-5ADC-8B53-E322-B48F152AC89A}"/>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2" name="Text Box 24" hidden="1">
          <a:extLst>
            <a:ext uri="{FF2B5EF4-FFF2-40B4-BE49-F238E27FC236}">
              <a16:creationId xmlns:a16="http://schemas.microsoft.com/office/drawing/2014/main" id="{CB05ED70-EC1F-5AB5-C726-43E82497D24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1" name="Text Box 23" hidden="1">
          <a:extLst>
            <a:ext uri="{FF2B5EF4-FFF2-40B4-BE49-F238E27FC236}">
              <a16:creationId xmlns:a16="http://schemas.microsoft.com/office/drawing/2014/main" id="{A6BDC1DA-32D3-2CC5-5D79-394CF99907B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0" name="Text Box 22" hidden="1">
          <a:extLst>
            <a:ext uri="{FF2B5EF4-FFF2-40B4-BE49-F238E27FC236}">
              <a16:creationId xmlns:a16="http://schemas.microsoft.com/office/drawing/2014/main" id="{80E83B71-E84E-B8F0-3E7E-A6BB204EE8F0}"/>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5" name="Text Box 27" hidden="1">
          <a:extLst>
            <a:ext uri="{FF2B5EF4-FFF2-40B4-BE49-F238E27FC236}">
              <a16:creationId xmlns:a16="http://schemas.microsoft.com/office/drawing/2014/main" id="{709BB5E9-29CB-8973-4D73-596EB70E056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4" name="Text Box 26" hidden="1">
          <a:extLst>
            <a:ext uri="{FF2B5EF4-FFF2-40B4-BE49-F238E27FC236}">
              <a16:creationId xmlns:a16="http://schemas.microsoft.com/office/drawing/2014/main" id="{BD66A615-AD23-2250-713B-66EB49A2BAD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3" name="Text Box 25" hidden="1">
          <a:extLst>
            <a:ext uri="{FF2B5EF4-FFF2-40B4-BE49-F238E27FC236}">
              <a16:creationId xmlns:a16="http://schemas.microsoft.com/office/drawing/2014/main" id="{34B9A847-96D3-6C6C-4775-7D0314C2C5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2</xdr:col>
      <xdr:colOff>105569</xdr:colOff>
      <xdr:row>67</xdr:row>
      <xdr:rowOff>160143</xdr:rowOff>
    </xdr:from>
    <xdr:to>
      <xdr:col>4</xdr:col>
      <xdr:colOff>163512</xdr:colOff>
      <xdr:row>72</xdr:row>
      <xdr:rowOff>178562</xdr:rowOff>
    </xdr:to>
    <xdr:sp macro="" textlink="">
      <xdr:nvSpPr>
        <xdr:cNvPr id="67587" name="Text Box 3" hidden="1">
          <a:extLst>
            <a:ext uri="{FF2B5EF4-FFF2-40B4-BE49-F238E27FC236}">
              <a16:creationId xmlns:a16="http://schemas.microsoft.com/office/drawing/2014/main" id="{13718763-8D19-4B0E-885F-81B95DC5049A}"/>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66</xdr:row>
      <xdr:rowOff>180865</xdr:rowOff>
    </xdr:from>
    <xdr:to>
      <xdr:col>4</xdr:col>
      <xdr:colOff>97631</xdr:colOff>
      <xdr:row>67</xdr:row>
      <xdr:rowOff>45935</xdr:rowOff>
    </xdr:to>
    <xdr:sp macro="" textlink="">
      <xdr:nvSpPr>
        <xdr:cNvPr id="67588" name="Text Box 4" hidden="1">
          <a:extLst>
            <a:ext uri="{FF2B5EF4-FFF2-40B4-BE49-F238E27FC236}">
              <a16:creationId xmlns:a16="http://schemas.microsoft.com/office/drawing/2014/main" id="{DBD514CE-E09E-4684-8C0C-29F8A0EB4689}"/>
            </a:ext>
          </a:extLst>
        </xdr:cNvPr>
        <xdr:cNvSpPr txBox="1">
          <a:spLocks noChangeArrowheads="1"/>
        </xdr:cNvSpPr>
      </xdr:nvSpPr>
      <xdr:spPr bwMode="auto">
        <a:xfrm>
          <a:off x="4145280" y="15300960"/>
          <a:ext cx="1257300" cy="76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67</xdr:row>
      <xdr:rowOff>160143</xdr:rowOff>
    </xdr:from>
    <xdr:to>
      <xdr:col>4</xdr:col>
      <xdr:colOff>163512</xdr:colOff>
      <xdr:row>72</xdr:row>
      <xdr:rowOff>178562</xdr:rowOff>
    </xdr:to>
    <xdr:sp macro="" textlink="">
      <xdr:nvSpPr>
        <xdr:cNvPr id="67589" name="Text Box 5" hidden="1">
          <a:extLst>
            <a:ext uri="{FF2B5EF4-FFF2-40B4-BE49-F238E27FC236}">
              <a16:creationId xmlns:a16="http://schemas.microsoft.com/office/drawing/2014/main" id="{D780B812-8604-469E-9B33-8B1D82C0D7F5}"/>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67590" name="Text Box 6" hidden="1">
          <a:extLst>
            <a:ext uri="{FF2B5EF4-FFF2-40B4-BE49-F238E27FC236}">
              <a16:creationId xmlns:a16="http://schemas.microsoft.com/office/drawing/2014/main" id="{DD4B62F7-79C1-413B-B6E5-8C5EACA6430A}"/>
            </a:ext>
          </a:extLst>
        </xdr:cNvPr>
        <xdr:cNvSpPr txBox="1">
          <a:spLocks noChangeArrowheads="1"/>
        </xdr:cNvSpPr>
      </xdr:nvSpPr>
      <xdr:spPr bwMode="auto">
        <a:xfrm>
          <a:off x="12870180" y="4572000"/>
          <a:ext cx="126492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8" name="Text Box 1028" hidden="1">
          <a:extLst>
            <a:ext uri="{FF2B5EF4-FFF2-40B4-BE49-F238E27FC236}">
              <a16:creationId xmlns:a16="http://schemas.microsoft.com/office/drawing/2014/main" id="{19F9B95F-4D6C-479F-B6BF-4A92CBE4297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07" name="Text Box 1027" hidden="1">
          <a:extLst>
            <a:ext uri="{FF2B5EF4-FFF2-40B4-BE49-F238E27FC236}">
              <a16:creationId xmlns:a16="http://schemas.microsoft.com/office/drawing/2014/main" id="{706B9BE5-43A1-4802-85A7-2869B50DB2F8}"/>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6" name="Text Box 1026" hidden="1">
          <a:extLst>
            <a:ext uri="{FF2B5EF4-FFF2-40B4-BE49-F238E27FC236}">
              <a16:creationId xmlns:a16="http://schemas.microsoft.com/office/drawing/2014/main" id="{90C9A472-F0AE-4653-9D73-036EA63DA01F}"/>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5" name="Text Box 1025" hidden="1">
          <a:extLst>
            <a:ext uri="{FF2B5EF4-FFF2-40B4-BE49-F238E27FC236}">
              <a16:creationId xmlns:a16="http://schemas.microsoft.com/office/drawing/2014/main" id="{85906831-1EED-4A6E-8144-DC1933CE6259}"/>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2" name="Text Box 1032" hidden="1">
          <a:extLst>
            <a:ext uri="{FF2B5EF4-FFF2-40B4-BE49-F238E27FC236}">
              <a16:creationId xmlns:a16="http://schemas.microsoft.com/office/drawing/2014/main" id="{CAC5074E-0474-4CF8-8F13-DC787785896A}"/>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1" name="Text Box 1031" hidden="1">
          <a:extLst>
            <a:ext uri="{FF2B5EF4-FFF2-40B4-BE49-F238E27FC236}">
              <a16:creationId xmlns:a16="http://schemas.microsoft.com/office/drawing/2014/main" id="{F8E8DC70-AFA6-4217-AE74-066FE68CA59C}"/>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0" name="Text Box 1030" hidden="1">
          <a:extLst>
            <a:ext uri="{FF2B5EF4-FFF2-40B4-BE49-F238E27FC236}">
              <a16:creationId xmlns:a16="http://schemas.microsoft.com/office/drawing/2014/main" id="{EE9EEFB1-F90B-41AB-B797-D9D7FFED9D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9" name="Text Box 1029" hidden="1">
          <a:extLst>
            <a:ext uri="{FF2B5EF4-FFF2-40B4-BE49-F238E27FC236}">
              <a16:creationId xmlns:a16="http://schemas.microsoft.com/office/drawing/2014/main" id="{DC9D6A5D-77D1-45FD-9D1A-07E07768924B}"/>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6" name="Text Box 1036" hidden="1">
          <a:extLst>
            <a:ext uri="{FF2B5EF4-FFF2-40B4-BE49-F238E27FC236}">
              <a16:creationId xmlns:a16="http://schemas.microsoft.com/office/drawing/2014/main" id="{9487BF0F-D50F-4627-B515-69687776B1F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5" name="Text Box 1035" hidden="1">
          <a:extLst>
            <a:ext uri="{FF2B5EF4-FFF2-40B4-BE49-F238E27FC236}">
              <a16:creationId xmlns:a16="http://schemas.microsoft.com/office/drawing/2014/main" id="{3E6B5A71-00D1-450B-88EB-326421E14732}"/>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4" name="Text Box 1034" hidden="1">
          <a:extLst>
            <a:ext uri="{FF2B5EF4-FFF2-40B4-BE49-F238E27FC236}">
              <a16:creationId xmlns:a16="http://schemas.microsoft.com/office/drawing/2014/main" id="{5C7FC14F-A034-4708-8CD9-652DF8A7F1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3" name="Text Box 1033" hidden="1">
          <a:extLst>
            <a:ext uri="{FF2B5EF4-FFF2-40B4-BE49-F238E27FC236}">
              <a16:creationId xmlns:a16="http://schemas.microsoft.com/office/drawing/2014/main" id="{0AAC3D37-5D24-4678-8656-B04A2F6F2BB1}"/>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0" name="Text Box 1040" hidden="1">
          <a:extLst>
            <a:ext uri="{FF2B5EF4-FFF2-40B4-BE49-F238E27FC236}">
              <a16:creationId xmlns:a16="http://schemas.microsoft.com/office/drawing/2014/main" id="{624098F1-CCFF-4517-93B6-26AEA69371C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9" name="Text Box 1039" hidden="1">
          <a:extLst>
            <a:ext uri="{FF2B5EF4-FFF2-40B4-BE49-F238E27FC236}">
              <a16:creationId xmlns:a16="http://schemas.microsoft.com/office/drawing/2014/main" id="{E4E3B710-8F5D-4C3F-9637-245B73F03640}"/>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8" name="Text Box 1038" hidden="1">
          <a:extLst>
            <a:ext uri="{FF2B5EF4-FFF2-40B4-BE49-F238E27FC236}">
              <a16:creationId xmlns:a16="http://schemas.microsoft.com/office/drawing/2014/main" id="{0028AFA5-4302-4741-A540-715887AD824F}"/>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7" name="Text Box 1037" hidden="1">
          <a:extLst>
            <a:ext uri="{FF2B5EF4-FFF2-40B4-BE49-F238E27FC236}">
              <a16:creationId xmlns:a16="http://schemas.microsoft.com/office/drawing/2014/main" id="{CC501E3B-73CE-467F-AFC3-26F55F90FD91}"/>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4" name="Text Box 1044" hidden="1">
          <a:extLst>
            <a:ext uri="{FF2B5EF4-FFF2-40B4-BE49-F238E27FC236}">
              <a16:creationId xmlns:a16="http://schemas.microsoft.com/office/drawing/2014/main" id="{7C42C268-F439-43AF-BD45-62D31FEF7441}"/>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3" name="Text Box 1043" hidden="1">
          <a:extLst>
            <a:ext uri="{FF2B5EF4-FFF2-40B4-BE49-F238E27FC236}">
              <a16:creationId xmlns:a16="http://schemas.microsoft.com/office/drawing/2014/main" id="{24E3E5E4-8EE9-4F8F-864C-36733ACCCD75}"/>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2" name="Text Box 1042" hidden="1">
          <a:extLst>
            <a:ext uri="{FF2B5EF4-FFF2-40B4-BE49-F238E27FC236}">
              <a16:creationId xmlns:a16="http://schemas.microsoft.com/office/drawing/2014/main" id="{BCA07173-919E-4D2E-9A8E-468B1E31A7BE}"/>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1" name="Text Box 1041" hidden="1">
          <a:extLst>
            <a:ext uri="{FF2B5EF4-FFF2-40B4-BE49-F238E27FC236}">
              <a16:creationId xmlns:a16="http://schemas.microsoft.com/office/drawing/2014/main" id="{20FB8997-4302-4B6E-BB12-655072FA3E6F}"/>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8" name="Text Box 1048" hidden="1">
          <a:extLst>
            <a:ext uri="{FF2B5EF4-FFF2-40B4-BE49-F238E27FC236}">
              <a16:creationId xmlns:a16="http://schemas.microsoft.com/office/drawing/2014/main" id="{81C89C06-EF74-4DCA-86EB-678F070996AC}"/>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7" name="Text Box 1047" hidden="1">
          <a:extLst>
            <a:ext uri="{FF2B5EF4-FFF2-40B4-BE49-F238E27FC236}">
              <a16:creationId xmlns:a16="http://schemas.microsoft.com/office/drawing/2014/main" id="{EC0F85A6-99CB-49B0-B40A-086745B99F2A}"/>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6" name="Text Box 1046" hidden="1">
          <a:extLst>
            <a:ext uri="{FF2B5EF4-FFF2-40B4-BE49-F238E27FC236}">
              <a16:creationId xmlns:a16="http://schemas.microsoft.com/office/drawing/2014/main" id="{49540C25-BF8A-49F2-8B9E-96E5A8E7D4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5" name="Text Box 1045" hidden="1">
          <a:extLst>
            <a:ext uri="{FF2B5EF4-FFF2-40B4-BE49-F238E27FC236}">
              <a16:creationId xmlns:a16="http://schemas.microsoft.com/office/drawing/2014/main" id="{5396452F-13FF-4BCB-83E7-DD5C323C8548}"/>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2" name="Text Box 1052" hidden="1">
          <a:extLst>
            <a:ext uri="{FF2B5EF4-FFF2-40B4-BE49-F238E27FC236}">
              <a16:creationId xmlns:a16="http://schemas.microsoft.com/office/drawing/2014/main" id="{DA286031-F4EF-4C57-A8B5-FCE018A24E0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1" name="Text Box 1051" hidden="1">
          <a:extLst>
            <a:ext uri="{FF2B5EF4-FFF2-40B4-BE49-F238E27FC236}">
              <a16:creationId xmlns:a16="http://schemas.microsoft.com/office/drawing/2014/main" id="{447269CA-6073-4766-AF82-6276260FED69}"/>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0" name="Text Box 1050" hidden="1">
          <a:extLst>
            <a:ext uri="{FF2B5EF4-FFF2-40B4-BE49-F238E27FC236}">
              <a16:creationId xmlns:a16="http://schemas.microsoft.com/office/drawing/2014/main" id="{2C89D77A-61B3-418E-9486-EA43490463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5" name="Text Box 1055" hidden="1">
          <a:extLst>
            <a:ext uri="{FF2B5EF4-FFF2-40B4-BE49-F238E27FC236}">
              <a16:creationId xmlns:a16="http://schemas.microsoft.com/office/drawing/2014/main" id="{FE06F0EB-941A-482C-9F0F-952EB2B5AADB}"/>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4" name="Text Box 1054" hidden="1">
          <a:extLst>
            <a:ext uri="{FF2B5EF4-FFF2-40B4-BE49-F238E27FC236}">
              <a16:creationId xmlns:a16="http://schemas.microsoft.com/office/drawing/2014/main" id="{7A03DF36-3694-414A-8CC7-4B61057CB59D}"/>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3" name="Text Box 1053" hidden="1">
          <a:extLst>
            <a:ext uri="{FF2B5EF4-FFF2-40B4-BE49-F238E27FC236}">
              <a16:creationId xmlns:a16="http://schemas.microsoft.com/office/drawing/2014/main" id="{6E2E8A59-5C6B-4FD5-BDD6-8A5FD5C3E68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102</xdr:row>
      <xdr:rowOff>604</xdr:rowOff>
    </xdr:from>
    <xdr:to>
      <xdr:col>19</xdr:col>
      <xdr:colOff>250032</xdr:colOff>
      <xdr:row>106</xdr:row>
      <xdr:rowOff>15899</xdr:rowOff>
    </xdr:to>
    <xdr:sp macro="" textlink="">
      <xdr:nvSpPr>
        <xdr:cNvPr id="251936" name="Text Box 1056" hidden="1">
          <a:extLst>
            <a:ext uri="{FF2B5EF4-FFF2-40B4-BE49-F238E27FC236}">
              <a16:creationId xmlns:a16="http://schemas.microsoft.com/office/drawing/2014/main" id="{0FF95A32-4A9A-49AF-BD06-64D408FF4B27}"/>
            </a:ext>
          </a:extLst>
        </xdr:cNvPr>
        <xdr:cNvSpPr txBox="1">
          <a:spLocks noChangeArrowheads="1"/>
        </xdr:cNvSpPr>
      </xdr:nvSpPr>
      <xdr:spPr bwMode="auto">
        <a:xfrm>
          <a:off x="12553950" y="23631525"/>
          <a:ext cx="13620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0" name="Text Box 1060" hidden="1">
          <a:extLst>
            <a:ext uri="{FF2B5EF4-FFF2-40B4-BE49-F238E27FC236}">
              <a16:creationId xmlns:a16="http://schemas.microsoft.com/office/drawing/2014/main" id="{6ECBD680-B41D-4797-A81D-44A9CB1BE9F6}"/>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9" name="Text Box 1059" hidden="1">
          <a:extLst>
            <a:ext uri="{FF2B5EF4-FFF2-40B4-BE49-F238E27FC236}">
              <a16:creationId xmlns:a16="http://schemas.microsoft.com/office/drawing/2014/main" id="{090E4475-FA59-4FC4-8319-9D32A7A8B658}"/>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8" name="Text Box 1058" hidden="1">
          <a:extLst>
            <a:ext uri="{FF2B5EF4-FFF2-40B4-BE49-F238E27FC236}">
              <a16:creationId xmlns:a16="http://schemas.microsoft.com/office/drawing/2014/main" id="{63C00021-3770-4737-8444-1784021FE95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100</xdr:row>
      <xdr:rowOff>122142</xdr:rowOff>
    </xdr:from>
    <xdr:to>
      <xdr:col>19</xdr:col>
      <xdr:colOff>250032</xdr:colOff>
      <xdr:row>104</xdr:row>
      <xdr:rowOff>114291</xdr:rowOff>
    </xdr:to>
    <xdr:sp macro="" textlink="">
      <xdr:nvSpPr>
        <xdr:cNvPr id="251941" name="Text Box 1061" hidden="1">
          <a:extLst>
            <a:ext uri="{FF2B5EF4-FFF2-40B4-BE49-F238E27FC236}">
              <a16:creationId xmlns:a16="http://schemas.microsoft.com/office/drawing/2014/main" id="{9164FE8A-661A-47EA-B1D1-FF85BD23B695}"/>
            </a:ext>
          </a:extLst>
        </xdr:cNvPr>
        <xdr:cNvSpPr txBox="1">
          <a:spLocks noChangeArrowheads="1"/>
        </xdr:cNvSpPr>
      </xdr:nvSpPr>
      <xdr:spPr bwMode="auto">
        <a:xfrm>
          <a:off x="12885420" y="23050500"/>
          <a:ext cx="140208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5" name="Text Box 1065" hidden="1">
          <a:extLst>
            <a:ext uri="{FF2B5EF4-FFF2-40B4-BE49-F238E27FC236}">
              <a16:creationId xmlns:a16="http://schemas.microsoft.com/office/drawing/2014/main" id="{75ECC086-E7F3-4304-9E42-B986D60811CB}"/>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4" name="Text Box 1064" hidden="1">
          <a:extLst>
            <a:ext uri="{FF2B5EF4-FFF2-40B4-BE49-F238E27FC236}">
              <a16:creationId xmlns:a16="http://schemas.microsoft.com/office/drawing/2014/main" id="{5CAAAF00-180B-442A-908F-A55E8751B3FB}"/>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3" name="Text Box 1063" hidden="1">
          <a:extLst>
            <a:ext uri="{FF2B5EF4-FFF2-40B4-BE49-F238E27FC236}">
              <a16:creationId xmlns:a16="http://schemas.microsoft.com/office/drawing/2014/main" id="{5DD777EF-3364-4FC0-BDFB-9DBA6DD154C9}"/>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564992</xdr:colOff>
      <xdr:row>100</xdr:row>
      <xdr:rowOff>122142</xdr:rowOff>
    </xdr:from>
    <xdr:to>
      <xdr:col>19</xdr:col>
      <xdr:colOff>250032</xdr:colOff>
      <xdr:row>104</xdr:row>
      <xdr:rowOff>114291</xdr:rowOff>
    </xdr:to>
    <xdr:sp macro="" textlink="">
      <xdr:nvSpPr>
        <xdr:cNvPr id="251942" name="Text Box 1062" hidden="1">
          <a:extLst>
            <a:ext uri="{FF2B5EF4-FFF2-40B4-BE49-F238E27FC236}">
              <a16:creationId xmlns:a16="http://schemas.microsoft.com/office/drawing/2014/main" id="{798FFDF5-689E-4B2C-A5B3-1F969BE022CB}"/>
            </a:ext>
          </a:extLst>
        </xdr:cNvPr>
        <xdr:cNvSpPr txBox="1">
          <a:spLocks noChangeArrowheads="1"/>
        </xdr:cNvSpPr>
      </xdr:nvSpPr>
      <xdr:spPr bwMode="auto">
        <a:xfrm>
          <a:off x="12877800" y="23042880"/>
          <a:ext cx="14097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9" name="Text Box 1069" hidden="1">
          <a:extLst>
            <a:ext uri="{FF2B5EF4-FFF2-40B4-BE49-F238E27FC236}">
              <a16:creationId xmlns:a16="http://schemas.microsoft.com/office/drawing/2014/main" id="{C4D7BA3E-C536-4EE0-94D0-3A54F2D4F6B2}"/>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8" name="Text Box 1068" hidden="1">
          <a:extLst>
            <a:ext uri="{FF2B5EF4-FFF2-40B4-BE49-F238E27FC236}">
              <a16:creationId xmlns:a16="http://schemas.microsoft.com/office/drawing/2014/main" id="{CAEC22FB-38E3-48B9-BAAB-A5D2C0831BE9}"/>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7" name="Text Box 1067" hidden="1">
          <a:extLst>
            <a:ext uri="{FF2B5EF4-FFF2-40B4-BE49-F238E27FC236}">
              <a16:creationId xmlns:a16="http://schemas.microsoft.com/office/drawing/2014/main" id="{054FBDFB-4503-4B86-8DCD-3162FDA6D3E4}"/>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46" name="Text Box 1066" hidden="1">
          <a:extLst>
            <a:ext uri="{FF2B5EF4-FFF2-40B4-BE49-F238E27FC236}">
              <a16:creationId xmlns:a16="http://schemas.microsoft.com/office/drawing/2014/main" id="{24FF4566-F65D-44F6-95A0-B22531095F80}"/>
            </a:ext>
          </a:extLst>
        </xdr:cNvPr>
        <xdr:cNvSpPr txBox="1">
          <a:spLocks noChangeArrowheads="1"/>
        </xdr:cNvSpPr>
      </xdr:nvSpPr>
      <xdr:spPr bwMode="auto">
        <a:xfrm>
          <a:off x="12870180" y="23042880"/>
          <a:ext cx="141732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3" name="Text Box 1073" hidden="1">
          <a:extLst>
            <a:ext uri="{FF2B5EF4-FFF2-40B4-BE49-F238E27FC236}">
              <a16:creationId xmlns:a16="http://schemas.microsoft.com/office/drawing/2014/main" id="{72185ADD-64D2-4942-9710-8B48BBE0B38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2" name="Text Box 1072" hidden="1">
          <a:extLst>
            <a:ext uri="{FF2B5EF4-FFF2-40B4-BE49-F238E27FC236}">
              <a16:creationId xmlns:a16="http://schemas.microsoft.com/office/drawing/2014/main" id="{CD2E9735-6CFF-4D7A-93B7-7EE9EFB73215}"/>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1" name="Text Box 1071" hidden="1">
          <a:extLst>
            <a:ext uri="{FF2B5EF4-FFF2-40B4-BE49-F238E27FC236}">
              <a16:creationId xmlns:a16="http://schemas.microsoft.com/office/drawing/2014/main" id="{768B63E0-AC37-4C1E-9ECC-C995B165E469}"/>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50" name="Text Box 1070" hidden="1">
          <a:extLst>
            <a:ext uri="{FF2B5EF4-FFF2-40B4-BE49-F238E27FC236}">
              <a16:creationId xmlns:a16="http://schemas.microsoft.com/office/drawing/2014/main" id="{E9F38450-1CBD-444A-943B-44193D175419}"/>
            </a:ext>
          </a:extLst>
        </xdr:cNvPr>
        <xdr:cNvSpPr txBox="1">
          <a:spLocks noChangeArrowheads="1"/>
        </xdr:cNvSpPr>
      </xdr:nvSpPr>
      <xdr:spPr bwMode="auto">
        <a:xfrm>
          <a:off x="12525375" y="23364825"/>
          <a:ext cx="13906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7" name="Text Box 1077" hidden="1">
          <a:extLst>
            <a:ext uri="{FF2B5EF4-FFF2-40B4-BE49-F238E27FC236}">
              <a16:creationId xmlns:a16="http://schemas.microsoft.com/office/drawing/2014/main" id="{657808AD-0FB8-484F-8051-D27C2BC95C3D}"/>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6" name="Text Box 1076" hidden="1">
          <a:extLst>
            <a:ext uri="{FF2B5EF4-FFF2-40B4-BE49-F238E27FC236}">
              <a16:creationId xmlns:a16="http://schemas.microsoft.com/office/drawing/2014/main" id="{F3707A6E-41E7-47BC-912F-A1492280EBD7}"/>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5" name="Text Box 1075" hidden="1">
          <a:extLst>
            <a:ext uri="{FF2B5EF4-FFF2-40B4-BE49-F238E27FC236}">
              <a16:creationId xmlns:a16="http://schemas.microsoft.com/office/drawing/2014/main" id="{B252879B-34CD-4946-A39C-F26428AA66CA}"/>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101</xdr:row>
      <xdr:rowOff>6964</xdr:rowOff>
    </xdr:from>
    <xdr:to>
      <xdr:col>19</xdr:col>
      <xdr:colOff>250032</xdr:colOff>
      <xdr:row>105</xdr:row>
      <xdr:rowOff>120674</xdr:rowOff>
    </xdr:to>
    <xdr:sp macro="" textlink="">
      <xdr:nvSpPr>
        <xdr:cNvPr id="251954" name="Text Box 1074" hidden="1">
          <a:extLst>
            <a:ext uri="{FF2B5EF4-FFF2-40B4-BE49-F238E27FC236}">
              <a16:creationId xmlns:a16="http://schemas.microsoft.com/office/drawing/2014/main" id="{432622F3-D6E0-4EC6-9582-5CDE60E3BC4B}"/>
            </a:ext>
          </a:extLst>
        </xdr:cNvPr>
        <xdr:cNvSpPr txBox="1">
          <a:spLocks noChangeArrowheads="1"/>
        </xdr:cNvSpPr>
      </xdr:nvSpPr>
      <xdr:spPr bwMode="auto">
        <a:xfrm>
          <a:off x="12525375" y="23479125"/>
          <a:ext cx="13906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61" name="Text Box 1081" hidden="1">
          <a:extLst>
            <a:ext uri="{FF2B5EF4-FFF2-40B4-BE49-F238E27FC236}">
              <a16:creationId xmlns:a16="http://schemas.microsoft.com/office/drawing/2014/main" id="{7DAE9876-79AF-4C04-B235-C9B06004B5DF}"/>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46356</xdr:rowOff>
    </xdr:from>
    <xdr:to>
      <xdr:col>4</xdr:col>
      <xdr:colOff>97631</xdr:colOff>
      <xdr:row>75</xdr:row>
      <xdr:rowOff>83821</xdr:rowOff>
    </xdr:to>
    <xdr:sp macro="" textlink="">
      <xdr:nvSpPr>
        <xdr:cNvPr id="251960" name="Text Box 1080" hidden="1">
          <a:extLst>
            <a:ext uri="{FF2B5EF4-FFF2-40B4-BE49-F238E27FC236}">
              <a16:creationId xmlns:a16="http://schemas.microsoft.com/office/drawing/2014/main" id="{8EA217EB-A483-41E4-8760-EE706FAC9B7C}"/>
            </a:ext>
          </a:extLst>
        </xdr:cNvPr>
        <xdr:cNvSpPr txBox="1">
          <a:spLocks noChangeArrowheads="1"/>
        </xdr:cNvSpPr>
      </xdr:nvSpPr>
      <xdr:spPr bwMode="auto">
        <a:xfrm>
          <a:off x="4038600" y="17706975"/>
          <a:ext cx="12382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59" name="Text Box 1079" hidden="1">
          <a:extLst>
            <a:ext uri="{FF2B5EF4-FFF2-40B4-BE49-F238E27FC236}">
              <a16:creationId xmlns:a16="http://schemas.microsoft.com/office/drawing/2014/main" id="{0E1DD930-89FB-4422-A45C-2F18737238BC}"/>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114890</xdr:rowOff>
    </xdr:from>
    <xdr:to>
      <xdr:col>19</xdr:col>
      <xdr:colOff>250032</xdr:colOff>
      <xdr:row>138</xdr:row>
      <xdr:rowOff>83905</xdr:rowOff>
    </xdr:to>
    <xdr:sp macro="" textlink="">
      <xdr:nvSpPr>
        <xdr:cNvPr id="251958" name="Text Box 1078" hidden="1">
          <a:extLst>
            <a:ext uri="{FF2B5EF4-FFF2-40B4-BE49-F238E27FC236}">
              <a16:creationId xmlns:a16="http://schemas.microsoft.com/office/drawing/2014/main" id="{0EA53887-6901-46A5-8B66-846DCCE0D8A4}"/>
            </a:ext>
          </a:extLst>
        </xdr:cNvPr>
        <xdr:cNvSpPr txBox="1">
          <a:spLocks noChangeArrowheads="1"/>
        </xdr:cNvSpPr>
      </xdr:nvSpPr>
      <xdr:spPr bwMode="auto">
        <a:xfrm>
          <a:off x="12525375" y="29918025"/>
          <a:ext cx="1390650"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5" name="Text Box 1085" hidden="1">
          <a:extLst>
            <a:ext uri="{FF2B5EF4-FFF2-40B4-BE49-F238E27FC236}">
              <a16:creationId xmlns:a16="http://schemas.microsoft.com/office/drawing/2014/main" id="{0AE1BDFF-A322-4006-81B3-140AF08C15F7}"/>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97631</xdr:colOff>
      <xdr:row>75</xdr:row>
      <xdr:rowOff>46991</xdr:rowOff>
    </xdr:to>
    <xdr:sp macro="" textlink="">
      <xdr:nvSpPr>
        <xdr:cNvPr id="251964" name="Text Box 1084" hidden="1">
          <a:extLst>
            <a:ext uri="{FF2B5EF4-FFF2-40B4-BE49-F238E27FC236}">
              <a16:creationId xmlns:a16="http://schemas.microsoft.com/office/drawing/2014/main" id="{E79B9250-43AC-412B-A00E-E74F24890B50}"/>
            </a:ext>
          </a:extLst>
        </xdr:cNvPr>
        <xdr:cNvSpPr txBox="1">
          <a:spLocks noChangeArrowheads="1"/>
        </xdr:cNvSpPr>
      </xdr:nvSpPr>
      <xdr:spPr bwMode="auto">
        <a:xfrm>
          <a:off x="4222750" y="1751330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3" name="Text Box 1083" hidden="1">
          <a:extLst>
            <a:ext uri="{FF2B5EF4-FFF2-40B4-BE49-F238E27FC236}">
              <a16:creationId xmlns:a16="http://schemas.microsoft.com/office/drawing/2014/main" id="{434770B8-7E56-46BA-A377-5C3F343232B9}"/>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115789</xdr:rowOff>
    </xdr:from>
    <xdr:to>
      <xdr:col>19</xdr:col>
      <xdr:colOff>250032</xdr:colOff>
      <xdr:row>138</xdr:row>
      <xdr:rowOff>68665</xdr:rowOff>
    </xdr:to>
    <xdr:sp macro="" textlink="">
      <xdr:nvSpPr>
        <xdr:cNvPr id="251962" name="Text Box 1082" hidden="1">
          <a:extLst>
            <a:ext uri="{FF2B5EF4-FFF2-40B4-BE49-F238E27FC236}">
              <a16:creationId xmlns:a16="http://schemas.microsoft.com/office/drawing/2014/main" id="{90BBE9E0-5CAB-4918-BAE8-C25F7677F71F}"/>
            </a:ext>
          </a:extLst>
        </xdr:cNvPr>
        <xdr:cNvSpPr txBox="1">
          <a:spLocks noChangeArrowheads="1"/>
        </xdr:cNvSpPr>
      </xdr:nvSpPr>
      <xdr:spPr bwMode="auto">
        <a:xfrm>
          <a:off x="13157200" y="29546550"/>
          <a:ext cx="1447800" cy="984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59532</xdr:colOff>
      <xdr:row>41</xdr:row>
      <xdr:rowOff>283698</xdr:rowOff>
    </xdr:from>
    <xdr:to>
      <xdr:col>20</xdr:col>
      <xdr:colOff>307182</xdr:colOff>
      <xdr:row>45</xdr:row>
      <xdr:rowOff>82906</xdr:rowOff>
    </xdr:to>
    <xdr:sp macro="" textlink="">
      <xdr:nvSpPr>
        <xdr:cNvPr id="251966" name="Text Box 1086" hidden="1">
          <a:extLst>
            <a:ext uri="{FF2B5EF4-FFF2-40B4-BE49-F238E27FC236}">
              <a16:creationId xmlns:a16="http://schemas.microsoft.com/office/drawing/2014/main" id="{FF4B2B03-8D85-48F2-B84F-2BA6B63559C5}"/>
            </a:ext>
          </a:extLst>
        </xdr:cNvPr>
        <xdr:cNvSpPr txBox="1">
          <a:spLocks noChangeArrowheads="1"/>
        </xdr:cNvSpPr>
      </xdr:nvSpPr>
      <xdr:spPr bwMode="auto">
        <a:xfrm>
          <a:off x="13792200" y="105918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762000</xdr:colOff>
      <xdr:row>99</xdr:row>
      <xdr:rowOff>63972</xdr:rowOff>
    </xdr:from>
    <xdr:to>
      <xdr:col>11</xdr:col>
      <xdr:colOff>364332</xdr:colOff>
      <xdr:row>103</xdr:row>
      <xdr:rowOff>31252</xdr:rowOff>
    </xdr:to>
    <xdr:sp macro="" textlink="">
      <xdr:nvSpPr>
        <xdr:cNvPr id="251967" name="Text Box 1087" hidden="1">
          <a:extLst>
            <a:ext uri="{FF2B5EF4-FFF2-40B4-BE49-F238E27FC236}">
              <a16:creationId xmlns:a16="http://schemas.microsoft.com/office/drawing/2014/main" id="{B50FC282-483F-43DD-94EE-DB0FF7345EE9}"/>
            </a:ext>
          </a:extLst>
        </xdr:cNvPr>
        <xdr:cNvSpPr txBox="1">
          <a:spLocks noChangeArrowheads="1"/>
        </xdr:cNvSpPr>
      </xdr:nvSpPr>
      <xdr:spPr bwMode="auto">
        <a:xfrm>
          <a:off x="8763000" y="2282190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3" name="Text Box 1093" hidden="1">
          <a:extLst>
            <a:ext uri="{FF2B5EF4-FFF2-40B4-BE49-F238E27FC236}">
              <a16:creationId xmlns:a16="http://schemas.microsoft.com/office/drawing/2014/main" id="{169F5613-1728-43CD-B080-585B4434F19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54466</xdr:rowOff>
    </xdr:to>
    <xdr:sp macro="" textlink="">
      <xdr:nvSpPr>
        <xdr:cNvPr id="251972" name="Text Box 1092" hidden="1">
          <a:extLst>
            <a:ext uri="{FF2B5EF4-FFF2-40B4-BE49-F238E27FC236}">
              <a16:creationId xmlns:a16="http://schemas.microsoft.com/office/drawing/2014/main" id="{428DF8DA-E27B-4CAC-9076-50D9B164CCE3}"/>
            </a:ext>
          </a:extLst>
        </xdr:cNvPr>
        <xdr:cNvSpPr txBox="1">
          <a:spLocks noChangeArrowheads="1"/>
        </xdr:cNvSpPr>
      </xdr:nvSpPr>
      <xdr:spPr bwMode="auto">
        <a:xfrm>
          <a:off x="4222750" y="1505585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1" name="Text Box 1091" hidden="1">
          <a:extLst>
            <a:ext uri="{FF2B5EF4-FFF2-40B4-BE49-F238E27FC236}">
              <a16:creationId xmlns:a16="http://schemas.microsoft.com/office/drawing/2014/main" id="{759CCB70-22EC-4297-B6DF-A1B10781963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0" name="Text Box 1090" hidden="1">
          <a:extLst>
            <a:ext uri="{FF2B5EF4-FFF2-40B4-BE49-F238E27FC236}">
              <a16:creationId xmlns:a16="http://schemas.microsoft.com/office/drawing/2014/main" id="{5214A7F8-6FBE-4E1F-AA18-3AF745636412}"/>
            </a:ext>
          </a:extLst>
        </xdr:cNvPr>
        <xdr:cNvSpPr txBox="1">
          <a:spLocks noChangeArrowheads="1"/>
        </xdr:cNvSpPr>
      </xdr:nvSpPr>
      <xdr:spPr bwMode="auto">
        <a:xfrm>
          <a:off x="13157200" y="24657050"/>
          <a:ext cx="14478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46832</xdr:colOff>
      <xdr:row>29</xdr:row>
      <xdr:rowOff>168632</xdr:rowOff>
    </xdr:from>
    <xdr:to>
      <xdr:col>20</xdr:col>
      <xdr:colOff>307182</xdr:colOff>
      <xdr:row>32</xdr:row>
      <xdr:rowOff>159595</xdr:rowOff>
    </xdr:to>
    <xdr:sp macro="" textlink="">
      <xdr:nvSpPr>
        <xdr:cNvPr id="251969" name="Text Box 1089" hidden="1">
          <a:extLst>
            <a:ext uri="{FF2B5EF4-FFF2-40B4-BE49-F238E27FC236}">
              <a16:creationId xmlns:a16="http://schemas.microsoft.com/office/drawing/2014/main" id="{05F613D8-04C6-4375-9CA1-727ABF740BDD}"/>
            </a:ext>
          </a:extLst>
        </xdr:cNvPr>
        <xdr:cNvSpPr txBox="1">
          <a:spLocks noChangeArrowheads="1"/>
        </xdr:cNvSpPr>
      </xdr:nvSpPr>
      <xdr:spPr bwMode="auto">
        <a:xfrm>
          <a:off x="13785850" y="75819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749300</xdr:colOff>
      <xdr:row>85</xdr:row>
      <xdr:rowOff>29342</xdr:rowOff>
    </xdr:from>
    <xdr:to>
      <xdr:col>11</xdr:col>
      <xdr:colOff>364332</xdr:colOff>
      <xdr:row>89</xdr:row>
      <xdr:rowOff>29619</xdr:rowOff>
    </xdr:to>
    <xdr:sp macro="" textlink="">
      <xdr:nvSpPr>
        <xdr:cNvPr id="251968" name="Text Box 1088" hidden="1">
          <a:extLst>
            <a:ext uri="{FF2B5EF4-FFF2-40B4-BE49-F238E27FC236}">
              <a16:creationId xmlns:a16="http://schemas.microsoft.com/office/drawing/2014/main" id="{59A17960-AA96-4437-8F69-D8C5BD453C07}"/>
            </a:ext>
          </a:extLst>
        </xdr:cNvPr>
        <xdr:cNvSpPr txBox="1">
          <a:spLocks noChangeArrowheads="1"/>
        </xdr:cNvSpPr>
      </xdr:nvSpPr>
      <xdr:spPr bwMode="auto">
        <a:xfrm>
          <a:off x="8756650" y="200342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8732</xdr:colOff>
      <xdr:row>110</xdr:row>
      <xdr:rowOff>163460</xdr:rowOff>
    </xdr:from>
    <xdr:to>
      <xdr:col>20</xdr:col>
      <xdr:colOff>135732</xdr:colOff>
      <xdr:row>114</xdr:row>
      <xdr:rowOff>132664</xdr:rowOff>
    </xdr:to>
    <xdr:sp macro="" textlink="">
      <xdr:nvSpPr>
        <xdr:cNvPr id="251974" name="Text Box 1094" hidden="1">
          <a:extLst>
            <a:ext uri="{FF2B5EF4-FFF2-40B4-BE49-F238E27FC236}">
              <a16:creationId xmlns:a16="http://schemas.microsoft.com/office/drawing/2014/main" id="{3DA92314-7B10-4EC4-9720-4886F705B438}"/>
            </a:ext>
          </a:extLst>
        </xdr:cNvPr>
        <xdr:cNvSpPr txBox="1">
          <a:spLocks noChangeArrowheads="1"/>
        </xdr:cNvSpPr>
      </xdr:nvSpPr>
      <xdr:spPr bwMode="auto">
        <a:xfrm>
          <a:off x="13747750" y="251396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1" name="Text Box 1101" hidden="1">
          <a:extLst>
            <a:ext uri="{FF2B5EF4-FFF2-40B4-BE49-F238E27FC236}">
              <a16:creationId xmlns:a16="http://schemas.microsoft.com/office/drawing/2014/main" id="{EC7962EE-4ED2-4240-8C59-AB0679CB2CF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0" name="Text Box 1100" hidden="1">
          <a:extLst>
            <a:ext uri="{FF2B5EF4-FFF2-40B4-BE49-F238E27FC236}">
              <a16:creationId xmlns:a16="http://schemas.microsoft.com/office/drawing/2014/main" id="{AF034AC4-5143-4988-93B7-5535E420909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79" name="Text Box 1099" hidden="1">
          <a:extLst>
            <a:ext uri="{FF2B5EF4-FFF2-40B4-BE49-F238E27FC236}">
              <a16:creationId xmlns:a16="http://schemas.microsoft.com/office/drawing/2014/main" id="{31D60284-3CA8-45D5-8360-C8F57E068E8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8" name="Text Box 1098" hidden="1">
          <a:extLst>
            <a:ext uri="{FF2B5EF4-FFF2-40B4-BE49-F238E27FC236}">
              <a16:creationId xmlns:a16="http://schemas.microsoft.com/office/drawing/2014/main" id="{E8FAB7A1-662B-4C15-8304-863C33752D03}"/>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77" name="Text Box 1097" hidden="1">
          <a:extLst>
            <a:ext uri="{FF2B5EF4-FFF2-40B4-BE49-F238E27FC236}">
              <a16:creationId xmlns:a16="http://schemas.microsoft.com/office/drawing/2014/main" id="{99DE35C0-4FC1-4368-B796-9AD80FBBF8FA}"/>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76" name="Text Box 1096" hidden="1">
          <a:extLst>
            <a:ext uri="{FF2B5EF4-FFF2-40B4-BE49-F238E27FC236}">
              <a16:creationId xmlns:a16="http://schemas.microsoft.com/office/drawing/2014/main" id="{CD306671-3948-43B1-A982-6DF26C3BE808}"/>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75" name="Text Box 1095" hidden="1">
          <a:extLst>
            <a:ext uri="{FF2B5EF4-FFF2-40B4-BE49-F238E27FC236}">
              <a16:creationId xmlns:a16="http://schemas.microsoft.com/office/drawing/2014/main" id="{7386195F-7295-4893-B983-742583E18545}"/>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8" name="Text Box 1108" hidden="1">
          <a:extLst>
            <a:ext uri="{FF2B5EF4-FFF2-40B4-BE49-F238E27FC236}">
              <a16:creationId xmlns:a16="http://schemas.microsoft.com/office/drawing/2014/main" id="{FC3B9A22-BB64-4B9F-81CA-1AB669D54203}"/>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7" name="Text Box 1107" hidden="1">
          <a:extLst>
            <a:ext uri="{FF2B5EF4-FFF2-40B4-BE49-F238E27FC236}">
              <a16:creationId xmlns:a16="http://schemas.microsoft.com/office/drawing/2014/main" id="{FB443918-9D80-4309-B929-A55B5D8D4A27}"/>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6" name="Text Box 1106" hidden="1">
          <a:extLst>
            <a:ext uri="{FF2B5EF4-FFF2-40B4-BE49-F238E27FC236}">
              <a16:creationId xmlns:a16="http://schemas.microsoft.com/office/drawing/2014/main" id="{29E77375-409B-467D-A1A6-2CBABC436C7D}"/>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85" name="Text Box 1105" hidden="1">
          <a:extLst>
            <a:ext uri="{FF2B5EF4-FFF2-40B4-BE49-F238E27FC236}">
              <a16:creationId xmlns:a16="http://schemas.microsoft.com/office/drawing/2014/main" id="{4AC94954-F2D6-41E9-B47E-807DFEC901A1}"/>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84" name="Text Box 1104" hidden="1">
          <a:extLst>
            <a:ext uri="{FF2B5EF4-FFF2-40B4-BE49-F238E27FC236}">
              <a16:creationId xmlns:a16="http://schemas.microsoft.com/office/drawing/2014/main" id="{B14C94AF-5325-45B4-9846-DD548DECDBD4}"/>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83" name="Text Box 1103" hidden="1">
          <a:extLst>
            <a:ext uri="{FF2B5EF4-FFF2-40B4-BE49-F238E27FC236}">
              <a16:creationId xmlns:a16="http://schemas.microsoft.com/office/drawing/2014/main" id="{3D48479A-A510-4B99-BEF1-CF2888E3CE93}"/>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2" name="Text Box 1102" hidden="1">
          <a:extLst>
            <a:ext uri="{FF2B5EF4-FFF2-40B4-BE49-F238E27FC236}">
              <a16:creationId xmlns:a16="http://schemas.microsoft.com/office/drawing/2014/main" id="{DD1D27DB-8EA2-4528-A3C3-80BB589B6C08}"/>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5" name="Text Box 1115" hidden="1">
          <a:extLst>
            <a:ext uri="{FF2B5EF4-FFF2-40B4-BE49-F238E27FC236}">
              <a16:creationId xmlns:a16="http://schemas.microsoft.com/office/drawing/2014/main" id="{20AC4FB9-32B1-4267-8949-AE9B118D5155}"/>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94" name="Text Box 1114" hidden="1">
          <a:extLst>
            <a:ext uri="{FF2B5EF4-FFF2-40B4-BE49-F238E27FC236}">
              <a16:creationId xmlns:a16="http://schemas.microsoft.com/office/drawing/2014/main" id="{0B599199-3261-4C33-8430-D8D67D7B820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3" name="Text Box 1113" hidden="1">
          <a:extLst>
            <a:ext uri="{FF2B5EF4-FFF2-40B4-BE49-F238E27FC236}">
              <a16:creationId xmlns:a16="http://schemas.microsoft.com/office/drawing/2014/main" id="{6F854041-C871-4D28-AA8C-0AAEA6822C5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2" name="Text Box 1112" hidden="1">
          <a:extLst>
            <a:ext uri="{FF2B5EF4-FFF2-40B4-BE49-F238E27FC236}">
              <a16:creationId xmlns:a16="http://schemas.microsoft.com/office/drawing/2014/main" id="{4169791F-CF40-421F-A12F-08E6F579701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1" name="Text Box 1111" hidden="1">
          <a:extLst>
            <a:ext uri="{FF2B5EF4-FFF2-40B4-BE49-F238E27FC236}">
              <a16:creationId xmlns:a16="http://schemas.microsoft.com/office/drawing/2014/main" id="{1294A92E-CEB7-4C51-B95A-781B45616DE5}"/>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0" name="Text Box 1110" hidden="1">
          <a:extLst>
            <a:ext uri="{FF2B5EF4-FFF2-40B4-BE49-F238E27FC236}">
              <a16:creationId xmlns:a16="http://schemas.microsoft.com/office/drawing/2014/main" id="{CFEF325D-5F90-4819-9E83-66E324B62CC0}"/>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9" name="Text Box 1109" hidden="1">
          <a:extLst>
            <a:ext uri="{FF2B5EF4-FFF2-40B4-BE49-F238E27FC236}">
              <a16:creationId xmlns:a16="http://schemas.microsoft.com/office/drawing/2014/main" id="{D2A3F652-7BA8-47CC-B1EE-EAB4C7596C6A}"/>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6" name="Text Box 1136" hidden="1">
          <a:extLst>
            <a:ext uri="{FF2B5EF4-FFF2-40B4-BE49-F238E27FC236}">
              <a16:creationId xmlns:a16="http://schemas.microsoft.com/office/drawing/2014/main" id="{A078B7EB-F249-4B7A-A631-11FA8C7D7DC3}"/>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15" name="Text Box 1135" hidden="1">
          <a:extLst>
            <a:ext uri="{FF2B5EF4-FFF2-40B4-BE49-F238E27FC236}">
              <a16:creationId xmlns:a16="http://schemas.microsoft.com/office/drawing/2014/main" id="{557AD597-27EC-495D-BC09-467BAAEAF609}"/>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4" name="Text Box 1134" hidden="1">
          <a:extLst>
            <a:ext uri="{FF2B5EF4-FFF2-40B4-BE49-F238E27FC236}">
              <a16:creationId xmlns:a16="http://schemas.microsoft.com/office/drawing/2014/main" id="{09D81D85-3AEB-4B01-B097-F9E9FDC5A1A8}"/>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13" name="Text Box 1133" hidden="1">
          <a:extLst>
            <a:ext uri="{FF2B5EF4-FFF2-40B4-BE49-F238E27FC236}">
              <a16:creationId xmlns:a16="http://schemas.microsoft.com/office/drawing/2014/main" id="{1A51DC67-8792-4628-9675-C3C8BA7B11D7}"/>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2" name="Text Box 1132" hidden="1">
          <a:extLst>
            <a:ext uri="{FF2B5EF4-FFF2-40B4-BE49-F238E27FC236}">
              <a16:creationId xmlns:a16="http://schemas.microsoft.com/office/drawing/2014/main" id="{3F457E8B-9071-4383-A903-925EFD4B280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1" name="Text Box 1131" hidden="1">
          <a:extLst>
            <a:ext uri="{FF2B5EF4-FFF2-40B4-BE49-F238E27FC236}">
              <a16:creationId xmlns:a16="http://schemas.microsoft.com/office/drawing/2014/main" id="{8B1110A6-7827-4206-AA88-552984CB459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0" name="Text Box 1130" hidden="1">
          <a:extLst>
            <a:ext uri="{FF2B5EF4-FFF2-40B4-BE49-F238E27FC236}">
              <a16:creationId xmlns:a16="http://schemas.microsoft.com/office/drawing/2014/main" id="{A46F4962-0EBE-4E6A-97AE-BAED469F21F4}"/>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9" name="Text Box 1129" hidden="1">
          <a:extLst>
            <a:ext uri="{FF2B5EF4-FFF2-40B4-BE49-F238E27FC236}">
              <a16:creationId xmlns:a16="http://schemas.microsoft.com/office/drawing/2014/main" id="{0B5463A9-DCE0-4CAF-B1AE-03BC4977E22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8" name="Text Box 1128" hidden="1">
          <a:extLst>
            <a:ext uri="{FF2B5EF4-FFF2-40B4-BE49-F238E27FC236}">
              <a16:creationId xmlns:a16="http://schemas.microsoft.com/office/drawing/2014/main" id="{432E5410-5180-47B3-AEEF-3514B9DFA2BE}"/>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7" name="Text Box 1127" hidden="1">
          <a:extLst>
            <a:ext uri="{FF2B5EF4-FFF2-40B4-BE49-F238E27FC236}">
              <a16:creationId xmlns:a16="http://schemas.microsoft.com/office/drawing/2014/main" id="{78A2312C-0371-4312-9289-4CB40CC8736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06" name="Text Box 1126" hidden="1">
          <a:extLst>
            <a:ext uri="{FF2B5EF4-FFF2-40B4-BE49-F238E27FC236}">
              <a16:creationId xmlns:a16="http://schemas.microsoft.com/office/drawing/2014/main" id="{DD45C663-B009-4618-B003-D4128FC6112C}"/>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05" name="Text Box 1125" hidden="1">
          <a:extLst>
            <a:ext uri="{FF2B5EF4-FFF2-40B4-BE49-F238E27FC236}">
              <a16:creationId xmlns:a16="http://schemas.microsoft.com/office/drawing/2014/main" id="{180101FA-46A1-466E-B9B5-28FB93D9262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04" name="Text Box 1124" hidden="1">
          <a:extLst>
            <a:ext uri="{FF2B5EF4-FFF2-40B4-BE49-F238E27FC236}">
              <a16:creationId xmlns:a16="http://schemas.microsoft.com/office/drawing/2014/main" id="{74918F63-F361-474A-9262-E2E019CAFD5F}"/>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03" name="Text Box 1123" hidden="1">
          <a:extLst>
            <a:ext uri="{FF2B5EF4-FFF2-40B4-BE49-F238E27FC236}">
              <a16:creationId xmlns:a16="http://schemas.microsoft.com/office/drawing/2014/main" id="{0DF80242-43DE-4CC9-A4FA-9B1A9A1E5F0C}"/>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2" name="Text Box 1122" hidden="1">
          <a:extLst>
            <a:ext uri="{FF2B5EF4-FFF2-40B4-BE49-F238E27FC236}">
              <a16:creationId xmlns:a16="http://schemas.microsoft.com/office/drawing/2014/main" id="{AB3B20CD-F02D-4EC0-8C40-DED0BA25262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1" name="Text Box 1121" hidden="1">
          <a:extLst>
            <a:ext uri="{FF2B5EF4-FFF2-40B4-BE49-F238E27FC236}">
              <a16:creationId xmlns:a16="http://schemas.microsoft.com/office/drawing/2014/main" id="{8998727E-B600-4E6E-A29D-E15EEDD8B6AC}"/>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0" name="Text Box 1120" hidden="1">
          <a:extLst>
            <a:ext uri="{FF2B5EF4-FFF2-40B4-BE49-F238E27FC236}">
              <a16:creationId xmlns:a16="http://schemas.microsoft.com/office/drawing/2014/main" id="{F137F477-79A6-43F6-8661-C6E6E47EA907}"/>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9" name="Text Box 1119" hidden="1">
          <a:extLst>
            <a:ext uri="{FF2B5EF4-FFF2-40B4-BE49-F238E27FC236}">
              <a16:creationId xmlns:a16="http://schemas.microsoft.com/office/drawing/2014/main" id="{426B642F-A42D-415D-98D3-AE85DFAFD39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8" name="Text Box 1118" hidden="1">
          <a:extLst>
            <a:ext uri="{FF2B5EF4-FFF2-40B4-BE49-F238E27FC236}">
              <a16:creationId xmlns:a16="http://schemas.microsoft.com/office/drawing/2014/main" id="{2AAEAEC0-F19C-4CE4-936F-58A986E6EC0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7" name="Text Box 1117" hidden="1">
          <a:extLst>
            <a:ext uri="{FF2B5EF4-FFF2-40B4-BE49-F238E27FC236}">
              <a16:creationId xmlns:a16="http://schemas.microsoft.com/office/drawing/2014/main" id="{A05F41FA-8F4B-4194-B1BC-AFC6C2A11063}"/>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96" name="Text Box 1116" hidden="1">
          <a:extLst>
            <a:ext uri="{FF2B5EF4-FFF2-40B4-BE49-F238E27FC236}">
              <a16:creationId xmlns:a16="http://schemas.microsoft.com/office/drawing/2014/main" id="{CE617B58-960F-44C8-97AA-CE424A357E66}"/>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7" name="Text Box 1157" hidden="1">
          <a:extLst>
            <a:ext uri="{FF2B5EF4-FFF2-40B4-BE49-F238E27FC236}">
              <a16:creationId xmlns:a16="http://schemas.microsoft.com/office/drawing/2014/main" id="{93C97E4F-F6E1-47E1-AAA2-257EF16DBAB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36" name="Text Box 1156" hidden="1">
          <a:extLst>
            <a:ext uri="{FF2B5EF4-FFF2-40B4-BE49-F238E27FC236}">
              <a16:creationId xmlns:a16="http://schemas.microsoft.com/office/drawing/2014/main" id="{E4BDEE3D-E92A-4D4B-B4F6-BBE776816902}"/>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5" name="Text Box 1155" hidden="1">
          <a:extLst>
            <a:ext uri="{FF2B5EF4-FFF2-40B4-BE49-F238E27FC236}">
              <a16:creationId xmlns:a16="http://schemas.microsoft.com/office/drawing/2014/main" id="{F87765DF-E56E-4FB8-9077-119349DEF6EF}"/>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34" name="Text Box 1154" hidden="1">
          <a:extLst>
            <a:ext uri="{FF2B5EF4-FFF2-40B4-BE49-F238E27FC236}">
              <a16:creationId xmlns:a16="http://schemas.microsoft.com/office/drawing/2014/main" id="{D791D423-8408-4763-A1F2-BAE54F61C6F5}"/>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33" name="Text Box 1153" hidden="1">
          <a:extLst>
            <a:ext uri="{FF2B5EF4-FFF2-40B4-BE49-F238E27FC236}">
              <a16:creationId xmlns:a16="http://schemas.microsoft.com/office/drawing/2014/main" id="{7F5C50E3-6116-403D-BAC3-DEA6FE17E7B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2" name="Text Box 1152" hidden="1">
          <a:extLst>
            <a:ext uri="{FF2B5EF4-FFF2-40B4-BE49-F238E27FC236}">
              <a16:creationId xmlns:a16="http://schemas.microsoft.com/office/drawing/2014/main" id="{C4D42879-FD2D-454A-B51B-7F3EC8CD8D32}"/>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1" name="Text Box 1151" hidden="1">
          <a:extLst>
            <a:ext uri="{FF2B5EF4-FFF2-40B4-BE49-F238E27FC236}">
              <a16:creationId xmlns:a16="http://schemas.microsoft.com/office/drawing/2014/main" id="{A49B9002-5F5E-4933-866F-3B82BC804A19}"/>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0" name="Text Box 1150" hidden="1">
          <a:extLst>
            <a:ext uri="{FF2B5EF4-FFF2-40B4-BE49-F238E27FC236}">
              <a16:creationId xmlns:a16="http://schemas.microsoft.com/office/drawing/2014/main" id="{2ACCE138-E05E-47A3-B803-D81D9882AF10}"/>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9" name="Text Box 1149" hidden="1">
          <a:extLst>
            <a:ext uri="{FF2B5EF4-FFF2-40B4-BE49-F238E27FC236}">
              <a16:creationId xmlns:a16="http://schemas.microsoft.com/office/drawing/2014/main" id="{FF50026F-0045-4995-BCE4-4C51AA5AF02B}"/>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8" name="Text Box 1148" hidden="1">
          <a:extLst>
            <a:ext uri="{FF2B5EF4-FFF2-40B4-BE49-F238E27FC236}">
              <a16:creationId xmlns:a16="http://schemas.microsoft.com/office/drawing/2014/main" id="{7240F781-A41D-4458-B0F5-D71D24C14CBE}"/>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7" name="Text Box 1147" hidden="1">
          <a:extLst>
            <a:ext uri="{FF2B5EF4-FFF2-40B4-BE49-F238E27FC236}">
              <a16:creationId xmlns:a16="http://schemas.microsoft.com/office/drawing/2014/main" id="{2233D495-C919-45A1-844E-25B803977729}"/>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26" name="Text Box 1146" hidden="1">
          <a:extLst>
            <a:ext uri="{FF2B5EF4-FFF2-40B4-BE49-F238E27FC236}">
              <a16:creationId xmlns:a16="http://schemas.microsoft.com/office/drawing/2014/main" id="{32036B17-B8C4-4565-9732-B7C243CBCC42}"/>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25" name="Text Box 1145" hidden="1">
          <a:extLst>
            <a:ext uri="{FF2B5EF4-FFF2-40B4-BE49-F238E27FC236}">
              <a16:creationId xmlns:a16="http://schemas.microsoft.com/office/drawing/2014/main" id="{3A85BCCC-0977-4CC0-8E66-DBE057B60059}"/>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24" name="Text Box 1144" hidden="1">
          <a:extLst>
            <a:ext uri="{FF2B5EF4-FFF2-40B4-BE49-F238E27FC236}">
              <a16:creationId xmlns:a16="http://schemas.microsoft.com/office/drawing/2014/main" id="{C9B5DC22-A7AB-48F6-943E-EC9E8CE12A0B}"/>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3" name="Text Box 1143" hidden="1">
          <a:extLst>
            <a:ext uri="{FF2B5EF4-FFF2-40B4-BE49-F238E27FC236}">
              <a16:creationId xmlns:a16="http://schemas.microsoft.com/office/drawing/2014/main" id="{9DFAF1BC-DE27-4F17-8D3B-29C1CDDFD5D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2" name="Text Box 1142" hidden="1">
          <a:extLst>
            <a:ext uri="{FF2B5EF4-FFF2-40B4-BE49-F238E27FC236}">
              <a16:creationId xmlns:a16="http://schemas.microsoft.com/office/drawing/2014/main" id="{8E1804F3-DFEF-4DE1-99D6-0CCAA8D8C0C8}"/>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1" name="Text Box 1141" hidden="1">
          <a:extLst>
            <a:ext uri="{FF2B5EF4-FFF2-40B4-BE49-F238E27FC236}">
              <a16:creationId xmlns:a16="http://schemas.microsoft.com/office/drawing/2014/main" id="{D37D9035-B832-4430-BE28-B946CDCB13D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0" name="Text Box 1140" hidden="1">
          <a:extLst>
            <a:ext uri="{FF2B5EF4-FFF2-40B4-BE49-F238E27FC236}">
              <a16:creationId xmlns:a16="http://schemas.microsoft.com/office/drawing/2014/main" id="{5FBC1B2B-4D27-4B5D-B928-DA12FD581E42}"/>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9" name="Text Box 1139" hidden="1">
          <a:extLst>
            <a:ext uri="{FF2B5EF4-FFF2-40B4-BE49-F238E27FC236}">
              <a16:creationId xmlns:a16="http://schemas.microsoft.com/office/drawing/2014/main" id="{660E006F-CED3-47BE-A5A2-B9FD2CB530FE}"/>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8" name="Text Box 1138" hidden="1">
          <a:extLst>
            <a:ext uri="{FF2B5EF4-FFF2-40B4-BE49-F238E27FC236}">
              <a16:creationId xmlns:a16="http://schemas.microsoft.com/office/drawing/2014/main" id="{4AE2770A-85EC-4EAC-86EC-D7CDC7B6144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7" name="Text Box 1137" hidden="1">
          <a:extLst>
            <a:ext uri="{FF2B5EF4-FFF2-40B4-BE49-F238E27FC236}">
              <a16:creationId xmlns:a16="http://schemas.microsoft.com/office/drawing/2014/main" id="{399C5A40-08F7-4459-A2F7-E451D20678AE}"/>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4" name="Text Box 1164" hidden="1">
          <a:extLst>
            <a:ext uri="{FF2B5EF4-FFF2-40B4-BE49-F238E27FC236}">
              <a16:creationId xmlns:a16="http://schemas.microsoft.com/office/drawing/2014/main" id="{4389088C-6A33-4F49-BC41-0D72115967DF}"/>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43" name="Text Box 1163" hidden="1">
          <a:extLst>
            <a:ext uri="{FF2B5EF4-FFF2-40B4-BE49-F238E27FC236}">
              <a16:creationId xmlns:a16="http://schemas.microsoft.com/office/drawing/2014/main" id="{6C2EC84C-A584-4936-B1C6-379E1BFE0AFA}"/>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2" name="Text Box 1162" hidden="1">
          <a:extLst>
            <a:ext uri="{FF2B5EF4-FFF2-40B4-BE49-F238E27FC236}">
              <a16:creationId xmlns:a16="http://schemas.microsoft.com/office/drawing/2014/main" id="{74645F5D-87CF-488E-A08F-61E7F4F34DD9}"/>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1" name="Text Box 1161" hidden="1">
          <a:extLst>
            <a:ext uri="{FF2B5EF4-FFF2-40B4-BE49-F238E27FC236}">
              <a16:creationId xmlns:a16="http://schemas.microsoft.com/office/drawing/2014/main" id="{A90B1259-B399-445F-A476-4F7D8B875518}"/>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0" name="Text Box 1160" hidden="1">
          <a:extLst>
            <a:ext uri="{FF2B5EF4-FFF2-40B4-BE49-F238E27FC236}">
              <a16:creationId xmlns:a16="http://schemas.microsoft.com/office/drawing/2014/main" id="{1AD2F970-1FA8-478C-B603-12D432A4AECF}"/>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9" name="Text Box 1159" hidden="1">
          <a:extLst>
            <a:ext uri="{FF2B5EF4-FFF2-40B4-BE49-F238E27FC236}">
              <a16:creationId xmlns:a16="http://schemas.microsoft.com/office/drawing/2014/main" id="{5DA0E931-24D8-4022-B733-C943DACC8137}"/>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8" name="Text Box 1158" hidden="1">
          <a:extLst>
            <a:ext uri="{FF2B5EF4-FFF2-40B4-BE49-F238E27FC236}">
              <a16:creationId xmlns:a16="http://schemas.microsoft.com/office/drawing/2014/main" id="{0144FF79-D64F-410F-8EFA-CF08DBF84094}"/>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1" name="Text Box 1171" hidden="1">
          <a:extLst>
            <a:ext uri="{FF2B5EF4-FFF2-40B4-BE49-F238E27FC236}">
              <a16:creationId xmlns:a16="http://schemas.microsoft.com/office/drawing/2014/main" id="{5034679F-54CE-4EFE-8513-A93B54543F99}"/>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0" name="Text Box 1170" hidden="1">
          <a:extLst>
            <a:ext uri="{FF2B5EF4-FFF2-40B4-BE49-F238E27FC236}">
              <a16:creationId xmlns:a16="http://schemas.microsoft.com/office/drawing/2014/main" id="{C3206BD2-25D3-43B7-810A-F367DCCC77F0}"/>
            </a:ext>
          </a:extLst>
        </xdr:cNvPr>
        <xdr:cNvSpPr txBox="1">
          <a:spLocks noChangeArrowheads="1"/>
        </xdr:cNvSpPr>
      </xdr:nvSpPr>
      <xdr:spPr bwMode="auto">
        <a:xfrm>
          <a:off x="4160520" y="15026640"/>
          <a:ext cx="12725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9" name="Text Box 1169" hidden="1">
          <a:extLst>
            <a:ext uri="{FF2B5EF4-FFF2-40B4-BE49-F238E27FC236}">
              <a16:creationId xmlns:a16="http://schemas.microsoft.com/office/drawing/2014/main" id="{5C3DDD3B-E216-4726-97EC-5F7FC3A75005}"/>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8" name="Text Box 1168" hidden="1">
          <a:extLst>
            <a:ext uri="{FF2B5EF4-FFF2-40B4-BE49-F238E27FC236}">
              <a16:creationId xmlns:a16="http://schemas.microsoft.com/office/drawing/2014/main" id="{6E706B32-F3B8-49DD-8817-4EF29DAFDEA4}"/>
            </a:ext>
          </a:extLst>
        </xdr:cNvPr>
        <xdr:cNvSpPr txBox="1">
          <a:spLocks noChangeArrowheads="1"/>
        </xdr:cNvSpPr>
      </xdr:nvSpPr>
      <xdr:spPr bwMode="auto">
        <a:xfrm>
          <a:off x="1300734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7" name="Text Box 1167" hidden="1">
          <a:extLst>
            <a:ext uri="{FF2B5EF4-FFF2-40B4-BE49-F238E27FC236}">
              <a16:creationId xmlns:a16="http://schemas.microsoft.com/office/drawing/2014/main" id="{91CCAE61-6E86-468C-81B5-BA708EF2ECC1}"/>
            </a:ext>
          </a:extLst>
        </xdr:cNvPr>
        <xdr:cNvSpPr txBox="1">
          <a:spLocks noChangeArrowheads="1"/>
        </xdr:cNvSpPr>
      </xdr:nvSpPr>
      <xdr:spPr bwMode="auto">
        <a:xfrm>
          <a:off x="13601700" y="7581900"/>
          <a:ext cx="144780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46" name="Text Box 1166" hidden="1">
          <a:extLst>
            <a:ext uri="{FF2B5EF4-FFF2-40B4-BE49-F238E27FC236}">
              <a16:creationId xmlns:a16="http://schemas.microsoft.com/office/drawing/2014/main" id="{C1FC316E-DBC0-4D79-AF2F-C828F1357D62}"/>
            </a:ext>
          </a:extLst>
        </xdr:cNvPr>
        <xdr:cNvSpPr txBox="1">
          <a:spLocks noChangeArrowheads="1"/>
        </xdr:cNvSpPr>
      </xdr:nvSpPr>
      <xdr:spPr bwMode="auto">
        <a:xfrm>
          <a:off x="861822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45" name="Text Box 1165" hidden="1">
          <a:extLst>
            <a:ext uri="{FF2B5EF4-FFF2-40B4-BE49-F238E27FC236}">
              <a16:creationId xmlns:a16="http://schemas.microsoft.com/office/drawing/2014/main" id="{05EDC26C-67FC-4231-A1F7-52298B0F0BE6}"/>
            </a:ext>
          </a:extLst>
        </xdr:cNvPr>
        <xdr:cNvSpPr txBox="1">
          <a:spLocks noChangeArrowheads="1"/>
        </xdr:cNvSpPr>
      </xdr:nvSpPr>
      <xdr:spPr bwMode="auto">
        <a:xfrm>
          <a:off x="13563600" y="25085040"/>
          <a:ext cx="13335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8" name="Text Box 1178" hidden="1">
          <a:extLst>
            <a:ext uri="{FF2B5EF4-FFF2-40B4-BE49-F238E27FC236}">
              <a16:creationId xmlns:a16="http://schemas.microsoft.com/office/drawing/2014/main" id="{2C8D152F-3884-4D4C-84AA-EB302F6F5EA7}"/>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7" name="Text Box 1177" hidden="1">
          <a:extLst>
            <a:ext uri="{FF2B5EF4-FFF2-40B4-BE49-F238E27FC236}">
              <a16:creationId xmlns:a16="http://schemas.microsoft.com/office/drawing/2014/main" id="{498047AF-AAE9-4F8A-8500-E0E90FE391EC}"/>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6" name="Text Box 1176" hidden="1">
          <a:extLst>
            <a:ext uri="{FF2B5EF4-FFF2-40B4-BE49-F238E27FC236}">
              <a16:creationId xmlns:a16="http://schemas.microsoft.com/office/drawing/2014/main" id="{C7F24D32-4DF8-45DF-8FA0-11DC9B447B48}"/>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55" name="Text Box 1175" hidden="1">
          <a:extLst>
            <a:ext uri="{FF2B5EF4-FFF2-40B4-BE49-F238E27FC236}">
              <a16:creationId xmlns:a16="http://schemas.microsoft.com/office/drawing/2014/main" id="{C74896F8-3A3D-4CE8-9F27-C5B54D926227}"/>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54" name="Text Box 1174" hidden="1">
          <a:extLst>
            <a:ext uri="{FF2B5EF4-FFF2-40B4-BE49-F238E27FC236}">
              <a16:creationId xmlns:a16="http://schemas.microsoft.com/office/drawing/2014/main" id="{1C60E7B6-1D14-41FA-AA03-B419F6E48EEC}"/>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53" name="Text Box 1173" hidden="1">
          <a:extLst>
            <a:ext uri="{FF2B5EF4-FFF2-40B4-BE49-F238E27FC236}">
              <a16:creationId xmlns:a16="http://schemas.microsoft.com/office/drawing/2014/main" id="{8598895C-2D46-4727-8FE2-385EF828CA6E}"/>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2" name="Text Box 1172" hidden="1">
          <a:extLst>
            <a:ext uri="{FF2B5EF4-FFF2-40B4-BE49-F238E27FC236}">
              <a16:creationId xmlns:a16="http://schemas.microsoft.com/office/drawing/2014/main" id="{EE583212-0F9E-4D9A-88EA-9912DD1EC720}"/>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5" name="Text Box 1185" hidden="1">
          <a:extLst>
            <a:ext uri="{FF2B5EF4-FFF2-40B4-BE49-F238E27FC236}">
              <a16:creationId xmlns:a16="http://schemas.microsoft.com/office/drawing/2014/main" id="{C227EB26-E903-480E-B1D4-A43B391597B0}"/>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64" name="Text Box 1184" hidden="1">
          <a:extLst>
            <a:ext uri="{FF2B5EF4-FFF2-40B4-BE49-F238E27FC236}">
              <a16:creationId xmlns:a16="http://schemas.microsoft.com/office/drawing/2014/main" id="{01D36F64-FBD2-4F14-8DFD-3210CCA12A4B}"/>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3" name="Text Box 1183" hidden="1">
          <a:extLst>
            <a:ext uri="{FF2B5EF4-FFF2-40B4-BE49-F238E27FC236}">
              <a16:creationId xmlns:a16="http://schemas.microsoft.com/office/drawing/2014/main" id="{773C4D44-3717-4309-9CE0-77940CBE616A}"/>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2" name="Text Box 1182" hidden="1">
          <a:extLst>
            <a:ext uri="{FF2B5EF4-FFF2-40B4-BE49-F238E27FC236}">
              <a16:creationId xmlns:a16="http://schemas.microsoft.com/office/drawing/2014/main" id="{5F7C242E-8AF4-479A-89FE-0426E3991AAC}"/>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1" name="Text Box 1181" hidden="1">
          <a:extLst>
            <a:ext uri="{FF2B5EF4-FFF2-40B4-BE49-F238E27FC236}">
              <a16:creationId xmlns:a16="http://schemas.microsoft.com/office/drawing/2014/main" id="{B0C2D165-FB6B-4C3E-B17A-036210639E25}"/>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0" name="Text Box 1180" hidden="1">
          <a:extLst>
            <a:ext uri="{FF2B5EF4-FFF2-40B4-BE49-F238E27FC236}">
              <a16:creationId xmlns:a16="http://schemas.microsoft.com/office/drawing/2014/main" id="{96BBF136-CE44-4A9A-BF3D-F6D90F3FFF35}"/>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9" name="Text Box 1179" hidden="1">
          <a:extLst>
            <a:ext uri="{FF2B5EF4-FFF2-40B4-BE49-F238E27FC236}">
              <a16:creationId xmlns:a16="http://schemas.microsoft.com/office/drawing/2014/main" id="{BDE8E9EE-40D5-452B-887B-458EA39A3002}"/>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2" name="Text Box 1192" hidden="1">
          <a:extLst>
            <a:ext uri="{FF2B5EF4-FFF2-40B4-BE49-F238E27FC236}">
              <a16:creationId xmlns:a16="http://schemas.microsoft.com/office/drawing/2014/main" id="{A188E377-C478-487B-8BB7-AC45A0A5F321}"/>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71" name="Text Box 1191" hidden="1">
          <a:extLst>
            <a:ext uri="{FF2B5EF4-FFF2-40B4-BE49-F238E27FC236}">
              <a16:creationId xmlns:a16="http://schemas.microsoft.com/office/drawing/2014/main" id="{9EF5D299-973C-40DD-B42E-DE8D0B9E46BA}"/>
            </a:ext>
          </a:extLst>
        </xdr:cNvPr>
        <xdr:cNvSpPr txBox="1">
          <a:spLocks noChangeArrowheads="1"/>
        </xdr:cNvSpPr>
      </xdr:nvSpPr>
      <xdr:spPr bwMode="auto">
        <a:xfrm>
          <a:off x="4038600" y="15211425"/>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0" name="Text Box 1190" hidden="1">
          <a:extLst>
            <a:ext uri="{FF2B5EF4-FFF2-40B4-BE49-F238E27FC236}">
              <a16:creationId xmlns:a16="http://schemas.microsoft.com/office/drawing/2014/main" id="{22CBB9E5-2F9E-4025-A4BC-9D9E7E2E4105}"/>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9" name="Text Box 1189" hidden="1">
          <a:extLst>
            <a:ext uri="{FF2B5EF4-FFF2-40B4-BE49-F238E27FC236}">
              <a16:creationId xmlns:a16="http://schemas.microsoft.com/office/drawing/2014/main" id="{F85BACF5-7DA0-4BAF-B758-C39589498CF2}"/>
            </a:ext>
          </a:extLst>
        </xdr:cNvPr>
        <xdr:cNvSpPr txBox="1">
          <a:spLocks noChangeArrowheads="1"/>
        </xdr:cNvSpPr>
      </xdr:nvSpPr>
      <xdr:spPr bwMode="auto">
        <a:xfrm>
          <a:off x="12525375"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8" name="Text Box 1188" hidden="1">
          <a:extLst>
            <a:ext uri="{FF2B5EF4-FFF2-40B4-BE49-F238E27FC236}">
              <a16:creationId xmlns:a16="http://schemas.microsoft.com/office/drawing/2014/main" id="{772D3347-81B3-4AEB-A86C-2A720FBA6C16}"/>
            </a:ext>
          </a:extLst>
        </xdr:cNvPr>
        <xdr:cNvSpPr txBox="1">
          <a:spLocks noChangeArrowheads="1"/>
        </xdr:cNvSpPr>
      </xdr:nvSpPr>
      <xdr:spPr bwMode="auto">
        <a:xfrm>
          <a:off x="13115925" y="7658100"/>
          <a:ext cx="139065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7" name="Text Box 1187" hidden="1">
          <a:extLst>
            <a:ext uri="{FF2B5EF4-FFF2-40B4-BE49-F238E27FC236}">
              <a16:creationId xmlns:a16="http://schemas.microsoft.com/office/drawing/2014/main" id="{C4241641-7743-4F5C-9CCD-13D76D7C67CB}"/>
            </a:ext>
          </a:extLst>
        </xdr:cNvPr>
        <xdr:cNvSpPr txBox="1">
          <a:spLocks noChangeArrowheads="1"/>
        </xdr:cNvSpPr>
      </xdr:nvSpPr>
      <xdr:spPr bwMode="auto">
        <a:xfrm>
          <a:off x="83248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66" name="Text Box 1186" hidden="1">
          <a:extLst>
            <a:ext uri="{FF2B5EF4-FFF2-40B4-BE49-F238E27FC236}">
              <a16:creationId xmlns:a16="http://schemas.microsoft.com/office/drawing/2014/main" id="{3911940D-7527-41EF-B2AE-533A65AE47AF}"/>
            </a:ext>
          </a:extLst>
        </xdr:cNvPr>
        <xdr:cNvSpPr txBox="1">
          <a:spLocks noChangeArrowheads="1"/>
        </xdr:cNvSpPr>
      </xdr:nvSpPr>
      <xdr:spPr bwMode="auto">
        <a:xfrm>
          <a:off x="13077825" y="254317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9" name="Text Box 175" hidden="1">
          <a:extLst>
            <a:ext uri="{FF2B5EF4-FFF2-40B4-BE49-F238E27FC236}">
              <a16:creationId xmlns:a16="http://schemas.microsoft.com/office/drawing/2014/main" id="{B317AF6B-AB28-405B-AB9E-DC2D2772525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52078" name="Text Box 174" hidden="1">
          <a:extLst>
            <a:ext uri="{FF2B5EF4-FFF2-40B4-BE49-F238E27FC236}">
              <a16:creationId xmlns:a16="http://schemas.microsoft.com/office/drawing/2014/main" id="{73198BB2-144A-46FB-8C39-79C98FFD6DDD}"/>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7" name="Text Box 173" hidden="1">
          <a:extLst>
            <a:ext uri="{FF2B5EF4-FFF2-40B4-BE49-F238E27FC236}">
              <a16:creationId xmlns:a16="http://schemas.microsoft.com/office/drawing/2014/main" id="{A27AFE38-3437-4BFD-B95C-6CA2542FC5CA}"/>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52076" name="Text Box 172" hidden="1">
          <a:extLst>
            <a:ext uri="{FF2B5EF4-FFF2-40B4-BE49-F238E27FC236}">
              <a16:creationId xmlns:a16="http://schemas.microsoft.com/office/drawing/2014/main" id="{74AF9B0D-1D3E-4FC0-AC16-5320098F13EC}"/>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52075" name="Text Box 171" hidden="1">
          <a:extLst>
            <a:ext uri="{FF2B5EF4-FFF2-40B4-BE49-F238E27FC236}">
              <a16:creationId xmlns:a16="http://schemas.microsoft.com/office/drawing/2014/main" id="{34B62A09-15C5-434E-B4AA-02E776BFFD3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52074" name="Text Box 170" hidden="1">
          <a:extLst>
            <a:ext uri="{FF2B5EF4-FFF2-40B4-BE49-F238E27FC236}">
              <a16:creationId xmlns:a16="http://schemas.microsoft.com/office/drawing/2014/main" id="{6F0195D3-C642-4437-89BE-DC4E4C4C0272}"/>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52073" name="Text Box 169" hidden="1">
          <a:extLst>
            <a:ext uri="{FF2B5EF4-FFF2-40B4-BE49-F238E27FC236}">
              <a16:creationId xmlns:a16="http://schemas.microsoft.com/office/drawing/2014/main" id="{80445609-5411-4278-B7C3-B7C2B212B897}"/>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52084" name="Text Box 180" hidden="1">
          <a:extLst>
            <a:ext uri="{FF2B5EF4-FFF2-40B4-BE49-F238E27FC236}">
              <a16:creationId xmlns:a16="http://schemas.microsoft.com/office/drawing/2014/main" id="{098C99D5-88C7-4093-8D63-B0F6F920F530}"/>
            </a:ext>
          </a:extLst>
        </xdr:cNvPr>
        <xdr:cNvSpPr txBox="1">
          <a:spLocks noChangeArrowheads="1"/>
        </xdr:cNvSpPr>
      </xdr:nvSpPr>
      <xdr:spPr bwMode="auto">
        <a:xfrm>
          <a:off x="8305800" y="2724150"/>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52086" name="Text Box 182" hidden="1">
          <a:extLst>
            <a:ext uri="{FF2B5EF4-FFF2-40B4-BE49-F238E27FC236}">
              <a16:creationId xmlns:a16="http://schemas.microsoft.com/office/drawing/2014/main" id="{5CE36323-38F8-4F09-8D0C-98FF0650FBB3}"/>
            </a:ext>
          </a:extLst>
        </xdr:cNvPr>
        <xdr:cNvSpPr txBox="1">
          <a:spLocks noChangeArrowheads="1"/>
        </xdr:cNvSpPr>
      </xdr:nvSpPr>
      <xdr:spPr bwMode="auto">
        <a:xfrm>
          <a:off x="3352800" y="1932622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52087" name="Text Box 183" hidden="1">
          <a:extLst>
            <a:ext uri="{FF2B5EF4-FFF2-40B4-BE49-F238E27FC236}">
              <a16:creationId xmlns:a16="http://schemas.microsoft.com/office/drawing/2014/main" id="{F226E613-9971-4656-A20C-BA011308C0E0}"/>
            </a:ext>
          </a:extLst>
        </xdr:cNvPr>
        <xdr:cNvSpPr txBox="1">
          <a:spLocks noChangeArrowheads="1"/>
        </xdr:cNvSpPr>
      </xdr:nvSpPr>
      <xdr:spPr bwMode="auto">
        <a:xfrm>
          <a:off x="3352800" y="228028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8" name="Text Box 10" hidden="1">
          <a:extLst>
            <a:ext uri="{FF2B5EF4-FFF2-40B4-BE49-F238E27FC236}">
              <a16:creationId xmlns:a16="http://schemas.microsoft.com/office/drawing/2014/main" id="{E0512BDE-B27D-4003-BD6C-0D4D977B66CF}"/>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897" name="Text Box 9" hidden="1">
          <a:extLst>
            <a:ext uri="{FF2B5EF4-FFF2-40B4-BE49-F238E27FC236}">
              <a16:creationId xmlns:a16="http://schemas.microsoft.com/office/drawing/2014/main" id="{76A602A8-F02E-4B7D-A82E-C860BCE72439}"/>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6" name="Text Box 8" hidden="1">
          <a:extLst>
            <a:ext uri="{FF2B5EF4-FFF2-40B4-BE49-F238E27FC236}">
              <a16:creationId xmlns:a16="http://schemas.microsoft.com/office/drawing/2014/main" id="{945EEC46-747C-43C6-B4D5-F96343CC99B8}"/>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895" name="Text Box 7" hidden="1">
          <a:extLst>
            <a:ext uri="{FF2B5EF4-FFF2-40B4-BE49-F238E27FC236}">
              <a16:creationId xmlns:a16="http://schemas.microsoft.com/office/drawing/2014/main" id="{4BFBC3AF-C8D0-491D-895C-F4FD2E0F5ABE}"/>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894" name="Text Box 6" hidden="1">
          <a:extLst>
            <a:ext uri="{FF2B5EF4-FFF2-40B4-BE49-F238E27FC236}">
              <a16:creationId xmlns:a16="http://schemas.microsoft.com/office/drawing/2014/main" id="{23270087-C0ED-42DB-97D1-B54C954DAA7D}"/>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893" name="Text Box 5" hidden="1">
          <a:extLst>
            <a:ext uri="{FF2B5EF4-FFF2-40B4-BE49-F238E27FC236}">
              <a16:creationId xmlns:a16="http://schemas.microsoft.com/office/drawing/2014/main" id="{DD4CF83D-6C63-4158-8AF2-EB7363DC65B1}"/>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892" name="Text Box 4" hidden="1">
          <a:extLst>
            <a:ext uri="{FF2B5EF4-FFF2-40B4-BE49-F238E27FC236}">
              <a16:creationId xmlns:a16="http://schemas.microsoft.com/office/drawing/2014/main" id="{460E213B-E6D5-466E-842C-68B8FD561918}"/>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891" name="Text Box 3" hidden="1">
          <a:extLst>
            <a:ext uri="{FF2B5EF4-FFF2-40B4-BE49-F238E27FC236}">
              <a16:creationId xmlns:a16="http://schemas.microsoft.com/office/drawing/2014/main" id="{DB7B5F7B-73D5-4B5E-A4CF-572E21432B74}"/>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890" name="Text Box 2" hidden="1">
          <a:extLst>
            <a:ext uri="{FF2B5EF4-FFF2-40B4-BE49-F238E27FC236}">
              <a16:creationId xmlns:a16="http://schemas.microsoft.com/office/drawing/2014/main" id="{C559AF24-FEFF-4607-99C7-236F5938B8A7}"/>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89" name="Text Box 1" hidden="1">
          <a:extLst>
            <a:ext uri="{FF2B5EF4-FFF2-40B4-BE49-F238E27FC236}">
              <a16:creationId xmlns:a16="http://schemas.microsoft.com/office/drawing/2014/main" id="{C6A1FBF9-DEFD-45A9-8A8C-63C78447F6EB}"/>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8" name="Text Box 20" hidden="1">
          <a:extLst>
            <a:ext uri="{FF2B5EF4-FFF2-40B4-BE49-F238E27FC236}">
              <a16:creationId xmlns:a16="http://schemas.microsoft.com/office/drawing/2014/main" id="{9A22CBFF-6911-45D6-B6F2-CF718001486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07" name="Text Box 19" hidden="1">
          <a:extLst>
            <a:ext uri="{FF2B5EF4-FFF2-40B4-BE49-F238E27FC236}">
              <a16:creationId xmlns:a16="http://schemas.microsoft.com/office/drawing/2014/main" id="{FE833D99-F3A8-431D-AFAB-091F895F8C0F}"/>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6" name="Text Box 18" hidden="1">
          <a:extLst>
            <a:ext uri="{FF2B5EF4-FFF2-40B4-BE49-F238E27FC236}">
              <a16:creationId xmlns:a16="http://schemas.microsoft.com/office/drawing/2014/main" id="{7167697A-213C-4FC5-8E7E-A593E6E0DCEE}"/>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05" name="Text Box 17" hidden="1">
          <a:extLst>
            <a:ext uri="{FF2B5EF4-FFF2-40B4-BE49-F238E27FC236}">
              <a16:creationId xmlns:a16="http://schemas.microsoft.com/office/drawing/2014/main" id="{DBD9EB33-023C-426C-AE7A-CA4A9D3A81B7}"/>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04" name="Text Box 16" hidden="1">
          <a:extLst>
            <a:ext uri="{FF2B5EF4-FFF2-40B4-BE49-F238E27FC236}">
              <a16:creationId xmlns:a16="http://schemas.microsoft.com/office/drawing/2014/main" id="{773F0D6C-6EAB-46C3-A076-FFEFF612EFB3}"/>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03" name="Text Box 15" hidden="1">
          <a:extLst>
            <a:ext uri="{FF2B5EF4-FFF2-40B4-BE49-F238E27FC236}">
              <a16:creationId xmlns:a16="http://schemas.microsoft.com/office/drawing/2014/main" id="{54EEE69D-FD9D-4DC1-95C3-6338D5AD6D77}"/>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02" name="Text Box 14" hidden="1">
          <a:extLst>
            <a:ext uri="{FF2B5EF4-FFF2-40B4-BE49-F238E27FC236}">
              <a16:creationId xmlns:a16="http://schemas.microsoft.com/office/drawing/2014/main" id="{F7AE9D25-33AB-4B08-B99B-754E426F6B9E}"/>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01" name="Text Box 13" hidden="1">
          <a:extLst>
            <a:ext uri="{FF2B5EF4-FFF2-40B4-BE49-F238E27FC236}">
              <a16:creationId xmlns:a16="http://schemas.microsoft.com/office/drawing/2014/main" id="{C7FA5DC9-9DC5-46CB-A873-0EEB4CBEC103}"/>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00" name="Text Box 12" hidden="1">
          <a:extLst>
            <a:ext uri="{FF2B5EF4-FFF2-40B4-BE49-F238E27FC236}">
              <a16:creationId xmlns:a16="http://schemas.microsoft.com/office/drawing/2014/main" id="{A870F692-4263-41B1-8A35-550F35C8A241}"/>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99" name="Text Box 11" hidden="1">
          <a:extLst>
            <a:ext uri="{FF2B5EF4-FFF2-40B4-BE49-F238E27FC236}">
              <a16:creationId xmlns:a16="http://schemas.microsoft.com/office/drawing/2014/main" id="{BD907220-6F42-4A24-9F6B-B304CDE65EE0}"/>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8" name="Text Box 30" hidden="1">
          <a:extLst>
            <a:ext uri="{FF2B5EF4-FFF2-40B4-BE49-F238E27FC236}">
              <a16:creationId xmlns:a16="http://schemas.microsoft.com/office/drawing/2014/main" id="{B2E1EA6C-0375-463A-BA05-D54B5FC3862C}"/>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17" name="Text Box 29" hidden="1">
          <a:extLst>
            <a:ext uri="{FF2B5EF4-FFF2-40B4-BE49-F238E27FC236}">
              <a16:creationId xmlns:a16="http://schemas.microsoft.com/office/drawing/2014/main" id="{8801CE6A-F259-4898-A62D-2DC4E7A4316C}"/>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6" name="Text Box 28" hidden="1">
          <a:extLst>
            <a:ext uri="{FF2B5EF4-FFF2-40B4-BE49-F238E27FC236}">
              <a16:creationId xmlns:a16="http://schemas.microsoft.com/office/drawing/2014/main" id="{6312F2BE-F356-4382-B40C-9E512E8986AB}"/>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15" name="Text Box 27" hidden="1">
          <a:extLst>
            <a:ext uri="{FF2B5EF4-FFF2-40B4-BE49-F238E27FC236}">
              <a16:creationId xmlns:a16="http://schemas.microsoft.com/office/drawing/2014/main" id="{606E5DAA-DF8D-4557-B462-96985283BBF8}"/>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14" name="Text Box 26" hidden="1">
          <a:extLst>
            <a:ext uri="{FF2B5EF4-FFF2-40B4-BE49-F238E27FC236}">
              <a16:creationId xmlns:a16="http://schemas.microsoft.com/office/drawing/2014/main" id="{884887B6-232C-4031-A623-49A23BF28F6D}"/>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13" name="Text Box 25" hidden="1">
          <a:extLst>
            <a:ext uri="{FF2B5EF4-FFF2-40B4-BE49-F238E27FC236}">
              <a16:creationId xmlns:a16="http://schemas.microsoft.com/office/drawing/2014/main" id="{6FA5BD45-CED1-4A00-AD86-DD02A8F62B8C}"/>
            </a:ext>
          </a:extLst>
        </xdr:cNvPr>
        <xdr:cNvSpPr txBox="1">
          <a:spLocks noChangeArrowheads="1"/>
        </xdr:cNvSpPr>
      </xdr:nvSpPr>
      <xdr:spPr bwMode="auto">
        <a:xfrm>
          <a:off x="8737600" y="1868170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12" name="Text Box 24" hidden="1">
          <a:extLst>
            <a:ext uri="{FF2B5EF4-FFF2-40B4-BE49-F238E27FC236}">
              <a16:creationId xmlns:a16="http://schemas.microsoft.com/office/drawing/2014/main" id="{D4ACAA66-78EF-4D39-815D-EED2DD3665F4}"/>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11" name="Text Box 23" hidden="1">
          <a:extLst>
            <a:ext uri="{FF2B5EF4-FFF2-40B4-BE49-F238E27FC236}">
              <a16:creationId xmlns:a16="http://schemas.microsoft.com/office/drawing/2014/main" id="{8870F2A7-9904-4ED1-8516-AA6531CFBAAD}"/>
            </a:ext>
          </a:extLst>
        </xdr:cNvPr>
        <xdr:cNvSpPr txBox="1">
          <a:spLocks noChangeArrowheads="1"/>
        </xdr:cNvSpPr>
      </xdr:nvSpPr>
      <xdr:spPr bwMode="auto">
        <a:xfrm>
          <a:off x="871855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10" name="Text Box 22" hidden="1">
          <a:extLst>
            <a:ext uri="{FF2B5EF4-FFF2-40B4-BE49-F238E27FC236}">
              <a16:creationId xmlns:a16="http://schemas.microsoft.com/office/drawing/2014/main" id="{6260F265-9379-49E2-BAF0-F2ED08F458DB}"/>
            </a:ext>
          </a:extLst>
        </xdr:cNvPr>
        <xdr:cNvSpPr txBox="1">
          <a:spLocks noChangeArrowheads="1"/>
        </xdr:cNvSpPr>
      </xdr:nvSpPr>
      <xdr:spPr bwMode="auto">
        <a:xfrm>
          <a:off x="3511550" y="19107150"/>
          <a:ext cx="13208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909" name="Text Box 21" hidden="1">
          <a:extLst>
            <a:ext uri="{FF2B5EF4-FFF2-40B4-BE49-F238E27FC236}">
              <a16:creationId xmlns:a16="http://schemas.microsoft.com/office/drawing/2014/main" id="{AAB2EA4F-E386-4D01-982E-EC5155D176D8}"/>
            </a:ext>
          </a:extLst>
        </xdr:cNvPr>
        <xdr:cNvSpPr txBox="1">
          <a:spLocks noChangeArrowheads="1"/>
        </xdr:cNvSpPr>
      </xdr:nvSpPr>
      <xdr:spPr bwMode="auto">
        <a:xfrm>
          <a:off x="3511550" y="2255520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8" name="Text Box 40" hidden="1">
          <a:extLst>
            <a:ext uri="{FF2B5EF4-FFF2-40B4-BE49-F238E27FC236}">
              <a16:creationId xmlns:a16="http://schemas.microsoft.com/office/drawing/2014/main" id="{6A9F0DBB-4C56-48C3-ABCF-464DD54B0B77}"/>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27" name="Text Box 39" hidden="1">
          <a:extLst>
            <a:ext uri="{FF2B5EF4-FFF2-40B4-BE49-F238E27FC236}">
              <a16:creationId xmlns:a16="http://schemas.microsoft.com/office/drawing/2014/main" id="{F8434335-8BD3-4D5E-A177-655A820DECAD}"/>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6" name="Text Box 38" hidden="1">
          <a:extLst>
            <a:ext uri="{FF2B5EF4-FFF2-40B4-BE49-F238E27FC236}">
              <a16:creationId xmlns:a16="http://schemas.microsoft.com/office/drawing/2014/main" id="{F7A2B2FF-6DAE-41B3-960A-647E8CE0E6D1}"/>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25" name="Text Box 37" hidden="1">
          <a:extLst>
            <a:ext uri="{FF2B5EF4-FFF2-40B4-BE49-F238E27FC236}">
              <a16:creationId xmlns:a16="http://schemas.microsoft.com/office/drawing/2014/main" id="{948A30CE-1213-4705-BC4B-36387289EF7D}"/>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24" name="Text Box 36" hidden="1">
          <a:extLst>
            <a:ext uri="{FF2B5EF4-FFF2-40B4-BE49-F238E27FC236}">
              <a16:creationId xmlns:a16="http://schemas.microsoft.com/office/drawing/2014/main" id="{E79A4A16-D1A4-44B7-8C31-3CD29328D54C}"/>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293923" name="Text Box 35" hidden="1">
          <a:extLst>
            <a:ext uri="{FF2B5EF4-FFF2-40B4-BE49-F238E27FC236}">
              <a16:creationId xmlns:a16="http://schemas.microsoft.com/office/drawing/2014/main" id="{BC75D42F-5419-4EC5-820C-9BCED42AA7EF}"/>
            </a:ext>
          </a:extLst>
        </xdr:cNvPr>
        <xdr:cNvSpPr txBox="1">
          <a:spLocks noChangeArrowheads="1"/>
        </xdr:cNvSpPr>
      </xdr:nvSpPr>
      <xdr:spPr bwMode="auto">
        <a:xfrm>
          <a:off x="8737600" y="1866265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22" name="Text Box 34" hidden="1">
          <a:extLst>
            <a:ext uri="{FF2B5EF4-FFF2-40B4-BE49-F238E27FC236}">
              <a16:creationId xmlns:a16="http://schemas.microsoft.com/office/drawing/2014/main" id="{47818C34-E616-4C45-B7DE-32AF00F869E8}"/>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293921" name="Text Box 33" hidden="1">
          <a:extLst>
            <a:ext uri="{FF2B5EF4-FFF2-40B4-BE49-F238E27FC236}">
              <a16:creationId xmlns:a16="http://schemas.microsoft.com/office/drawing/2014/main" id="{604F62BE-5642-4DA9-93D5-0FAF95BB142C}"/>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293920" name="Text Box 32" hidden="1">
          <a:extLst>
            <a:ext uri="{FF2B5EF4-FFF2-40B4-BE49-F238E27FC236}">
              <a16:creationId xmlns:a16="http://schemas.microsoft.com/office/drawing/2014/main" id="{672E5FD3-2777-4DD8-B59B-EC7AA0CD0EEE}"/>
            </a:ext>
          </a:extLst>
        </xdr:cNvPr>
        <xdr:cNvSpPr txBox="1">
          <a:spLocks noChangeArrowheads="1"/>
        </xdr:cNvSpPr>
      </xdr:nvSpPr>
      <xdr:spPr bwMode="auto">
        <a:xfrm>
          <a:off x="3492500" y="191071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97</xdr:row>
      <xdr:rowOff>171396</xdr:rowOff>
    </xdr:from>
    <xdr:to>
      <xdr:col>3</xdr:col>
      <xdr:colOff>200819</xdr:colOff>
      <xdr:row>101</xdr:row>
      <xdr:rowOff>143071</xdr:rowOff>
    </xdr:to>
    <xdr:sp macro="" textlink="">
      <xdr:nvSpPr>
        <xdr:cNvPr id="293919" name="Text Box 31" hidden="1">
          <a:extLst>
            <a:ext uri="{FF2B5EF4-FFF2-40B4-BE49-F238E27FC236}">
              <a16:creationId xmlns:a16="http://schemas.microsoft.com/office/drawing/2014/main" id="{2BCFB714-DF4E-493D-A49A-8B2A4B8BBE60}"/>
            </a:ext>
          </a:extLst>
        </xdr:cNvPr>
        <xdr:cNvSpPr txBox="1">
          <a:spLocks noChangeArrowheads="1"/>
        </xdr:cNvSpPr>
      </xdr:nvSpPr>
      <xdr:spPr bwMode="auto">
        <a:xfrm>
          <a:off x="3492500" y="2255520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7" name="Text Box 11" hidden="1">
          <a:extLst>
            <a:ext uri="{FF2B5EF4-FFF2-40B4-BE49-F238E27FC236}">
              <a16:creationId xmlns:a16="http://schemas.microsoft.com/office/drawing/2014/main" id="{5B811DD8-6A0A-4A9E-AB81-4878733C605A}"/>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306186" name="Text Box 10" hidden="1">
          <a:extLst>
            <a:ext uri="{FF2B5EF4-FFF2-40B4-BE49-F238E27FC236}">
              <a16:creationId xmlns:a16="http://schemas.microsoft.com/office/drawing/2014/main" id="{03EFAF25-C483-4107-AC02-8241EDC8CC5E}"/>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5" name="Text Box 9" hidden="1">
          <a:extLst>
            <a:ext uri="{FF2B5EF4-FFF2-40B4-BE49-F238E27FC236}">
              <a16:creationId xmlns:a16="http://schemas.microsoft.com/office/drawing/2014/main" id="{FEF944FD-B7BF-4126-9B62-D0BF1EA91ECC}"/>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114</xdr:row>
      <xdr:rowOff>63911</xdr:rowOff>
    </xdr:from>
    <xdr:to>
      <xdr:col>19</xdr:col>
      <xdr:colOff>250032</xdr:colOff>
      <xdr:row>127</xdr:row>
      <xdr:rowOff>65366</xdr:rowOff>
    </xdr:to>
    <xdr:sp macro="" textlink="">
      <xdr:nvSpPr>
        <xdr:cNvPr id="306184" name="Text Box 8" hidden="1">
          <a:extLst>
            <a:ext uri="{FF2B5EF4-FFF2-40B4-BE49-F238E27FC236}">
              <a16:creationId xmlns:a16="http://schemas.microsoft.com/office/drawing/2014/main" id="{7A5FC83F-9294-4103-A171-0759B4B54087}"/>
            </a:ext>
          </a:extLst>
        </xdr:cNvPr>
        <xdr:cNvSpPr txBox="1">
          <a:spLocks noChangeArrowheads="1"/>
        </xdr:cNvSpPr>
      </xdr:nvSpPr>
      <xdr:spPr bwMode="auto">
        <a:xfrm>
          <a:off x="12525375" y="25946100"/>
          <a:ext cx="1400175"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306183" name="Text Box 7" hidden="1">
          <a:extLst>
            <a:ext uri="{FF2B5EF4-FFF2-40B4-BE49-F238E27FC236}">
              <a16:creationId xmlns:a16="http://schemas.microsoft.com/office/drawing/2014/main" id="{FC2C127B-B0E7-463E-8E1A-34E90DF08D5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306182" name="Text Box 6" hidden="1">
          <a:extLst>
            <a:ext uri="{FF2B5EF4-FFF2-40B4-BE49-F238E27FC236}">
              <a16:creationId xmlns:a16="http://schemas.microsoft.com/office/drawing/2014/main" id="{317A9970-CE61-4FF1-AB73-BCB4914D991A}"/>
            </a:ext>
          </a:extLst>
        </xdr:cNvPr>
        <xdr:cNvSpPr txBox="1">
          <a:spLocks noChangeArrowheads="1"/>
        </xdr:cNvSpPr>
      </xdr:nvSpPr>
      <xdr:spPr bwMode="auto">
        <a:xfrm>
          <a:off x="8324850" y="1886902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114</xdr:row>
      <xdr:rowOff>63911</xdr:rowOff>
    </xdr:from>
    <xdr:to>
      <xdr:col>20</xdr:col>
      <xdr:colOff>135732</xdr:colOff>
      <xdr:row>123</xdr:row>
      <xdr:rowOff>86824</xdr:rowOff>
    </xdr:to>
    <xdr:sp macro="" textlink="">
      <xdr:nvSpPr>
        <xdr:cNvPr id="306181" name="Text Box 5" hidden="1">
          <a:extLst>
            <a:ext uri="{FF2B5EF4-FFF2-40B4-BE49-F238E27FC236}">
              <a16:creationId xmlns:a16="http://schemas.microsoft.com/office/drawing/2014/main" id="{DB0B4CFD-C24C-4798-B11D-540EE196C880}"/>
            </a:ext>
          </a:extLst>
        </xdr:cNvPr>
        <xdr:cNvSpPr txBox="1">
          <a:spLocks noChangeArrowheads="1"/>
        </xdr:cNvSpPr>
      </xdr:nvSpPr>
      <xdr:spPr bwMode="auto">
        <a:xfrm>
          <a:off x="13077825" y="259461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80" name="Text Box 4" hidden="1">
          <a:extLst>
            <a:ext uri="{FF2B5EF4-FFF2-40B4-BE49-F238E27FC236}">
              <a16:creationId xmlns:a16="http://schemas.microsoft.com/office/drawing/2014/main" id="{DCBDF7EB-6470-4E89-8319-AF479B9A9FD1}"/>
            </a:ext>
          </a:extLst>
        </xdr:cNvPr>
        <xdr:cNvSpPr txBox="1">
          <a:spLocks noChangeArrowheads="1"/>
        </xdr:cNvSpPr>
      </xdr:nvSpPr>
      <xdr:spPr bwMode="auto">
        <a:xfrm>
          <a:off x="828675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306179" name="Text Box 3" hidden="1">
          <a:extLst>
            <a:ext uri="{FF2B5EF4-FFF2-40B4-BE49-F238E27FC236}">
              <a16:creationId xmlns:a16="http://schemas.microsoft.com/office/drawing/2014/main" id="{71F2872E-7126-4895-B430-D010004E8D3F}"/>
            </a:ext>
          </a:extLst>
        </xdr:cNvPr>
        <xdr:cNvSpPr txBox="1">
          <a:spLocks noChangeArrowheads="1"/>
        </xdr:cNvSpPr>
      </xdr:nvSpPr>
      <xdr:spPr bwMode="auto">
        <a:xfrm>
          <a:off x="3333750" y="19326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114</xdr:row>
      <xdr:rowOff>63911</xdr:rowOff>
    </xdr:from>
    <xdr:to>
      <xdr:col>3</xdr:col>
      <xdr:colOff>200819</xdr:colOff>
      <xdr:row>121</xdr:row>
      <xdr:rowOff>87234</xdr:rowOff>
    </xdr:to>
    <xdr:sp macro="" textlink="">
      <xdr:nvSpPr>
        <xdr:cNvPr id="306178" name="Text Box 2" hidden="1">
          <a:extLst>
            <a:ext uri="{FF2B5EF4-FFF2-40B4-BE49-F238E27FC236}">
              <a16:creationId xmlns:a16="http://schemas.microsoft.com/office/drawing/2014/main" id="{CBC0F275-A953-4670-BF04-43E83DB0B585}"/>
            </a:ext>
          </a:extLst>
        </xdr:cNvPr>
        <xdr:cNvSpPr txBox="1">
          <a:spLocks noChangeArrowheads="1"/>
        </xdr:cNvSpPr>
      </xdr:nvSpPr>
      <xdr:spPr bwMode="auto">
        <a:xfrm>
          <a:off x="3333750" y="25946100"/>
          <a:ext cx="1257300" cy="131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12</xdr:row>
      <xdr:rowOff>114300</xdr:rowOff>
    </xdr:from>
    <xdr:to>
      <xdr:col>22</xdr:col>
      <xdr:colOff>135732</xdr:colOff>
      <xdr:row>15</xdr:row>
      <xdr:rowOff>323850</xdr:rowOff>
    </xdr:to>
    <xdr:sp macro="" textlink="">
      <xdr:nvSpPr>
        <xdr:cNvPr id="306177" name="Text Box 1" hidden="1">
          <a:extLst>
            <a:ext uri="{FF2B5EF4-FFF2-40B4-BE49-F238E27FC236}">
              <a16:creationId xmlns:a16="http://schemas.microsoft.com/office/drawing/2014/main" id="{B8A13A94-88F4-40E7-BDF5-9BB766477BDF}"/>
            </a:ext>
          </a:extLst>
        </xdr:cNvPr>
        <xdr:cNvSpPr txBox="1">
          <a:spLocks noChangeArrowheads="1"/>
        </xdr:cNvSpPr>
      </xdr:nvSpPr>
      <xdr:spPr bwMode="auto">
        <a:xfrm>
          <a:off x="14182725" y="31051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8" name="Text Box 22" hidden="1">
          <a:extLst>
            <a:ext uri="{FF2B5EF4-FFF2-40B4-BE49-F238E27FC236}">
              <a16:creationId xmlns:a16="http://schemas.microsoft.com/office/drawing/2014/main" id="{A3039B22-B2F8-4416-BDD4-54B334684259}"/>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197" name="Text Box 21" hidden="1">
          <a:extLst>
            <a:ext uri="{FF2B5EF4-FFF2-40B4-BE49-F238E27FC236}">
              <a16:creationId xmlns:a16="http://schemas.microsoft.com/office/drawing/2014/main" id="{268DE216-4DAA-4D3A-A76E-485D30460B37}"/>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6" name="Text Box 20" hidden="1">
          <a:extLst>
            <a:ext uri="{FF2B5EF4-FFF2-40B4-BE49-F238E27FC236}">
              <a16:creationId xmlns:a16="http://schemas.microsoft.com/office/drawing/2014/main" id="{F8319C4F-11C5-4DDA-BCFA-A913C39D51D2}"/>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195" name="Text Box 19" hidden="1">
          <a:extLst>
            <a:ext uri="{FF2B5EF4-FFF2-40B4-BE49-F238E27FC236}">
              <a16:creationId xmlns:a16="http://schemas.microsoft.com/office/drawing/2014/main" id="{82AB33E4-39E8-431B-9C3F-8C5D96BECADB}"/>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194" name="Text Box 18" hidden="1">
          <a:extLst>
            <a:ext uri="{FF2B5EF4-FFF2-40B4-BE49-F238E27FC236}">
              <a16:creationId xmlns:a16="http://schemas.microsoft.com/office/drawing/2014/main" id="{D7BB16F3-1770-4973-BB8D-B24F8B7E2C97}"/>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193" name="Text Box 17" hidden="1">
          <a:extLst>
            <a:ext uri="{FF2B5EF4-FFF2-40B4-BE49-F238E27FC236}">
              <a16:creationId xmlns:a16="http://schemas.microsoft.com/office/drawing/2014/main" id="{410CA958-3A26-46FA-A41D-EB6638ACABE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192" name="Text Box 16" hidden="1">
          <a:extLst>
            <a:ext uri="{FF2B5EF4-FFF2-40B4-BE49-F238E27FC236}">
              <a16:creationId xmlns:a16="http://schemas.microsoft.com/office/drawing/2014/main" id="{7E9351A4-BF81-4DCA-90A0-54E0BE81E8D2}"/>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91" name="Text Box 15" hidden="1">
          <a:extLst>
            <a:ext uri="{FF2B5EF4-FFF2-40B4-BE49-F238E27FC236}">
              <a16:creationId xmlns:a16="http://schemas.microsoft.com/office/drawing/2014/main" id="{CB36D58D-B02C-4C70-96CE-3CE31F5D828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190" name="Text Box 14" hidden="1">
          <a:extLst>
            <a:ext uri="{FF2B5EF4-FFF2-40B4-BE49-F238E27FC236}">
              <a16:creationId xmlns:a16="http://schemas.microsoft.com/office/drawing/2014/main" id="{B1A5FBE6-D157-4E76-AB21-D33A696C990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189" name="Text Box 13" hidden="1">
          <a:extLst>
            <a:ext uri="{FF2B5EF4-FFF2-40B4-BE49-F238E27FC236}">
              <a16:creationId xmlns:a16="http://schemas.microsoft.com/office/drawing/2014/main" id="{377B4557-378D-415D-85C6-C38D287A57A3}"/>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199" name="Text Box 23" hidden="1">
          <a:extLst>
            <a:ext uri="{FF2B5EF4-FFF2-40B4-BE49-F238E27FC236}">
              <a16:creationId xmlns:a16="http://schemas.microsoft.com/office/drawing/2014/main" id="{B2240279-C95B-4CF5-9DB4-F645FEC779A5}"/>
            </a:ext>
          </a:extLst>
        </xdr:cNvPr>
        <xdr:cNvSpPr txBox="1">
          <a:spLocks noChangeArrowheads="1"/>
        </xdr:cNvSpPr>
      </xdr:nvSpPr>
      <xdr:spPr bwMode="auto">
        <a:xfrm>
          <a:off x="3530600" y="28035250"/>
          <a:ext cx="14351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133350</xdr:rowOff>
    </xdr:from>
    <xdr:to>
      <xdr:col>22</xdr:col>
      <xdr:colOff>135732</xdr:colOff>
      <xdr:row>15</xdr:row>
      <xdr:rowOff>152400</xdr:rowOff>
    </xdr:to>
    <xdr:sp macro="" textlink="">
      <xdr:nvSpPr>
        <xdr:cNvPr id="306200" name="Text Box 24" hidden="1">
          <a:extLst>
            <a:ext uri="{FF2B5EF4-FFF2-40B4-BE49-F238E27FC236}">
              <a16:creationId xmlns:a16="http://schemas.microsoft.com/office/drawing/2014/main" id="{6EAB2794-9286-44B7-B588-4F5C4F4A2E06}"/>
            </a:ext>
          </a:extLst>
        </xdr:cNvPr>
        <xdr:cNvSpPr txBox="1">
          <a:spLocks noChangeArrowheads="1"/>
        </xdr:cNvSpPr>
      </xdr:nvSpPr>
      <xdr:spPr bwMode="auto">
        <a:xfrm>
          <a:off x="14878050" y="29146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2" name="Text Box 36" hidden="1">
          <a:extLst>
            <a:ext uri="{FF2B5EF4-FFF2-40B4-BE49-F238E27FC236}">
              <a16:creationId xmlns:a16="http://schemas.microsoft.com/office/drawing/2014/main" id="{8CF77190-207C-46DA-A720-ED738085C808}"/>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211" name="Text Box 35" hidden="1">
          <a:extLst>
            <a:ext uri="{FF2B5EF4-FFF2-40B4-BE49-F238E27FC236}">
              <a16:creationId xmlns:a16="http://schemas.microsoft.com/office/drawing/2014/main" id="{A5CB6D1C-172E-47AB-8407-994172FCE3E2}"/>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0" name="Text Box 34" hidden="1">
          <a:extLst>
            <a:ext uri="{FF2B5EF4-FFF2-40B4-BE49-F238E27FC236}">
              <a16:creationId xmlns:a16="http://schemas.microsoft.com/office/drawing/2014/main" id="{17C49B12-8080-4D62-BC2A-BC75A30CD623}"/>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209" name="Text Box 33" hidden="1">
          <a:extLst>
            <a:ext uri="{FF2B5EF4-FFF2-40B4-BE49-F238E27FC236}">
              <a16:creationId xmlns:a16="http://schemas.microsoft.com/office/drawing/2014/main" id="{3A8D6E41-5676-43B3-8C00-1737BDE6BB9C}"/>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208" name="Text Box 32" hidden="1">
          <a:extLst>
            <a:ext uri="{FF2B5EF4-FFF2-40B4-BE49-F238E27FC236}">
              <a16:creationId xmlns:a16="http://schemas.microsoft.com/office/drawing/2014/main" id="{66064FA6-4095-462E-9655-9D63913F338B}"/>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207" name="Text Box 31" hidden="1">
          <a:extLst>
            <a:ext uri="{FF2B5EF4-FFF2-40B4-BE49-F238E27FC236}">
              <a16:creationId xmlns:a16="http://schemas.microsoft.com/office/drawing/2014/main" id="{EBD731C1-D238-45CE-A131-3CAABF84A84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206" name="Text Box 30" hidden="1">
          <a:extLst>
            <a:ext uri="{FF2B5EF4-FFF2-40B4-BE49-F238E27FC236}">
              <a16:creationId xmlns:a16="http://schemas.microsoft.com/office/drawing/2014/main" id="{34F1671E-919F-4F5C-AFE6-12666F08C891}"/>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05" name="Text Box 29" hidden="1">
          <a:extLst>
            <a:ext uri="{FF2B5EF4-FFF2-40B4-BE49-F238E27FC236}">
              <a16:creationId xmlns:a16="http://schemas.microsoft.com/office/drawing/2014/main" id="{26DC3CE1-3042-49C7-B2FF-F62A68F1559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204" name="Text Box 28" hidden="1">
          <a:extLst>
            <a:ext uri="{FF2B5EF4-FFF2-40B4-BE49-F238E27FC236}">
              <a16:creationId xmlns:a16="http://schemas.microsoft.com/office/drawing/2014/main" id="{5E818C6F-1C37-4FBC-867C-715EE6C79D6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203" name="Text Box 27" hidden="1">
          <a:extLst>
            <a:ext uri="{FF2B5EF4-FFF2-40B4-BE49-F238E27FC236}">
              <a16:creationId xmlns:a16="http://schemas.microsoft.com/office/drawing/2014/main" id="{34560232-ABD8-43C3-A10F-2AB2C86DCB57}"/>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202" name="Text Box 26" hidden="1">
          <a:extLst>
            <a:ext uri="{FF2B5EF4-FFF2-40B4-BE49-F238E27FC236}">
              <a16:creationId xmlns:a16="http://schemas.microsoft.com/office/drawing/2014/main" id="{C4F9A626-DDAF-4BF2-B00A-5B396048273B}"/>
            </a:ext>
          </a:extLst>
        </xdr:cNvPr>
        <xdr:cNvSpPr txBox="1">
          <a:spLocks noChangeArrowheads="1"/>
        </xdr:cNvSpPr>
      </xdr:nvSpPr>
      <xdr:spPr bwMode="auto">
        <a:xfrm>
          <a:off x="3530600" y="28035250"/>
          <a:ext cx="14351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01" name="Text Box 25" hidden="1">
          <a:extLst>
            <a:ext uri="{FF2B5EF4-FFF2-40B4-BE49-F238E27FC236}">
              <a16:creationId xmlns:a16="http://schemas.microsoft.com/office/drawing/2014/main" id="{A52E1C00-33FE-4935-956D-793F857F2ECB}"/>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4" name="Text Box 48" hidden="1">
          <a:extLst>
            <a:ext uri="{FF2B5EF4-FFF2-40B4-BE49-F238E27FC236}">
              <a16:creationId xmlns:a16="http://schemas.microsoft.com/office/drawing/2014/main" id="{5302C56D-3501-8AA0-6D62-BF2568D9549C}"/>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23" name="Text Box 47" hidden="1">
          <a:extLst>
            <a:ext uri="{FF2B5EF4-FFF2-40B4-BE49-F238E27FC236}">
              <a16:creationId xmlns:a16="http://schemas.microsoft.com/office/drawing/2014/main" id="{34AE6466-2637-AAC5-7C86-89F45D4DC3DE}"/>
            </a:ext>
          </a:extLst>
        </xdr:cNvPr>
        <xdr:cNvSpPr txBox="1">
          <a:spLocks noChangeArrowheads="1"/>
        </xdr:cNvSpPr>
      </xdr:nvSpPr>
      <xdr:spPr bwMode="auto">
        <a:xfrm>
          <a:off x="4229100" y="124968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2" name="Text Box 46" hidden="1">
          <a:extLst>
            <a:ext uri="{FF2B5EF4-FFF2-40B4-BE49-F238E27FC236}">
              <a16:creationId xmlns:a16="http://schemas.microsoft.com/office/drawing/2014/main" id="{240CF804-0DEE-506E-B971-59244EE8A188}"/>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564357</xdr:colOff>
      <xdr:row>108</xdr:row>
      <xdr:rowOff>11907</xdr:rowOff>
    </xdr:from>
    <xdr:to>
      <xdr:col>19</xdr:col>
      <xdr:colOff>250032</xdr:colOff>
      <xdr:row>120</xdr:row>
      <xdr:rowOff>64294</xdr:rowOff>
    </xdr:to>
    <xdr:sp macro="" textlink="">
      <xdr:nvSpPr>
        <xdr:cNvPr id="306221" name="Text Box 45" hidden="1">
          <a:extLst>
            <a:ext uri="{FF2B5EF4-FFF2-40B4-BE49-F238E27FC236}">
              <a16:creationId xmlns:a16="http://schemas.microsoft.com/office/drawing/2014/main" id="{2539E1E6-75FE-88E1-AACF-FB786312F5E7}"/>
            </a:ext>
          </a:extLst>
        </xdr:cNvPr>
        <xdr:cNvSpPr txBox="1">
          <a:spLocks noChangeArrowheads="1"/>
        </xdr:cNvSpPr>
      </xdr:nvSpPr>
      <xdr:spPr bwMode="auto">
        <a:xfrm>
          <a:off x="13163550" y="24422100"/>
          <a:ext cx="1447800" cy="226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37307</xdr:colOff>
      <xdr:row>16</xdr:row>
      <xdr:rowOff>133350</xdr:rowOff>
    </xdr:from>
    <xdr:to>
      <xdr:col>20</xdr:col>
      <xdr:colOff>288132</xdr:colOff>
      <xdr:row>19</xdr:row>
      <xdr:rowOff>152400</xdr:rowOff>
    </xdr:to>
    <xdr:sp macro="" textlink="">
      <xdr:nvSpPr>
        <xdr:cNvPr id="306220" name="Text Box 44" hidden="1">
          <a:extLst>
            <a:ext uri="{FF2B5EF4-FFF2-40B4-BE49-F238E27FC236}">
              <a16:creationId xmlns:a16="http://schemas.microsoft.com/office/drawing/2014/main" id="{25DCD74D-9D22-0992-726F-A7672F0BA018}"/>
            </a:ext>
          </a:extLst>
        </xdr:cNvPr>
        <xdr:cNvSpPr txBox="1">
          <a:spLocks noChangeArrowheads="1"/>
        </xdr:cNvSpPr>
      </xdr:nvSpPr>
      <xdr:spPr bwMode="auto">
        <a:xfrm>
          <a:off x="13779500" y="4076700"/>
          <a:ext cx="1441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739775</xdr:colOff>
      <xdr:row>75</xdr:row>
      <xdr:rowOff>47624</xdr:rowOff>
    </xdr:from>
    <xdr:to>
      <xdr:col>11</xdr:col>
      <xdr:colOff>345282</xdr:colOff>
      <xdr:row>85</xdr:row>
      <xdr:rowOff>57150</xdr:rowOff>
    </xdr:to>
    <xdr:sp macro="" textlink="">
      <xdr:nvSpPr>
        <xdr:cNvPr id="306219" name="Text Box 43" hidden="1">
          <a:extLst>
            <a:ext uri="{FF2B5EF4-FFF2-40B4-BE49-F238E27FC236}">
              <a16:creationId xmlns:a16="http://schemas.microsoft.com/office/drawing/2014/main" id="{88094021-8262-238A-E84A-0629C28729D0}"/>
            </a:ext>
          </a:extLst>
        </xdr:cNvPr>
        <xdr:cNvSpPr txBox="1">
          <a:spLocks noChangeArrowheads="1"/>
        </xdr:cNvSpPr>
      </xdr:nvSpPr>
      <xdr:spPr bwMode="auto">
        <a:xfrm>
          <a:off x="8743950" y="17513300"/>
          <a:ext cx="1441450" cy="250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18" name="Text Box 42" hidden="1">
          <a:extLst>
            <a:ext uri="{FF2B5EF4-FFF2-40B4-BE49-F238E27FC236}">
              <a16:creationId xmlns:a16="http://schemas.microsoft.com/office/drawing/2014/main" id="{1026286C-302C-9758-D6B8-99270870BDBA}"/>
            </a:ext>
          </a:extLst>
        </xdr:cNvPr>
        <xdr:cNvSpPr txBox="1">
          <a:spLocks noChangeArrowheads="1"/>
        </xdr:cNvSpPr>
      </xdr:nvSpPr>
      <xdr:spPr bwMode="auto">
        <a:xfrm>
          <a:off x="13735050" y="24422100"/>
          <a:ext cx="1333500" cy="1631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17" name="Text Box 41" hidden="1">
          <a:extLst>
            <a:ext uri="{FF2B5EF4-FFF2-40B4-BE49-F238E27FC236}">
              <a16:creationId xmlns:a16="http://schemas.microsoft.com/office/drawing/2014/main" id="{841BBD42-875C-8A24-7916-1F33DE8EAC8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28575</xdr:rowOff>
    </xdr:to>
    <xdr:sp macro="" textlink="">
      <xdr:nvSpPr>
        <xdr:cNvPr id="306216" name="Text Box 40" hidden="1">
          <a:extLst>
            <a:ext uri="{FF2B5EF4-FFF2-40B4-BE49-F238E27FC236}">
              <a16:creationId xmlns:a16="http://schemas.microsoft.com/office/drawing/2014/main" id="{1EB794AB-F959-5B5B-F2E5-69CDE00F4CEF}"/>
            </a:ext>
          </a:extLst>
        </xdr:cNvPr>
        <xdr:cNvSpPr txBox="1">
          <a:spLocks noChangeArrowheads="1"/>
        </xdr:cNvSpPr>
      </xdr:nvSpPr>
      <xdr:spPr bwMode="auto">
        <a:xfrm>
          <a:off x="3492500" y="18376900"/>
          <a:ext cx="1327150" cy="161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15" name="Text Box 39" hidden="1">
          <a:extLst>
            <a:ext uri="{FF2B5EF4-FFF2-40B4-BE49-F238E27FC236}">
              <a16:creationId xmlns:a16="http://schemas.microsoft.com/office/drawing/2014/main" id="{92EC50CD-5865-A18F-D2CA-26551C492C0D}"/>
            </a:ext>
          </a:extLst>
        </xdr:cNvPr>
        <xdr:cNvSpPr txBox="1">
          <a:spLocks noChangeArrowheads="1"/>
        </xdr:cNvSpPr>
      </xdr:nvSpPr>
      <xdr:spPr bwMode="auto">
        <a:xfrm>
          <a:off x="3492500" y="24422100"/>
          <a:ext cx="1327150" cy="115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123825</xdr:rowOff>
    </xdr:from>
    <xdr:to>
      <xdr:col>22</xdr:col>
      <xdr:colOff>135732</xdr:colOff>
      <xdr:row>15</xdr:row>
      <xdr:rowOff>152400</xdr:rowOff>
    </xdr:to>
    <xdr:sp macro="" textlink="">
      <xdr:nvSpPr>
        <xdr:cNvPr id="306213" name="Text Box 37" hidden="1">
          <a:extLst>
            <a:ext uri="{FF2B5EF4-FFF2-40B4-BE49-F238E27FC236}">
              <a16:creationId xmlns:a16="http://schemas.microsoft.com/office/drawing/2014/main" id="{BF1417F1-ECB1-0664-4877-057BBFD0B62D}"/>
            </a:ext>
          </a:extLst>
        </xdr:cNvPr>
        <xdr:cNvSpPr txBox="1">
          <a:spLocks noChangeArrowheads="1"/>
        </xdr:cNvSpPr>
      </xdr:nvSpPr>
      <xdr:spPr bwMode="auto">
        <a:xfrm>
          <a:off x="14878050" y="290195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5" name="Text Box 59" hidden="1">
          <a:extLst>
            <a:ext uri="{FF2B5EF4-FFF2-40B4-BE49-F238E27FC236}">
              <a16:creationId xmlns:a16="http://schemas.microsoft.com/office/drawing/2014/main" id="{0D00DC6B-42F0-C01A-48CF-24839C858F5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34" name="Text Box 58" hidden="1">
          <a:extLst>
            <a:ext uri="{FF2B5EF4-FFF2-40B4-BE49-F238E27FC236}">
              <a16:creationId xmlns:a16="http://schemas.microsoft.com/office/drawing/2014/main" id="{898B7E11-403D-46C7-83EC-E0F515DB7821}"/>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3" name="Text Box 57" hidden="1">
          <a:extLst>
            <a:ext uri="{FF2B5EF4-FFF2-40B4-BE49-F238E27FC236}">
              <a16:creationId xmlns:a16="http://schemas.microsoft.com/office/drawing/2014/main" id="{CEB0AE62-A8CF-F481-0B85-9FB0A88F3E2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06232" name="Text Box 56" hidden="1">
          <a:extLst>
            <a:ext uri="{FF2B5EF4-FFF2-40B4-BE49-F238E27FC236}">
              <a16:creationId xmlns:a16="http://schemas.microsoft.com/office/drawing/2014/main" id="{36F5F04C-D85D-1DA7-5C37-BAAA3DB62282}"/>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06231" name="Text Box 55" hidden="1">
          <a:extLst>
            <a:ext uri="{FF2B5EF4-FFF2-40B4-BE49-F238E27FC236}">
              <a16:creationId xmlns:a16="http://schemas.microsoft.com/office/drawing/2014/main" id="{98D72F2C-1DDB-0A83-F04E-7986652EA1EC}"/>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06230" name="Text Box 54" hidden="1">
          <a:extLst>
            <a:ext uri="{FF2B5EF4-FFF2-40B4-BE49-F238E27FC236}">
              <a16:creationId xmlns:a16="http://schemas.microsoft.com/office/drawing/2014/main" id="{A5641EBA-B25A-4B87-9042-28E69EBBFF29}"/>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29" name="Text Box 53" hidden="1">
          <a:extLst>
            <a:ext uri="{FF2B5EF4-FFF2-40B4-BE49-F238E27FC236}">
              <a16:creationId xmlns:a16="http://schemas.microsoft.com/office/drawing/2014/main" id="{AA09E97E-700D-FDDC-848D-45832F1A894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28" name="Text Box 52" hidden="1">
          <a:extLst>
            <a:ext uri="{FF2B5EF4-FFF2-40B4-BE49-F238E27FC236}">
              <a16:creationId xmlns:a16="http://schemas.microsoft.com/office/drawing/2014/main" id="{E4C1838D-85EA-5B66-6188-2AE53CA397A7}"/>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06227" name="Text Box 51" hidden="1">
          <a:extLst>
            <a:ext uri="{FF2B5EF4-FFF2-40B4-BE49-F238E27FC236}">
              <a16:creationId xmlns:a16="http://schemas.microsoft.com/office/drawing/2014/main" id="{D6FFD7A9-5877-546C-9BE1-E83B574342B6}"/>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26" name="Text Box 50" hidden="1">
          <a:extLst>
            <a:ext uri="{FF2B5EF4-FFF2-40B4-BE49-F238E27FC236}">
              <a16:creationId xmlns:a16="http://schemas.microsoft.com/office/drawing/2014/main" id="{A6BA0ECE-3DA1-B4CA-5433-FC2CFA0555CD}"/>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25" name="Text Box 49" hidden="1">
          <a:extLst>
            <a:ext uri="{FF2B5EF4-FFF2-40B4-BE49-F238E27FC236}">
              <a16:creationId xmlns:a16="http://schemas.microsoft.com/office/drawing/2014/main" id="{9FB324D6-D676-C502-9235-ADAE168BDEEC}"/>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06236" name="Text Box 60" hidden="1">
          <a:extLst>
            <a:ext uri="{FF2B5EF4-FFF2-40B4-BE49-F238E27FC236}">
              <a16:creationId xmlns:a16="http://schemas.microsoft.com/office/drawing/2014/main" id="{F4C3FEC3-9C97-1757-113B-9992C663E85F}"/>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06237" name="Text Box 61" hidden="1">
          <a:extLst>
            <a:ext uri="{FF2B5EF4-FFF2-40B4-BE49-F238E27FC236}">
              <a16:creationId xmlns:a16="http://schemas.microsoft.com/office/drawing/2014/main" id="{0A067CA0-52B5-C9E4-510C-AA36D0BBB57D}"/>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2" name="Text Box 26" hidden="1">
          <a:extLst>
            <a:ext uri="{FF2B5EF4-FFF2-40B4-BE49-F238E27FC236}">
              <a16:creationId xmlns:a16="http://schemas.microsoft.com/office/drawing/2014/main" id="{8DA4791F-4EFA-3D22-0D3A-12F8EB2C0BA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41" name="Text Box 25" hidden="1">
          <a:extLst>
            <a:ext uri="{FF2B5EF4-FFF2-40B4-BE49-F238E27FC236}">
              <a16:creationId xmlns:a16="http://schemas.microsoft.com/office/drawing/2014/main" id="{99152CDE-855D-5837-29BD-DD89082E3593}"/>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0" name="Text Box 24" hidden="1">
          <a:extLst>
            <a:ext uri="{FF2B5EF4-FFF2-40B4-BE49-F238E27FC236}">
              <a16:creationId xmlns:a16="http://schemas.microsoft.com/office/drawing/2014/main" id="{7D3BE3F7-E250-627B-149D-D30ABFFF964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39" name="Text Box 23" hidden="1">
          <a:extLst>
            <a:ext uri="{FF2B5EF4-FFF2-40B4-BE49-F238E27FC236}">
              <a16:creationId xmlns:a16="http://schemas.microsoft.com/office/drawing/2014/main" id="{FC98C220-CA8A-A3C3-C94E-DECE9A352A8F}"/>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38" name="Text Box 22" hidden="1">
          <a:extLst>
            <a:ext uri="{FF2B5EF4-FFF2-40B4-BE49-F238E27FC236}">
              <a16:creationId xmlns:a16="http://schemas.microsoft.com/office/drawing/2014/main" id="{408DD1FE-3182-FC57-5CBB-8C19CDF4677D}"/>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37" name="Text Box 21" hidden="1">
          <a:extLst>
            <a:ext uri="{FF2B5EF4-FFF2-40B4-BE49-F238E27FC236}">
              <a16:creationId xmlns:a16="http://schemas.microsoft.com/office/drawing/2014/main" id="{A6A8B7C4-15EE-5A22-DBC5-C7A32C220E73}"/>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36" name="Text Box 20" hidden="1">
          <a:extLst>
            <a:ext uri="{FF2B5EF4-FFF2-40B4-BE49-F238E27FC236}">
              <a16:creationId xmlns:a16="http://schemas.microsoft.com/office/drawing/2014/main" id="{95055690-ED54-648A-41C1-13BE3B4F655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35" name="Text Box 19" hidden="1">
          <a:extLst>
            <a:ext uri="{FF2B5EF4-FFF2-40B4-BE49-F238E27FC236}">
              <a16:creationId xmlns:a16="http://schemas.microsoft.com/office/drawing/2014/main" id="{1C73FEE1-54B6-3CAF-6278-19A51D5483A9}"/>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34" name="Text Box 18" hidden="1">
          <a:extLst>
            <a:ext uri="{FF2B5EF4-FFF2-40B4-BE49-F238E27FC236}">
              <a16:creationId xmlns:a16="http://schemas.microsoft.com/office/drawing/2014/main" id="{001B567C-71A0-96D9-23CD-69C12D3EFCBE}"/>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33" name="Text Box 17" hidden="1">
          <a:extLst>
            <a:ext uri="{FF2B5EF4-FFF2-40B4-BE49-F238E27FC236}">
              <a16:creationId xmlns:a16="http://schemas.microsoft.com/office/drawing/2014/main" id="{5FB03DA6-434D-32E6-46A0-EB709BB0153E}"/>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32" name="Text Box 16" hidden="1">
          <a:extLst>
            <a:ext uri="{FF2B5EF4-FFF2-40B4-BE49-F238E27FC236}">
              <a16:creationId xmlns:a16="http://schemas.microsoft.com/office/drawing/2014/main" id="{0FC56CB1-DF4D-AD4C-622A-037B658DADA3}"/>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31" name="Text Box 15" hidden="1">
          <a:extLst>
            <a:ext uri="{FF2B5EF4-FFF2-40B4-BE49-F238E27FC236}">
              <a16:creationId xmlns:a16="http://schemas.microsoft.com/office/drawing/2014/main" id="{0BB9AE78-439C-1B80-2B89-38B42D901B6C}"/>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30" name="Text Box 14" hidden="1">
          <a:extLst>
            <a:ext uri="{FF2B5EF4-FFF2-40B4-BE49-F238E27FC236}">
              <a16:creationId xmlns:a16="http://schemas.microsoft.com/office/drawing/2014/main" id="{78FEEF54-AE30-0D49-9FAF-036539B87D5A}"/>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9" name="Text Box 13" hidden="1">
          <a:extLst>
            <a:ext uri="{FF2B5EF4-FFF2-40B4-BE49-F238E27FC236}">
              <a16:creationId xmlns:a16="http://schemas.microsoft.com/office/drawing/2014/main" id="{0AE8EBCA-88CE-7242-2ABD-87BE852A4AC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28" name="Text Box 12" hidden="1">
          <a:extLst>
            <a:ext uri="{FF2B5EF4-FFF2-40B4-BE49-F238E27FC236}">
              <a16:creationId xmlns:a16="http://schemas.microsoft.com/office/drawing/2014/main" id="{67365CCF-9321-13AF-CFD6-CBAAD3EBE9F7}"/>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7" name="Text Box 11" hidden="1">
          <a:extLst>
            <a:ext uri="{FF2B5EF4-FFF2-40B4-BE49-F238E27FC236}">
              <a16:creationId xmlns:a16="http://schemas.microsoft.com/office/drawing/2014/main" id="{1D64E1D0-CAB0-E7EE-9BA5-219BE03C00FD}"/>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26" name="Text Box 10" hidden="1">
          <a:extLst>
            <a:ext uri="{FF2B5EF4-FFF2-40B4-BE49-F238E27FC236}">
              <a16:creationId xmlns:a16="http://schemas.microsoft.com/office/drawing/2014/main" id="{C2121305-4B50-91DE-0E4C-B489692E1F71}"/>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25" name="Text Box 9" hidden="1">
          <a:extLst>
            <a:ext uri="{FF2B5EF4-FFF2-40B4-BE49-F238E27FC236}">
              <a16:creationId xmlns:a16="http://schemas.microsoft.com/office/drawing/2014/main" id="{B6A303C6-7C00-4736-57E4-BF17D9CB5A62}"/>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24" name="Text Box 8" hidden="1">
          <a:extLst>
            <a:ext uri="{FF2B5EF4-FFF2-40B4-BE49-F238E27FC236}">
              <a16:creationId xmlns:a16="http://schemas.microsoft.com/office/drawing/2014/main" id="{CB2DC365-6604-3799-A1A2-D59BB10A2A32}"/>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23" name="Text Box 7" hidden="1">
          <a:extLst>
            <a:ext uri="{FF2B5EF4-FFF2-40B4-BE49-F238E27FC236}">
              <a16:creationId xmlns:a16="http://schemas.microsoft.com/office/drawing/2014/main" id="{5C43D4E9-9C24-869A-E081-F46EFC8A0807}"/>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22" name="Text Box 6" hidden="1">
          <a:extLst>
            <a:ext uri="{FF2B5EF4-FFF2-40B4-BE49-F238E27FC236}">
              <a16:creationId xmlns:a16="http://schemas.microsoft.com/office/drawing/2014/main" id="{514B25BA-6398-B57D-D715-69D31D64012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21" name="Text Box 5" hidden="1">
          <a:extLst>
            <a:ext uri="{FF2B5EF4-FFF2-40B4-BE49-F238E27FC236}">
              <a16:creationId xmlns:a16="http://schemas.microsoft.com/office/drawing/2014/main" id="{315618D7-D378-7D28-CA60-9EC1AE1FED7B}"/>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20" name="Text Box 4" hidden="1">
          <a:extLst>
            <a:ext uri="{FF2B5EF4-FFF2-40B4-BE49-F238E27FC236}">
              <a16:creationId xmlns:a16="http://schemas.microsoft.com/office/drawing/2014/main" id="{CBFC325A-23CB-D3F4-4086-879218DD9134}"/>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19" name="Text Box 3" hidden="1">
          <a:extLst>
            <a:ext uri="{FF2B5EF4-FFF2-40B4-BE49-F238E27FC236}">
              <a16:creationId xmlns:a16="http://schemas.microsoft.com/office/drawing/2014/main" id="{266C2F47-9660-5150-4B9D-C7BBF00452E4}"/>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18" name="Text Box 2" hidden="1">
          <a:extLst>
            <a:ext uri="{FF2B5EF4-FFF2-40B4-BE49-F238E27FC236}">
              <a16:creationId xmlns:a16="http://schemas.microsoft.com/office/drawing/2014/main" id="{59C2CA1A-ED8A-373E-B836-9F5F7DB4F475}"/>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17" name="Text Box 1" hidden="1">
          <a:extLst>
            <a:ext uri="{FF2B5EF4-FFF2-40B4-BE49-F238E27FC236}">
              <a16:creationId xmlns:a16="http://schemas.microsoft.com/office/drawing/2014/main" id="{4B972311-C628-EA04-7BB0-B65693E45DB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5" name="Text Box 39" hidden="1">
          <a:extLst>
            <a:ext uri="{FF2B5EF4-FFF2-40B4-BE49-F238E27FC236}">
              <a16:creationId xmlns:a16="http://schemas.microsoft.com/office/drawing/2014/main" id="{88CD9EDD-65F7-B15E-99E5-A181D3E98E7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54" name="Text Box 38" hidden="1">
          <a:extLst>
            <a:ext uri="{FF2B5EF4-FFF2-40B4-BE49-F238E27FC236}">
              <a16:creationId xmlns:a16="http://schemas.microsoft.com/office/drawing/2014/main" id="{394C53A2-A87A-A5E0-5CA9-2F6EC8B3BCDF}"/>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3" name="Text Box 37" hidden="1">
          <a:extLst>
            <a:ext uri="{FF2B5EF4-FFF2-40B4-BE49-F238E27FC236}">
              <a16:creationId xmlns:a16="http://schemas.microsoft.com/office/drawing/2014/main" id="{E956C27E-51D5-D8EA-37E5-1955049B2AC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52" name="Text Box 36" hidden="1">
          <a:extLst>
            <a:ext uri="{FF2B5EF4-FFF2-40B4-BE49-F238E27FC236}">
              <a16:creationId xmlns:a16="http://schemas.microsoft.com/office/drawing/2014/main" id="{25786F20-F36E-8D3E-59F0-73C9428CA833}"/>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51" name="Text Box 35" hidden="1">
          <a:extLst>
            <a:ext uri="{FF2B5EF4-FFF2-40B4-BE49-F238E27FC236}">
              <a16:creationId xmlns:a16="http://schemas.microsoft.com/office/drawing/2014/main" id="{90815B53-FC53-D45D-6F40-98A2D04B62A4}"/>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50" name="Text Box 34" hidden="1">
          <a:extLst>
            <a:ext uri="{FF2B5EF4-FFF2-40B4-BE49-F238E27FC236}">
              <a16:creationId xmlns:a16="http://schemas.microsoft.com/office/drawing/2014/main" id="{AB95AFD5-0C0F-3EE3-108C-2AD11A701A4C}"/>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49" name="Text Box 33" hidden="1">
          <a:extLst>
            <a:ext uri="{FF2B5EF4-FFF2-40B4-BE49-F238E27FC236}">
              <a16:creationId xmlns:a16="http://schemas.microsoft.com/office/drawing/2014/main" id="{6F6DF78B-2EAA-6605-2264-9C3B1B0FE29C}"/>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48" name="Text Box 32" hidden="1">
          <a:extLst>
            <a:ext uri="{FF2B5EF4-FFF2-40B4-BE49-F238E27FC236}">
              <a16:creationId xmlns:a16="http://schemas.microsoft.com/office/drawing/2014/main" id="{BF28CCAB-93DB-7ABF-2A0F-2FAB296D76C8}"/>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47" name="Text Box 31" hidden="1">
          <a:extLst>
            <a:ext uri="{FF2B5EF4-FFF2-40B4-BE49-F238E27FC236}">
              <a16:creationId xmlns:a16="http://schemas.microsoft.com/office/drawing/2014/main" id="{DBA037C6-9E3A-0223-05A4-38F6295D9318}"/>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207169</xdr:colOff>
      <xdr:row>132</xdr:row>
      <xdr:rowOff>2381</xdr:rowOff>
    </xdr:to>
    <xdr:sp macro="" textlink="">
      <xdr:nvSpPr>
        <xdr:cNvPr id="367646" name="Text Box 30" hidden="1">
          <a:extLst>
            <a:ext uri="{FF2B5EF4-FFF2-40B4-BE49-F238E27FC236}">
              <a16:creationId xmlns:a16="http://schemas.microsoft.com/office/drawing/2014/main" id="{790CDD54-C74B-F41E-C6B2-9C24766BE7CE}"/>
            </a:ext>
          </a:extLst>
        </xdr:cNvPr>
        <xdr:cNvSpPr txBox="1">
          <a:spLocks noChangeArrowheads="1"/>
        </xdr:cNvSpPr>
      </xdr:nvSpPr>
      <xdr:spPr bwMode="auto">
        <a:xfrm>
          <a:off x="3492500" y="26625550"/>
          <a:ext cx="132715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45" name="Text Box 29" hidden="1">
          <a:extLst>
            <a:ext uri="{FF2B5EF4-FFF2-40B4-BE49-F238E27FC236}">
              <a16:creationId xmlns:a16="http://schemas.microsoft.com/office/drawing/2014/main" id="{8DD5EA5B-CA74-8BD8-323A-B1588E7F526D}"/>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44" name="Text Box 28" hidden="1">
          <a:extLst>
            <a:ext uri="{FF2B5EF4-FFF2-40B4-BE49-F238E27FC236}">
              <a16:creationId xmlns:a16="http://schemas.microsoft.com/office/drawing/2014/main" id="{F5B421D8-EB7E-9F11-869E-05EE767886FA}"/>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43" name="Text Box 27" hidden="1">
          <a:extLst>
            <a:ext uri="{FF2B5EF4-FFF2-40B4-BE49-F238E27FC236}">
              <a16:creationId xmlns:a16="http://schemas.microsoft.com/office/drawing/2014/main" id="{DAD6A8A9-E00C-1FC1-5325-F35D18BA9C60}"/>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8" name="Text Box 52" hidden="1">
          <a:extLst>
            <a:ext uri="{FF2B5EF4-FFF2-40B4-BE49-F238E27FC236}">
              <a16:creationId xmlns:a16="http://schemas.microsoft.com/office/drawing/2014/main" id="{283C1A9F-50DC-3305-6D7C-6CF53D392B74}"/>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67" name="Text Box 51" hidden="1">
          <a:extLst>
            <a:ext uri="{FF2B5EF4-FFF2-40B4-BE49-F238E27FC236}">
              <a16:creationId xmlns:a16="http://schemas.microsoft.com/office/drawing/2014/main" id="{C62FC30B-77F3-622E-782B-B10B07E7EB7C}"/>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6" name="Text Box 50" hidden="1">
          <a:extLst>
            <a:ext uri="{FF2B5EF4-FFF2-40B4-BE49-F238E27FC236}">
              <a16:creationId xmlns:a16="http://schemas.microsoft.com/office/drawing/2014/main" id="{32FB4BBD-B19B-675E-DD7D-3FFCFFBFB657}"/>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65" name="Text Box 49" hidden="1">
          <a:extLst>
            <a:ext uri="{FF2B5EF4-FFF2-40B4-BE49-F238E27FC236}">
              <a16:creationId xmlns:a16="http://schemas.microsoft.com/office/drawing/2014/main" id="{D47544F4-6B0D-9776-C78E-3847B2D07CA7}"/>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64" name="Text Box 48" hidden="1">
          <a:extLst>
            <a:ext uri="{FF2B5EF4-FFF2-40B4-BE49-F238E27FC236}">
              <a16:creationId xmlns:a16="http://schemas.microsoft.com/office/drawing/2014/main" id="{399D773F-190D-6A32-50B4-7AC276CB6307}"/>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63" name="Text Box 47" hidden="1">
          <a:extLst>
            <a:ext uri="{FF2B5EF4-FFF2-40B4-BE49-F238E27FC236}">
              <a16:creationId xmlns:a16="http://schemas.microsoft.com/office/drawing/2014/main" id="{2C96A9EB-848B-3B48-78FF-E7191AADE7A8}"/>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62" name="Text Box 46" hidden="1">
          <a:extLst>
            <a:ext uri="{FF2B5EF4-FFF2-40B4-BE49-F238E27FC236}">
              <a16:creationId xmlns:a16="http://schemas.microsoft.com/office/drawing/2014/main" id="{C8B5E089-DE76-6E36-B397-6B633A58F814}"/>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61" name="Text Box 45" hidden="1">
          <a:extLst>
            <a:ext uri="{FF2B5EF4-FFF2-40B4-BE49-F238E27FC236}">
              <a16:creationId xmlns:a16="http://schemas.microsoft.com/office/drawing/2014/main" id="{EB7C8AE6-D8EC-620D-86B2-3B39AFA1A9F6}"/>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60" name="Text Box 44" hidden="1">
          <a:extLst>
            <a:ext uri="{FF2B5EF4-FFF2-40B4-BE49-F238E27FC236}">
              <a16:creationId xmlns:a16="http://schemas.microsoft.com/office/drawing/2014/main" id="{BA43D89B-3D75-4354-574C-3D30519966F4}"/>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59" name="Text Box 43" hidden="1">
          <a:extLst>
            <a:ext uri="{FF2B5EF4-FFF2-40B4-BE49-F238E27FC236}">
              <a16:creationId xmlns:a16="http://schemas.microsoft.com/office/drawing/2014/main" id="{9805DFD8-4933-F8BB-6C56-97B5FD2FE0BC}"/>
            </a:ext>
          </a:extLst>
        </xdr:cNvPr>
        <xdr:cNvSpPr txBox="1">
          <a:spLocks noChangeArrowheads="1"/>
        </xdr:cNvSpPr>
      </xdr:nvSpPr>
      <xdr:spPr bwMode="auto">
        <a:xfrm>
          <a:off x="3492500" y="2662555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58" name="Text Box 42" hidden="1">
          <a:extLst>
            <a:ext uri="{FF2B5EF4-FFF2-40B4-BE49-F238E27FC236}">
              <a16:creationId xmlns:a16="http://schemas.microsoft.com/office/drawing/2014/main" id="{B33B43EA-F272-5414-35AB-5A2F6A71510F}"/>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57" name="Text Box 41" hidden="1">
          <a:extLst>
            <a:ext uri="{FF2B5EF4-FFF2-40B4-BE49-F238E27FC236}">
              <a16:creationId xmlns:a16="http://schemas.microsoft.com/office/drawing/2014/main" id="{9BBF3302-800A-426B-582C-B70A02E913B0}"/>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56" name="Text Box 40" hidden="1">
          <a:extLst>
            <a:ext uri="{FF2B5EF4-FFF2-40B4-BE49-F238E27FC236}">
              <a16:creationId xmlns:a16="http://schemas.microsoft.com/office/drawing/2014/main" id="{14EDEF08-CAA5-91A7-4C66-C761B7BF1EC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81" name="Text Box 65" hidden="1">
          <a:extLst>
            <a:ext uri="{FF2B5EF4-FFF2-40B4-BE49-F238E27FC236}">
              <a16:creationId xmlns:a16="http://schemas.microsoft.com/office/drawing/2014/main" id="{73472372-DAFC-7289-D7E0-F2339B98DFD1}"/>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80" name="Text Box 64" hidden="1">
          <a:extLst>
            <a:ext uri="{FF2B5EF4-FFF2-40B4-BE49-F238E27FC236}">
              <a16:creationId xmlns:a16="http://schemas.microsoft.com/office/drawing/2014/main" id="{D00C0834-7A33-A599-1A79-73470E5667BB}"/>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79" name="Text Box 63" hidden="1">
          <a:extLst>
            <a:ext uri="{FF2B5EF4-FFF2-40B4-BE49-F238E27FC236}">
              <a16:creationId xmlns:a16="http://schemas.microsoft.com/office/drawing/2014/main" id="{84976813-3610-C072-B1EE-CB8A4B6A8072}"/>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78" name="Text Box 62" hidden="1">
          <a:extLst>
            <a:ext uri="{FF2B5EF4-FFF2-40B4-BE49-F238E27FC236}">
              <a16:creationId xmlns:a16="http://schemas.microsoft.com/office/drawing/2014/main" id="{E6882C7C-DD3B-E4DA-13B9-FEF62591BCA9}"/>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77" name="Text Box 61" hidden="1">
          <a:extLst>
            <a:ext uri="{FF2B5EF4-FFF2-40B4-BE49-F238E27FC236}">
              <a16:creationId xmlns:a16="http://schemas.microsoft.com/office/drawing/2014/main" id="{E95E86DA-5E21-E2FE-AB99-98F3BA1C0DFC}"/>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76" name="Text Box 60" hidden="1">
          <a:extLst>
            <a:ext uri="{FF2B5EF4-FFF2-40B4-BE49-F238E27FC236}">
              <a16:creationId xmlns:a16="http://schemas.microsoft.com/office/drawing/2014/main" id="{87A0F7A7-23B0-8E4A-F624-E5F774F4E3C1}"/>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75" name="Text Box 59" hidden="1">
          <a:extLst>
            <a:ext uri="{FF2B5EF4-FFF2-40B4-BE49-F238E27FC236}">
              <a16:creationId xmlns:a16="http://schemas.microsoft.com/office/drawing/2014/main" id="{18C56653-D963-8036-50C6-4D3E377BAB0A}"/>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74" name="Text Box 58" hidden="1">
          <a:extLst>
            <a:ext uri="{FF2B5EF4-FFF2-40B4-BE49-F238E27FC236}">
              <a16:creationId xmlns:a16="http://schemas.microsoft.com/office/drawing/2014/main" id="{5271292A-D830-F0DB-DE0F-CA01CEEA10E9}"/>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73" name="Text Box 57" hidden="1">
          <a:extLst>
            <a:ext uri="{FF2B5EF4-FFF2-40B4-BE49-F238E27FC236}">
              <a16:creationId xmlns:a16="http://schemas.microsoft.com/office/drawing/2014/main" id="{1C1BFF61-AF26-6C63-2062-8A344E1B1CB8}"/>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72" name="Text Box 56" hidden="1">
          <a:extLst>
            <a:ext uri="{FF2B5EF4-FFF2-40B4-BE49-F238E27FC236}">
              <a16:creationId xmlns:a16="http://schemas.microsoft.com/office/drawing/2014/main" id="{716B7739-15FC-7526-0896-6EF6CC28B14D}"/>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71" name="Text Box 55" hidden="1">
          <a:extLst>
            <a:ext uri="{FF2B5EF4-FFF2-40B4-BE49-F238E27FC236}">
              <a16:creationId xmlns:a16="http://schemas.microsoft.com/office/drawing/2014/main" id="{0C5A8C0F-4C6B-7CAC-9AFB-D09F37B8E11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70" name="Text Box 54" hidden="1">
          <a:extLst>
            <a:ext uri="{FF2B5EF4-FFF2-40B4-BE49-F238E27FC236}">
              <a16:creationId xmlns:a16="http://schemas.microsoft.com/office/drawing/2014/main" id="{3B2CC3C5-5918-10A7-4040-3B5B77E53870}"/>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69" name="Text Box 53" hidden="1">
          <a:extLst>
            <a:ext uri="{FF2B5EF4-FFF2-40B4-BE49-F238E27FC236}">
              <a16:creationId xmlns:a16="http://schemas.microsoft.com/office/drawing/2014/main" id="{89A7979A-8035-8753-F323-352AD9A19DA7}"/>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4" name="Text Box 78" hidden="1">
          <a:extLst>
            <a:ext uri="{FF2B5EF4-FFF2-40B4-BE49-F238E27FC236}">
              <a16:creationId xmlns:a16="http://schemas.microsoft.com/office/drawing/2014/main" id="{2BCA42D0-F567-8F32-9E90-8A006789B930}"/>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93" name="Text Box 77" hidden="1">
          <a:extLst>
            <a:ext uri="{FF2B5EF4-FFF2-40B4-BE49-F238E27FC236}">
              <a16:creationId xmlns:a16="http://schemas.microsoft.com/office/drawing/2014/main" id="{10507864-813B-FB03-5D5B-C77814CB9F4C}"/>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2" name="Text Box 76" hidden="1">
          <a:extLst>
            <a:ext uri="{FF2B5EF4-FFF2-40B4-BE49-F238E27FC236}">
              <a16:creationId xmlns:a16="http://schemas.microsoft.com/office/drawing/2014/main" id="{04E8A679-6FCC-E765-7EB1-A62A90FE8204}"/>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91" name="Text Box 75" hidden="1">
          <a:extLst>
            <a:ext uri="{FF2B5EF4-FFF2-40B4-BE49-F238E27FC236}">
              <a16:creationId xmlns:a16="http://schemas.microsoft.com/office/drawing/2014/main" id="{29F7CD72-28B3-3B76-5081-B25DAE2A7EB5}"/>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90" name="Text Box 74" hidden="1">
          <a:extLst>
            <a:ext uri="{FF2B5EF4-FFF2-40B4-BE49-F238E27FC236}">
              <a16:creationId xmlns:a16="http://schemas.microsoft.com/office/drawing/2014/main" id="{A0758AAE-5C05-5203-7EB1-9685303ECB7F}"/>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89" name="Text Box 73" hidden="1">
          <a:extLst>
            <a:ext uri="{FF2B5EF4-FFF2-40B4-BE49-F238E27FC236}">
              <a16:creationId xmlns:a16="http://schemas.microsoft.com/office/drawing/2014/main" id="{5B90A8FB-312F-7448-BE83-F6092989EF66}"/>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88" name="Text Box 72" hidden="1">
          <a:extLst>
            <a:ext uri="{FF2B5EF4-FFF2-40B4-BE49-F238E27FC236}">
              <a16:creationId xmlns:a16="http://schemas.microsoft.com/office/drawing/2014/main" id="{A75E8FEC-5D42-D27D-E7D9-48A1F3D36E3D}"/>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87" name="Text Box 71" hidden="1">
          <a:extLst>
            <a:ext uri="{FF2B5EF4-FFF2-40B4-BE49-F238E27FC236}">
              <a16:creationId xmlns:a16="http://schemas.microsoft.com/office/drawing/2014/main" id="{4053E3A7-D4DE-BB58-3D77-30DDFA1BCA0F}"/>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86" name="Text Box 70" hidden="1">
          <a:extLst>
            <a:ext uri="{FF2B5EF4-FFF2-40B4-BE49-F238E27FC236}">
              <a16:creationId xmlns:a16="http://schemas.microsoft.com/office/drawing/2014/main" id="{4216AE81-9955-A0DB-4A84-1C9FE89CB154}"/>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85" name="Text Box 69" hidden="1">
          <a:extLst>
            <a:ext uri="{FF2B5EF4-FFF2-40B4-BE49-F238E27FC236}">
              <a16:creationId xmlns:a16="http://schemas.microsoft.com/office/drawing/2014/main" id="{6694AF7C-78CE-13ED-05C9-B95CB675ACA1}"/>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84" name="Text Box 68" hidden="1">
          <a:extLst>
            <a:ext uri="{FF2B5EF4-FFF2-40B4-BE49-F238E27FC236}">
              <a16:creationId xmlns:a16="http://schemas.microsoft.com/office/drawing/2014/main" id="{6FF09682-7C31-C39C-7A7D-334EA84AE246}"/>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83" name="Text Box 67" hidden="1">
          <a:extLst>
            <a:ext uri="{FF2B5EF4-FFF2-40B4-BE49-F238E27FC236}">
              <a16:creationId xmlns:a16="http://schemas.microsoft.com/office/drawing/2014/main" id="{66537227-E4A9-8E26-DBD9-AE9B989B6E54}"/>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82" name="Text Box 66" hidden="1">
          <a:extLst>
            <a:ext uri="{FF2B5EF4-FFF2-40B4-BE49-F238E27FC236}">
              <a16:creationId xmlns:a16="http://schemas.microsoft.com/office/drawing/2014/main" id="{20FB1E2A-6766-1153-8F29-585669A03F11}"/>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4" name="Text Box 108" hidden="1">
          <a:extLst>
            <a:ext uri="{FF2B5EF4-FFF2-40B4-BE49-F238E27FC236}">
              <a16:creationId xmlns:a16="http://schemas.microsoft.com/office/drawing/2014/main" id="{EA078691-3CFF-3632-C85F-CE9C189C2BC0}"/>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23" name="Text Box 107" hidden="1">
          <a:extLst>
            <a:ext uri="{FF2B5EF4-FFF2-40B4-BE49-F238E27FC236}">
              <a16:creationId xmlns:a16="http://schemas.microsoft.com/office/drawing/2014/main" id="{C9B7B9CA-9E5E-0F7C-1E9B-D8DB65B417DA}"/>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2" name="Text Box 106" hidden="1">
          <a:extLst>
            <a:ext uri="{FF2B5EF4-FFF2-40B4-BE49-F238E27FC236}">
              <a16:creationId xmlns:a16="http://schemas.microsoft.com/office/drawing/2014/main" id="{59932D5C-1D5B-206E-E487-D0F17A674422}"/>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21" name="Text Box 105" hidden="1">
          <a:extLst>
            <a:ext uri="{FF2B5EF4-FFF2-40B4-BE49-F238E27FC236}">
              <a16:creationId xmlns:a16="http://schemas.microsoft.com/office/drawing/2014/main" id="{AFBB356D-2FC1-A97A-8DAF-DC864652D33A}"/>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20" name="Text Box 104" hidden="1">
          <a:extLst>
            <a:ext uri="{FF2B5EF4-FFF2-40B4-BE49-F238E27FC236}">
              <a16:creationId xmlns:a16="http://schemas.microsoft.com/office/drawing/2014/main" id="{7AF3C3EE-0B25-FBCB-3864-1C640516A808}"/>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19" name="Text Box 103" hidden="1">
          <a:extLst>
            <a:ext uri="{FF2B5EF4-FFF2-40B4-BE49-F238E27FC236}">
              <a16:creationId xmlns:a16="http://schemas.microsoft.com/office/drawing/2014/main" id="{4EECCBD6-3EA6-77D0-F3C3-45D2DCC7552A}"/>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18" name="Text Box 102" hidden="1">
          <a:extLst>
            <a:ext uri="{FF2B5EF4-FFF2-40B4-BE49-F238E27FC236}">
              <a16:creationId xmlns:a16="http://schemas.microsoft.com/office/drawing/2014/main" id="{E6C4FFB6-B6D2-18DD-74EC-02CBC9D1ED46}"/>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17" name="Text Box 101" hidden="1">
          <a:extLst>
            <a:ext uri="{FF2B5EF4-FFF2-40B4-BE49-F238E27FC236}">
              <a16:creationId xmlns:a16="http://schemas.microsoft.com/office/drawing/2014/main" id="{4BAA45AE-F371-4AE4-8F7B-9D1560958874}"/>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16" name="Text Box 100" hidden="1">
          <a:extLst>
            <a:ext uri="{FF2B5EF4-FFF2-40B4-BE49-F238E27FC236}">
              <a16:creationId xmlns:a16="http://schemas.microsoft.com/office/drawing/2014/main" id="{B10AD18B-6D25-037D-E18C-9F797D53671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15" name="Text Box 99" hidden="1">
          <a:extLst>
            <a:ext uri="{FF2B5EF4-FFF2-40B4-BE49-F238E27FC236}">
              <a16:creationId xmlns:a16="http://schemas.microsoft.com/office/drawing/2014/main" id="{43D83BB7-8FBB-0E70-E500-200FDF59E1EC}"/>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14" name="Text Box 98" hidden="1">
          <a:extLst>
            <a:ext uri="{FF2B5EF4-FFF2-40B4-BE49-F238E27FC236}">
              <a16:creationId xmlns:a16="http://schemas.microsoft.com/office/drawing/2014/main" id="{C965C0B5-3EE1-3F0B-BEF1-6A0EC6D19305}"/>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13" name="Text Box 97" hidden="1">
          <a:extLst>
            <a:ext uri="{FF2B5EF4-FFF2-40B4-BE49-F238E27FC236}">
              <a16:creationId xmlns:a16="http://schemas.microsoft.com/office/drawing/2014/main" id="{1A02AB2D-AB37-08EC-16EE-3CDA5378E54D}"/>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12" name="Text Box 96" hidden="1">
          <a:extLst>
            <a:ext uri="{FF2B5EF4-FFF2-40B4-BE49-F238E27FC236}">
              <a16:creationId xmlns:a16="http://schemas.microsoft.com/office/drawing/2014/main" id="{9FDB276C-522C-CD00-69D6-EBAB11195E60}"/>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11" name="Text Box 95" hidden="1">
          <a:extLst>
            <a:ext uri="{FF2B5EF4-FFF2-40B4-BE49-F238E27FC236}">
              <a16:creationId xmlns:a16="http://schemas.microsoft.com/office/drawing/2014/main" id="{5040BB48-D388-C6A8-652B-B2D3BF34B683}"/>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10" name="Text Box 94" hidden="1">
          <a:extLst>
            <a:ext uri="{FF2B5EF4-FFF2-40B4-BE49-F238E27FC236}">
              <a16:creationId xmlns:a16="http://schemas.microsoft.com/office/drawing/2014/main" id="{9127477E-B80E-B03B-6115-6FE6EE780A51}"/>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7" name="Text Box 91" hidden="1">
          <a:extLst>
            <a:ext uri="{FF2B5EF4-FFF2-40B4-BE49-F238E27FC236}">
              <a16:creationId xmlns:a16="http://schemas.microsoft.com/office/drawing/2014/main" id="{8BC0C6F4-83D3-1C11-3807-FABDD7EC7BF4}"/>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06" name="Text Box 90" hidden="1">
          <a:extLst>
            <a:ext uri="{FF2B5EF4-FFF2-40B4-BE49-F238E27FC236}">
              <a16:creationId xmlns:a16="http://schemas.microsoft.com/office/drawing/2014/main" id="{1B6A559B-F260-E8E3-6C7A-E5C21148D5AB}"/>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5" name="Text Box 89" hidden="1">
          <a:extLst>
            <a:ext uri="{FF2B5EF4-FFF2-40B4-BE49-F238E27FC236}">
              <a16:creationId xmlns:a16="http://schemas.microsoft.com/office/drawing/2014/main" id="{83BD6858-19C0-5AF4-4BBF-EA10D6D1B598}"/>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04" name="Text Box 88" hidden="1">
          <a:extLst>
            <a:ext uri="{FF2B5EF4-FFF2-40B4-BE49-F238E27FC236}">
              <a16:creationId xmlns:a16="http://schemas.microsoft.com/office/drawing/2014/main" id="{2B262CEA-49A6-42A4-798F-1F75A4F6F33E}"/>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03" name="Text Box 87" hidden="1">
          <a:extLst>
            <a:ext uri="{FF2B5EF4-FFF2-40B4-BE49-F238E27FC236}">
              <a16:creationId xmlns:a16="http://schemas.microsoft.com/office/drawing/2014/main" id="{47C0E494-BB01-752F-102B-FF31E619B039}"/>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02" name="Text Box 86" hidden="1">
          <a:extLst>
            <a:ext uri="{FF2B5EF4-FFF2-40B4-BE49-F238E27FC236}">
              <a16:creationId xmlns:a16="http://schemas.microsoft.com/office/drawing/2014/main" id="{7BC9E475-50B3-9896-0BC2-E6FBF25E24E4}"/>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01" name="Text Box 85" hidden="1">
          <a:extLst>
            <a:ext uri="{FF2B5EF4-FFF2-40B4-BE49-F238E27FC236}">
              <a16:creationId xmlns:a16="http://schemas.microsoft.com/office/drawing/2014/main" id="{21AA6ABC-812B-44E1-F59F-42ED3A5E44E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00" name="Text Box 84" hidden="1">
          <a:extLst>
            <a:ext uri="{FF2B5EF4-FFF2-40B4-BE49-F238E27FC236}">
              <a16:creationId xmlns:a16="http://schemas.microsoft.com/office/drawing/2014/main" id="{D0D94FE2-C141-5013-A5FA-7700368AA5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699" name="Text Box 83" hidden="1">
          <a:extLst>
            <a:ext uri="{FF2B5EF4-FFF2-40B4-BE49-F238E27FC236}">
              <a16:creationId xmlns:a16="http://schemas.microsoft.com/office/drawing/2014/main" id="{B952A6AE-35FC-539C-45AF-E8230944CF3E}"/>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698" name="Text Box 82" hidden="1">
          <a:extLst>
            <a:ext uri="{FF2B5EF4-FFF2-40B4-BE49-F238E27FC236}">
              <a16:creationId xmlns:a16="http://schemas.microsoft.com/office/drawing/2014/main" id="{83557947-B6B0-8349-9AFD-B37D5ACB722C}"/>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97" name="Text Box 81" hidden="1">
          <a:extLst>
            <a:ext uri="{FF2B5EF4-FFF2-40B4-BE49-F238E27FC236}">
              <a16:creationId xmlns:a16="http://schemas.microsoft.com/office/drawing/2014/main" id="{11CB1B69-D16A-67E9-B40C-81953524707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696" name="Text Box 80" hidden="1">
          <a:extLst>
            <a:ext uri="{FF2B5EF4-FFF2-40B4-BE49-F238E27FC236}">
              <a16:creationId xmlns:a16="http://schemas.microsoft.com/office/drawing/2014/main" id="{8FD44F98-F56D-E9B7-8C3F-628A243E6B8B}"/>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695" name="Text Box 79" hidden="1">
          <a:extLst>
            <a:ext uri="{FF2B5EF4-FFF2-40B4-BE49-F238E27FC236}">
              <a16:creationId xmlns:a16="http://schemas.microsoft.com/office/drawing/2014/main" id="{DBE887B3-3F7F-3700-73DA-55BABAF106C6}"/>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08" name="Text Box 92" hidden="1">
          <a:extLst>
            <a:ext uri="{FF2B5EF4-FFF2-40B4-BE49-F238E27FC236}">
              <a16:creationId xmlns:a16="http://schemas.microsoft.com/office/drawing/2014/main" id="{218DD9AF-B969-A9D7-CC4E-1E675C59E916}"/>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09" name="Text Box 93" hidden="1">
          <a:extLst>
            <a:ext uri="{FF2B5EF4-FFF2-40B4-BE49-F238E27FC236}">
              <a16:creationId xmlns:a16="http://schemas.microsoft.com/office/drawing/2014/main" id="{CC8E7544-1116-D675-E920-DC01CD440F7E}"/>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9" name="Text Box 123" hidden="1">
          <a:extLst>
            <a:ext uri="{FF2B5EF4-FFF2-40B4-BE49-F238E27FC236}">
              <a16:creationId xmlns:a16="http://schemas.microsoft.com/office/drawing/2014/main" id="{B7A62AFC-C601-873E-7926-1A6A002E9B61}"/>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38" name="Text Box 122" hidden="1">
          <a:extLst>
            <a:ext uri="{FF2B5EF4-FFF2-40B4-BE49-F238E27FC236}">
              <a16:creationId xmlns:a16="http://schemas.microsoft.com/office/drawing/2014/main" id="{9D019FA0-39F2-67BD-4536-F1A1C6530CE4}"/>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7" name="Text Box 121" hidden="1">
          <a:extLst>
            <a:ext uri="{FF2B5EF4-FFF2-40B4-BE49-F238E27FC236}">
              <a16:creationId xmlns:a16="http://schemas.microsoft.com/office/drawing/2014/main" id="{09B5D65E-D6F7-0335-F13B-B34AF82D9FF5}"/>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36" name="Text Box 120" hidden="1">
          <a:extLst>
            <a:ext uri="{FF2B5EF4-FFF2-40B4-BE49-F238E27FC236}">
              <a16:creationId xmlns:a16="http://schemas.microsoft.com/office/drawing/2014/main" id="{28E71303-E264-759B-691F-9228257DEDF8}"/>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35" name="Text Box 119" hidden="1">
          <a:extLst>
            <a:ext uri="{FF2B5EF4-FFF2-40B4-BE49-F238E27FC236}">
              <a16:creationId xmlns:a16="http://schemas.microsoft.com/office/drawing/2014/main" id="{D0B20D55-94EB-48A5-3BB8-E0CAB11FD1B3}"/>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34" name="Text Box 118" hidden="1">
          <a:extLst>
            <a:ext uri="{FF2B5EF4-FFF2-40B4-BE49-F238E27FC236}">
              <a16:creationId xmlns:a16="http://schemas.microsoft.com/office/drawing/2014/main" id="{367CE936-C238-9009-4EFB-9F95134CB75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33" name="Text Box 117" hidden="1">
          <a:extLst>
            <a:ext uri="{FF2B5EF4-FFF2-40B4-BE49-F238E27FC236}">
              <a16:creationId xmlns:a16="http://schemas.microsoft.com/office/drawing/2014/main" id="{973395E6-5900-42C6-1AA3-A7EC8F288DE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32" name="Text Box 116" hidden="1">
          <a:extLst>
            <a:ext uri="{FF2B5EF4-FFF2-40B4-BE49-F238E27FC236}">
              <a16:creationId xmlns:a16="http://schemas.microsoft.com/office/drawing/2014/main" id="{008C2A05-3245-4EA6-DDEC-80D23B54B1FB}"/>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31" name="Text Box 115" hidden="1">
          <a:extLst>
            <a:ext uri="{FF2B5EF4-FFF2-40B4-BE49-F238E27FC236}">
              <a16:creationId xmlns:a16="http://schemas.microsoft.com/office/drawing/2014/main" id="{C0C17212-33FA-7522-FA9E-23D072C1EBC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30" name="Text Box 114" hidden="1">
          <a:extLst>
            <a:ext uri="{FF2B5EF4-FFF2-40B4-BE49-F238E27FC236}">
              <a16:creationId xmlns:a16="http://schemas.microsoft.com/office/drawing/2014/main" id="{BF4C66AC-4444-4905-5207-BED6C6786E64}"/>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29" name="Text Box 113" hidden="1">
          <a:extLst>
            <a:ext uri="{FF2B5EF4-FFF2-40B4-BE49-F238E27FC236}">
              <a16:creationId xmlns:a16="http://schemas.microsoft.com/office/drawing/2014/main" id="{60CDA666-BC40-0957-D679-00DA22EA9EE0}"/>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28" name="Text Box 112" hidden="1">
          <a:extLst>
            <a:ext uri="{FF2B5EF4-FFF2-40B4-BE49-F238E27FC236}">
              <a16:creationId xmlns:a16="http://schemas.microsoft.com/office/drawing/2014/main" id="{F49058D8-E9C0-9C4C-6939-718274B2E7B9}"/>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27" name="Text Box 111" hidden="1">
          <a:extLst>
            <a:ext uri="{FF2B5EF4-FFF2-40B4-BE49-F238E27FC236}">
              <a16:creationId xmlns:a16="http://schemas.microsoft.com/office/drawing/2014/main" id="{A036953D-C9C7-35FE-62AC-226DBD2DD0DC}"/>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26" name="Text Box 110" hidden="1">
          <a:extLst>
            <a:ext uri="{FF2B5EF4-FFF2-40B4-BE49-F238E27FC236}">
              <a16:creationId xmlns:a16="http://schemas.microsoft.com/office/drawing/2014/main" id="{02CDB1E4-65E8-F921-2FFC-6CD3A6628A99}"/>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25" name="Text Box 109" hidden="1">
          <a:extLst>
            <a:ext uri="{FF2B5EF4-FFF2-40B4-BE49-F238E27FC236}">
              <a16:creationId xmlns:a16="http://schemas.microsoft.com/office/drawing/2014/main" id="{31B829A5-1DD2-3908-891A-5A1B581C7F6E}"/>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4" name="Text Box 138" hidden="1">
          <a:extLst>
            <a:ext uri="{FF2B5EF4-FFF2-40B4-BE49-F238E27FC236}">
              <a16:creationId xmlns:a16="http://schemas.microsoft.com/office/drawing/2014/main" id="{4E3F4DED-A2D1-2020-20BA-DC10D053ECD2}"/>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53" name="Text Box 137" hidden="1">
          <a:extLst>
            <a:ext uri="{FF2B5EF4-FFF2-40B4-BE49-F238E27FC236}">
              <a16:creationId xmlns:a16="http://schemas.microsoft.com/office/drawing/2014/main" id="{32C29962-3297-2316-2517-39CECCD9C71C}"/>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2" name="Text Box 136" hidden="1">
          <a:extLst>
            <a:ext uri="{FF2B5EF4-FFF2-40B4-BE49-F238E27FC236}">
              <a16:creationId xmlns:a16="http://schemas.microsoft.com/office/drawing/2014/main" id="{E05F2753-EF5D-577B-D9E9-3E506CC6E351}"/>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51" name="Text Box 135" hidden="1">
          <a:extLst>
            <a:ext uri="{FF2B5EF4-FFF2-40B4-BE49-F238E27FC236}">
              <a16:creationId xmlns:a16="http://schemas.microsoft.com/office/drawing/2014/main" id="{1CF512FC-6F85-CC41-5FCD-BDC95127988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50" name="Text Box 134" hidden="1">
          <a:extLst>
            <a:ext uri="{FF2B5EF4-FFF2-40B4-BE49-F238E27FC236}">
              <a16:creationId xmlns:a16="http://schemas.microsoft.com/office/drawing/2014/main" id="{09F45BCA-E840-05A6-5D6F-19B88947600D}"/>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49" name="Text Box 133" hidden="1">
          <a:extLst>
            <a:ext uri="{FF2B5EF4-FFF2-40B4-BE49-F238E27FC236}">
              <a16:creationId xmlns:a16="http://schemas.microsoft.com/office/drawing/2014/main" id="{8E4A38E8-536A-750B-DE64-639632E8CA71}"/>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48" name="Text Box 132" hidden="1">
          <a:extLst>
            <a:ext uri="{FF2B5EF4-FFF2-40B4-BE49-F238E27FC236}">
              <a16:creationId xmlns:a16="http://schemas.microsoft.com/office/drawing/2014/main" id="{7023F255-5122-7B44-6CCA-A0D62D0ECF8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47" name="Text Box 131" hidden="1">
          <a:extLst>
            <a:ext uri="{FF2B5EF4-FFF2-40B4-BE49-F238E27FC236}">
              <a16:creationId xmlns:a16="http://schemas.microsoft.com/office/drawing/2014/main" id="{AA8305C8-B50A-B807-F257-8076A4D4DA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46" name="Text Box 130" hidden="1">
          <a:extLst>
            <a:ext uri="{FF2B5EF4-FFF2-40B4-BE49-F238E27FC236}">
              <a16:creationId xmlns:a16="http://schemas.microsoft.com/office/drawing/2014/main" id="{FFDB203F-B7B8-1363-613D-3CF140B0ACD4}"/>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45" name="Text Box 129" hidden="1">
          <a:extLst>
            <a:ext uri="{FF2B5EF4-FFF2-40B4-BE49-F238E27FC236}">
              <a16:creationId xmlns:a16="http://schemas.microsoft.com/office/drawing/2014/main" id="{34F72CA4-C4FE-9E75-9F64-6B83554F2B96}"/>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44" name="Text Box 128" hidden="1">
          <a:extLst>
            <a:ext uri="{FF2B5EF4-FFF2-40B4-BE49-F238E27FC236}">
              <a16:creationId xmlns:a16="http://schemas.microsoft.com/office/drawing/2014/main" id="{93C7F93F-FCD1-457F-3F2D-D24D7359F7C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43" name="Text Box 127" hidden="1">
          <a:extLst>
            <a:ext uri="{FF2B5EF4-FFF2-40B4-BE49-F238E27FC236}">
              <a16:creationId xmlns:a16="http://schemas.microsoft.com/office/drawing/2014/main" id="{37DC8980-D352-64CB-AD51-9EC3C7451195}"/>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42" name="Text Box 126" hidden="1">
          <a:extLst>
            <a:ext uri="{FF2B5EF4-FFF2-40B4-BE49-F238E27FC236}">
              <a16:creationId xmlns:a16="http://schemas.microsoft.com/office/drawing/2014/main" id="{E5A374D3-5EA9-4192-61B3-6AC5C439BA6D}"/>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41" name="Text Box 125" hidden="1">
          <a:extLst>
            <a:ext uri="{FF2B5EF4-FFF2-40B4-BE49-F238E27FC236}">
              <a16:creationId xmlns:a16="http://schemas.microsoft.com/office/drawing/2014/main" id="{36F4AA16-86BD-FD25-17E5-A1BFA880515B}"/>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40" name="Text Box 124" hidden="1">
          <a:extLst>
            <a:ext uri="{FF2B5EF4-FFF2-40B4-BE49-F238E27FC236}">
              <a16:creationId xmlns:a16="http://schemas.microsoft.com/office/drawing/2014/main" id="{05D8B8F7-43AC-A3C0-7AB7-CBBEC6C87B59}"/>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9" name="Text Box 153" hidden="1">
          <a:extLst>
            <a:ext uri="{FF2B5EF4-FFF2-40B4-BE49-F238E27FC236}">
              <a16:creationId xmlns:a16="http://schemas.microsoft.com/office/drawing/2014/main" id="{7518290A-428A-B862-1861-2EDB7716583E}"/>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68" name="Text Box 152" hidden="1">
          <a:extLst>
            <a:ext uri="{FF2B5EF4-FFF2-40B4-BE49-F238E27FC236}">
              <a16:creationId xmlns:a16="http://schemas.microsoft.com/office/drawing/2014/main" id="{27A82099-68E3-4F9D-24A3-1512D1402DE7}"/>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7" name="Text Box 151" hidden="1">
          <a:extLst>
            <a:ext uri="{FF2B5EF4-FFF2-40B4-BE49-F238E27FC236}">
              <a16:creationId xmlns:a16="http://schemas.microsoft.com/office/drawing/2014/main" id="{82B353D8-ABD8-7CEA-0520-93BA20E5978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66" name="Text Box 150" hidden="1">
          <a:extLst>
            <a:ext uri="{FF2B5EF4-FFF2-40B4-BE49-F238E27FC236}">
              <a16:creationId xmlns:a16="http://schemas.microsoft.com/office/drawing/2014/main" id="{F563850A-C065-9576-292B-66F6D7C1DBD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65" name="Text Box 149" hidden="1">
          <a:extLst>
            <a:ext uri="{FF2B5EF4-FFF2-40B4-BE49-F238E27FC236}">
              <a16:creationId xmlns:a16="http://schemas.microsoft.com/office/drawing/2014/main" id="{EEE5FC09-C273-40AE-5206-30D52F8DE6D6}"/>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64" name="Text Box 148" hidden="1">
          <a:extLst>
            <a:ext uri="{FF2B5EF4-FFF2-40B4-BE49-F238E27FC236}">
              <a16:creationId xmlns:a16="http://schemas.microsoft.com/office/drawing/2014/main" id="{96E92800-471B-9349-5F48-242AF630218F}"/>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63" name="Text Box 147" hidden="1">
          <a:extLst>
            <a:ext uri="{FF2B5EF4-FFF2-40B4-BE49-F238E27FC236}">
              <a16:creationId xmlns:a16="http://schemas.microsoft.com/office/drawing/2014/main" id="{7F6961C9-DD79-2FB0-828E-DC764B6C12CB}"/>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62" name="Text Box 146" hidden="1">
          <a:extLst>
            <a:ext uri="{FF2B5EF4-FFF2-40B4-BE49-F238E27FC236}">
              <a16:creationId xmlns:a16="http://schemas.microsoft.com/office/drawing/2014/main" id="{9E015E55-7905-2153-D134-F412469DDD96}"/>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61" name="Text Box 145" hidden="1">
          <a:extLst>
            <a:ext uri="{FF2B5EF4-FFF2-40B4-BE49-F238E27FC236}">
              <a16:creationId xmlns:a16="http://schemas.microsoft.com/office/drawing/2014/main" id="{3119575F-B057-6EEC-EFC9-EED4A16D5B20}"/>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60" name="Text Box 144" hidden="1">
          <a:extLst>
            <a:ext uri="{FF2B5EF4-FFF2-40B4-BE49-F238E27FC236}">
              <a16:creationId xmlns:a16="http://schemas.microsoft.com/office/drawing/2014/main" id="{A372555F-0BB0-1559-7A60-02CBC3846005}"/>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59" name="Text Box 143" hidden="1">
          <a:extLst>
            <a:ext uri="{FF2B5EF4-FFF2-40B4-BE49-F238E27FC236}">
              <a16:creationId xmlns:a16="http://schemas.microsoft.com/office/drawing/2014/main" id="{CDADDE96-8AC4-E6C3-F69C-0397D1F8E01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58" name="Text Box 142" hidden="1">
          <a:extLst>
            <a:ext uri="{FF2B5EF4-FFF2-40B4-BE49-F238E27FC236}">
              <a16:creationId xmlns:a16="http://schemas.microsoft.com/office/drawing/2014/main" id="{95ACBA79-5934-80CB-DD3B-23715F759DE2}"/>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57" name="Text Box 141" hidden="1">
          <a:extLst>
            <a:ext uri="{FF2B5EF4-FFF2-40B4-BE49-F238E27FC236}">
              <a16:creationId xmlns:a16="http://schemas.microsoft.com/office/drawing/2014/main" id="{230DB0AB-B3A3-CF70-7F50-C4FDB739D13B}"/>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56" name="Text Box 140" hidden="1">
          <a:extLst>
            <a:ext uri="{FF2B5EF4-FFF2-40B4-BE49-F238E27FC236}">
              <a16:creationId xmlns:a16="http://schemas.microsoft.com/office/drawing/2014/main" id="{923410E2-1C2E-1A5D-9A92-C98DE7B697C0}"/>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55" name="Text Box 139" hidden="1">
          <a:extLst>
            <a:ext uri="{FF2B5EF4-FFF2-40B4-BE49-F238E27FC236}">
              <a16:creationId xmlns:a16="http://schemas.microsoft.com/office/drawing/2014/main" id="{3498E4C4-A206-7A6D-80AB-8A2E0B430BCD}"/>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4" name="Text Box 168" hidden="1">
          <a:extLst>
            <a:ext uri="{FF2B5EF4-FFF2-40B4-BE49-F238E27FC236}">
              <a16:creationId xmlns:a16="http://schemas.microsoft.com/office/drawing/2014/main" id="{7A370B5C-43DF-F7AB-BAC6-17D3CD68B40B}"/>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83" name="Text Box 167" hidden="1">
          <a:extLst>
            <a:ext uri="{FF2B5EF4-FFF2-40B4-BE49-F238E27FC236}">
              <a16:creationId xmlns:a16="http://schemas.microsoft.com/office/drawing/2014/main" id="{34708B24-AD7E-F709-60CC-F61C8A23F597}"/>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2" name="Text Box 166" hidden="1">
          <a:extLst>
            <a:ext uri="{FF2B5EF4-FFF2-40B4-BE49-F238E27FC236}">
              <a16:creationId xmlns:a16="http://schemas.microsoft.com/office/drawing/2014/main" id="{20C3FB36-BC46-C565-F0D2-D13F35D5ED04}"/>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81" name="Text Box 165" hidden="1">
          <a:extLst>
            <a:ext uri="{FF2B5EF4-FFF2-40B4-BE49-F238E27FC236}">
              <a16:creationId xmlns:a16="http://schemas.microsoft.com/office/drawing/2014/main" id="{F9D48B00-2152-A6C6-1D77-6B85F467BFD6}"/>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80" name="Text Box 164" hidden="1">
          <a:extLst>
            <a:ext uri="{FF2B5EF4-FFF2-40B4-BE49-F238E27FC236}">
              <a16:creationId xmlns:a16="http://schemas.microsoft.com/office/drawing/2014/main" id="{5D38FE64-E917-F6BF-9E0F-FCBE86274336}"/>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79" name="Text Box 163" hidden="1">
          <a:extLst>
            <a:ext uri="{FF2B5EF4-FFF2-40B4-BE49-F238E27FC236}">
              <a16:creationId xmlns:a16="http://schemas.microsoft.com/office/drawing/2014/main" id="{2FAA91F5-ED59-4096-8D1D-73CC7DEAAE8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78" name="Text Box 162" hidden="1">
          <a:extLst>
            <a:ext uri="{FF2B5EF4-FFF2-40B4-BE49-F238E27FC236}">
              <a16:creationId xmlns:a16="http://schemas.microsoft.com/office/drawing/2014/main" id="{CCE5F00B-4B7A-F936-97C9-2833147D0D1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77" name="Text Box 161" hidden="1">
          <a:extLst>
            <a:ext uri="{FF2B5EF4-FFF2-40B4-BE49-F238E27FC236}">
              <a16:creationId xmlns:a16="http://schemas.microsoft.com/office/drawing/2014/main" id="{70FF53C4-B124-4AFE-2CB7-2384CBBA9F2F}"/>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76" name="Text Box 160" hidden="1">
          <a:extLst>
            <a:ext uri="{FF2B5EF4-FFF2-40B4-BE49-F238E27FC236}">
              <a16:creationId xmlns:a16="http://schemas.microsoft.com/office/drawing/2014/main" id="{35EDC5B9-3827-45C3-CE12-340BD374EA17}"/>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75" name="Text Box 159" hidden="1">
          <a:extLst>
            <a:ext uri="{FF2B5EF4-FFF2-40B4-BE49-F238E27FC236}">
              <a16:creationId xmlns:a16="http://schemas.microsoft.com/office/drawing/2014/main" id="{F27F2F71-A945-A3EA-7008-734498624E0E}"/>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74" name="Text Box 158" hidden="1">
          <a:extLst>
            <a:ext uri="{FF2B5EF4-FFF2-40B4-BE49-F238E27FC236}">
              <a16:creationId xmlns:a16="http://schemas.microsoft.com/office/drawing/2014/main" id="{CE9093E4-6D68-BA70-F6D5-432945133A1E}"/>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73" name="Text Box 157" hidden="1">
          <a:extLst>
            <a:ext uri="{FF2B5EF4-FFF2-40B4-BE49-F238E27FC236}">
              <a16:creationId xmlns:a16="http://schemas.microsoft.com/office/drawing/2014/main" id="{2EA99159-7ACC-66E1-3B26-6EB1B9A4C004}"/>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72" name="Text Box 156" hidden="1">
          <a:extLst>
            <a:ext uri="{FF2B5EF4-FFF2-40B4-BE49-F238E27FC236}">
              <a16:creationId xmlns:a16="http://schemas.microsoft.com/office/drawing/2014/main" id="{058CE598-B2D5-5C9E-5B21-BE485D16DDBB}"/>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71" name="Text Box 155" hidden="1">
          <a:extLst>
            <a:ext uri="{FF2B5EF4-FFF2-40B4-BE49-F238E27FC236}">
              <a16:creationId xmlns:a16="http://schemas.microsoft.com/office/drawing/2014/main" id="{9A14E063-DD4D-F081-023A-F17C1879D7F5}"/>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70" name="Text Box 154" hidden="1">
          <a:extLst>
            <a:ext uri="{FF2B5EF4-FFF2-40B4-BE49-F238E27FC236}">
              <a16:creationId xmlns:a16="http://schemas.microsoft.com/office/drawing/2014/main" id="{A2B9DF4D-DC3A-8B82-73C4-3E330A52CA9C}"/>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3" name="Text Box 13" hidden="1">
          <a:extLst>
            <a:ext uri="{FF2B5EF4-FFF2-40B4-BE49-F238E27FC236}">
              <a16:creationId xmlns:a16="http://schemas.microsoft.com/office/drawing/2014/main" id="{9210C73A-719F-0ECB-54F9-638A3AF919B5}"/>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8652" name="Text Box 12" hidden="1">
          <a:extLst>
            <a:ext uri="{FF2B5EF4-FFF2-40B4-BE49-F238E27FC236}">
              <a16:creationId xmlns:a16="http://schemas.microsoft.com/office/drawing/2014/main" id="{A636CA8A-9358-8ABC-1C11-E02958860085}"/>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1" name="Text Box 11" hidden="1">
          <a:extLst>
            <a:ext uri="{FF2B5EF4-FFF2-40B4-BE49-F238E27FC236}">
              <a16:creationId xmlns:a16="http://schemas.microsoft.com/office/drawing/2014/main" id="{A4D6EF07-0A8B-33F9-A7E4-4FAC96D2C11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8650" name="Text Box 10" hidden="1">
          <a:extLst>
            <a:ext uri="{FF2B5EF4-FFF2-40B4-BE49-F238E27FC236}">
              <a16:creationId xmlns:a16="http://schemas.microsoft.com/office/drawing/2014/main" id="{D29D7BE1-1C22-4E91-20EA-9A7F401CAE17}"/>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8649" name="Text Box 9" hidden="1">
          <a:extLst>
            <a:ext uri="{FF2B5EF4-FFF2-40B4-BE49-F238E27FC236}">
              <a16:creationId xmlns:a16="http://schemas.microsoft.com/office/drawing/2014/main" id="{CD05286D-918D-76CE-C011-AAB644CB65CB}"/>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8648" name="Text Box 8" hidden="1">
          <a:extLst>
            <a:ext uri="{FF2B5EF4-FFF2-40B4-BE49-F238E27FC236}">
              <a16:creationId xmlns:a16="http://schemas.microsoft.com/office/drawing/2014/main" id="{B79B4BD4-10D2-8636-C0C8-6D83019F772E}"/>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8647" name="Text Box 7" hidden="1">
          <a:extLst>
            <a:ext uri="{FF2B5EF4-FFF2-40B4-BE49-F238E27FC236}">
              <a16:creationId xmlns:a16="http://schemas.microsoft.com/office/drawing/2014/main" id="{3E7C12C4-40E4-C6CA-A46E-36C38E8C3191}"/>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46" name="Text Box 6" hidden="1">
          <a:extLst>
            <a:ext uri="{FF2B5EF4-FFF2-40B4-BE49-F238E27FC236}">
              <a16:creationId xmlns:a16="http://schemas.microsoft.com/office/drawing/2014/main" id="{87B66337-D5BE-1FF1-5C60-C8974367C308}"/>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8645" name="Text Box 5" hidden="1">
          <a:extLst>
            <a:ext uri="{FF2B5EF4-FFF2-40B4-BE49-F238E27FC236}">
              <a16:creationId xmlns:a16="http://schemas.microsoft.com/office/drawing/2014/main" id="{C96720AA-F8CB-E6C6-8141-EA24E3264F8B}"/>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8644" name="Text Box 4" hidden="1">
          <a:extLst>
            <a:ext uri="{FF2B5EF4-FFF2-40B4-BE49-F238E27FC236}">
              <a16:creationId xmlns:a16="http://schemas.microsoft.com/office/drawing/2014/main" id="{8891DB4C-7030-11DE-0DA0-EE8A100F927E}"/>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43" name="Text Box 3" hidden="1">
          <a:extLst>
            <a:ext uri="{FF2B5EF4-FFF2-40B4-BE49-F238E27FC236}">
              <a16:creationId xmlns:a16="http://schemas.microsoft.com/office/drawing/2014/main" id="{A6DFC123-670D-54D8-002C-BFF35B1B9ABD}"/>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8642" name="Text Box 2" hidden="1">
          <a:extLst>
            <a:ext uri="{FF2B5EF4-FFF2-40B4-BE49-F238E27FC236}">
              <a16:creationId xmlns:a16="http://schemas.microsoft.com/office/drawing/2014/main" id="{476936D4-B467-D8F0-A907-32FC21AA56DC}"/>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8641" name="Text Box 1" hidden="1">
          <a:extLst>
            <a:ext uri="{FF2B5EF4-FFF2-40B4-BE49-F238E27FC236}">
              <a16:creationId xmlns:a16="http://schemas.microsoft.com/office/drawing/2014/main" id="{B309A852-AD17-7B5A-22F2-470D13218EF2}"/>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6" name="Text Box 26" hidden="1">
          <a:extLst>
            <a:ext uri="{FF2B5EF4-FFF2-40B4-BE49-F238E27FC236}">
              <a16:creationId xmlns:a16="http://schemas.microsoft.com/office/drawing/2014/main" id="{A429C64F-43A3-CF63-20B7-C769FD7E8326}"/>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97631</xdr:colOff>
      <xdr:row>53</xdr:row>
      <xdr:rowOff>16668</xdr:rowOff>
    </xdr:to>
    <xdr:sp macro="" textlink="">
      <xdr:nvSpPr>
        <xdr:cNvPr id="368665" name="Text Box 25" hidden="1">
          <a:extLst>
            <a:ext uri="{FF2B5EF4-FFF2-40B4-BE49-F238E27FC236}">
              <a16:creationId xmlns:a16="http://schemas.microsoft.com/office/drawing/2014/main" id="{A7BECBA2-ED20-B870-AE60-FB9E36269B4A}"/>
            </a:ext>
          </a:extLst>
        </xdr:cNvPr>
        <xdr:cNvSpPr txBox="1">
          <a:spLocks noChangeArrowheads="1"/>
        </xdr:cNvSpPr>
      </xdr:nvSpPr>
      <xdr:spPr bwMode="auto">
        <a:xfrm>
          <a:off x="4222750" y="127698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4" name="Text Box 24" hidden="1">
          <a:extLst>
            <a:ext uri="{FF2B5EF4-FFF2-40B4-BE49-F238E27FC236}">
              <a16:creationId xmlns:a16="http://schemas.microsoft.com/office/drawing/2014/main" id="{ECA4AF8E-C47F-20DD-D35E-58471E5A28E8}"/>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120650</xdr:rowOff>
    </xdr:from>
    <xdr:to>
      <xdr:col>19</xdr:col>
      <xdr:colOff>250032</xdr:colOff>
      <xdr:row>128</xdr:row>
      <xdr:rowOff>47625</xdr:rowOff>
    </xdr:to>
    <xdr:sp macro="" textlink="">
      <xdr:nvSpPr>
        <xdr:cNvPr id="368663" name="Text Box 23" hidden="1">
          <a:extLst>
            <a:ext uri="{FF2B5EF4-FFF2-40B4-BE49-F238E27FC236}">
              <a16:creationId xmlns:a16="http://schemas.microsoft.com/office/drawing/2014/main" id="{9F811880-A18E-8EE6-648A-93CEE6D602F1}"/>
            </a:ext>
          </a:extLst>
        </xdr:cNvPr>
        <xdr:cNvSpPr txBox="1">
          <a:spLocks noChangeArrowheads="1"/>
        </xdr:cNvSpPr>
      </xdr:nvSpPr>
      <xdr:spPr bwMode="auto">
        <a:xfrm>
          <a:off x="13157200" y="24701500"/>
          <a:ext cx="1454150" cy="341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62" name="Text Box 22" hidden="1">
          <a:extLst>
            <a:ext uri="{FF2B5EF4-FFF2-40B4-BE49-F238E27FC236}">
              <a16:creationId xmlns:a16="http://schemas.microsoft.com/office/drawing/2014/main" id="{9B107893-CFC1-617C-8DC5-F970242E4071}"/>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273050</xdr:rowOff>
    </xdr:to>
    <xdr:sp macro="" textlink="">
      <xdr:nvSpPr>
        <xdr:cNvPr id="368661" name="Text Box 21" hidden="1">
          <a:extLst>
            <a:ext uri="{FF2B5EF4-FFF2-40B4-BE49-F238E27FC236}">
              <a16:creationId xmlns:a16="http://schemas.microsoft.com/office/drawing/2014/main" id="{27874BD8-4867-3F6F-AD38-FCCC098B38A2}"/>
            </a:ext>
          </a:extLst>
        </xdr:cNvPr>
        <xdr:cNvSpPr txBox="1">
          <a:spLocks noChangeArrowheads="1"/>
        </xdr:cNvSpPr>
      </xdr:nvSpPr>
      <xdr:spPr bwMode="auto">
        <a:xfrm>
          <a:off x="8737600" y="1699260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120650</xdr:rowOff>
    </xdr:from>
    <xdr:to>
      <xdr:col>20</xdr:col>
      <xdr:colOff>135732</xdr:colOff>
      <xdr:row>124</xdr:row>
      <xdr:rowOff>82550</xdr:rowOff>
    </xdr:to>
    <xdr:sp macro="" textlink="">
      <xdr:nvSpPr>
        <xdr:cNvPr id="368660" name="Text Box 20" hidden="1">
          <a:extLst>
            <a:ext uri="{FF2B5EF4-FFF2-40B4-BE49-F238E27FC236}">
              <a16:creationId xmlns:a16="http://schemas.microsoft.com/office/drawing/2014/main" id="{D93145DC-3B96-1734-1593-DEAE6F758EC5}"/>
            </a:ext>
          </a:extLst>
        </xdr:cNvPr>
        <xdr:cNvSpPr txBox="1">
          <a:spLocks noChangeArrowheads="1"/>
        </xdr:cNvSpPr>
      </xdr:nvSpPr>
      <xdr:spPr bwMode="auto">
        <a:xfrm>
          <a:off x="13735050" y="247015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59" name="Text Box 19" hidden="1">
          <a:extLst>
            <a:ext uri="{FF2B5EF4-FFF2-40B4-BE49-F238E27FC236}">
              <a16:creationId xmlns:a16="http://schemas.microsoft.com/office/drawing/2014/main" id="{93A6B5A2-1B3E-B229-5DDD-28F4AB85EFE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207169</xdr:colOff>
      <xdr:row>83</xdr:row>
      <xdr:rowOff>388938</xdr:rowOff>
    </xdr:to>
    <xdr:sp macro="" textlink="">
      <xdr:nvSpPr>
        <xdr:cNvPr id="368658" name="Text Box 18" hidden="1">
          <a:extLst>
            <a:ext uri="{FF2B5EF4-FFF2-40B4-BE49-F238E27FC236}">
              <a16:creationId xmlns:a16="http://schemas.microsoft.com/office/drawing/2014/main" id="{EDF4785D-B984-1386-334A-8A4577EFB1BD}"/>
            </a:ext>
          </a:extLst>
        </xdr:cNvPr>
        <xdr:cNvSpPr txBox="1">
          <a:spLocks noChangeArrowheads="1"/>
        </xdr:cNvSpPr>
      </xdr:nvSpPr>
      <xdr:spPr bwMode="auto">
        <a:xfrm>
          <a:off x="3492500" y="18243550"/>
          <a:ext cx="1327150" cy="127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120650</xdr:rowOff>
    </xdr:from>
    <xdr:to>
      <xdr:col>3</xdr:col>
      <xdr:colOff>207169</xdr:colOff>
      <xdr:row>121</xdr:row>
      <xdr:rowOff>139700</xdr:rowOff>
    </xdr:to>
    <xdr:sp macro="" textlink="">
      <xdr:nvSpPr>
        <xdr:cNvPr id="368657" name="Text Box 17" hidden="1">
          <a:extLst>
            <a:ext uri="{FF2B5EF4-FFF2-40B4-BE49-F238E27FC236}">
              <a16:creationId xmlns:a16="http://schemas.microsoft.com/office/drawing/2014/main" id="{A0365691-CD98-DDB3-771B-CB99BB4CEB25}"/>
            </a:ext>
          </a:extLst>
        </xdr:cNvPr>
        <xdr:cNvSpPr txBox="1">
          <a:spLocks noChangeArrowheads="1"/>
        </xdr:cNvSpPr>
      </xdr:nvSpPr>
      <xdr:spPr bwMode="auto">
        <a:xfrm>
          <a:off x="3492500" y="24701500"/>
          <a:ext cx="132715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56" name="Text Box 16" hidden="1">
          <a:extLst>
            <a:ext uri="{FF2B5EF4-FFF2-40B4-BE49-F238E27FC236}">
              <a16:creationId xmlns:a16="http://schemas.microsoft.com/office/drawing/2014/main" id="{CA524A2F-2CB2-D044-8DC3-BD57D218D8CA}"/>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522288</xdr:rowOff>
    </xdr:from>
    <xdr:to>
      <xdr:col>34</xdr:col>
      <xdr:colOff>135732</xdr:colOff>
      <xdr:row>83</xdr:row>
      <xdr:rowOff>525463</xdr:rowOff>
    </xdr:to>
    <xdr:sp macro="" textlink="">
      <xdr:nvSpPr>
        <xdr:cNvPr id="368655" name="Text Box 15" hidden="1">
          <a:extLst>
            <a:ext uri="{FF2B5EF4-FFF2-40B4-BE49-F238E27FC236}">
              <a16:creationId xmlns:a16="http://schemas.microsoft.com/office/drawing/2014/main" id="{87302598-7E11-27E0-90FE-06A2270F4A87}"/>
            </a:ext>
          </a:extLst>
        </xdr:cNvPr>
        <xdr:cNvSpPr txBox="1">
          <a:spLocks noChangeArrowheads="1"/>
        </xdr:cNvSpPr>
      </xdr:nvSpPr>
      <xdr:spPr bwMode="auto">
        <a:xfrm>
          <a:off x="21755100" y="19646900"/>
          <a:ext cx="1314450" cy="1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158750</xdr:rowOff>
    </xdr:from>
    <xdr:to>
      <xdr:col>34</xdr:col>
      <xdr:colOff>135732</xdr:colOff>
      <xdr:row>83</xdr:row>
      <xdr:rowOff>354013</xdr:rowOff>
    </xdr:to>
    <xdr:sp macro="" textlink="">
      <xdr:nvSpPr>
        <xdr:cNvPr id="368654" name="Text Box 14" hidden="1">
          <a:extLst>
            <a:ext uri="{FF2B5EF4-FFF2-40B4-BE49-F238E27FC236}">
              <a16:creationId xmlns:a16="http://schemas.microsoft.com/office/drawing/2014/main" id="{0639E59D-9913-AC8B-1DA1-CA0D878E8479}"/>
            </a:ext>
          </a:extLst>
        </xdr:cNvPr>
        <xdr:cNvSpPr txBox="1">
          <a:spLocks noChangeArrowheads="1"/>
        </xdr:cNvSpPr>
      </xdr:nvSpPr>
      <xdr:spPr bwMode="auto">
        <a:xfrm>
          <a:off x="21755100" y="19284950"/>
          <a:ext cx="1314450" cy="20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9" name="Text Box 39" hidden="1">
          <a:extLst>
            <a:ext uri="{FF2B5EF4-FFF2-40B4-BE49-F238E27FC236}">
              <a16:creationId xmlns:a16="http://schemas.microsoft.com/office/drawing/2014/main" id="{1E174D98-1267-8522-1AB8-81889733DD04}"/>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97631</xdr:colOff>
      <xdr:row>53</xdr:row>
      <xdr:rowOff>10318</xdr:rowOff>
    </xdr:to>
    <xdr:sp macro="" textlink="">
      <xdr:nvSpPr>
        <xdr:cNvPr id="368678" name="Text Box 38" hidden="1">
          <a:extLst>
            <a:ext uri="{FF2B5EF4-FFF2-40B4-BE49-F238E27FC236}">
              <a16:creationId xmlns:a16="http://schemas.microsoft.com/office/drawing/2014/main" id="{BD7587EA-9509-4168-F54B-5C44845FE969}"/>
            </a:ext>
          </a:extLst>
        </xdr:cNvPr>
        <xdr:cNvSpPr txBox="1">
          <a:spLocks noChangeArrowheads="1"/>
        </xdr:cNvSpPr>
      </xdr:nvSpPr>
      <xdr:spPr bwMode="auto">
        <a:xfrm>
          <a:off x="4222750" y="1276350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7" name="Text Box 37" hidden="1">
          <a:extLst>
            <a:ext uri="{FF2B5EF4-FFF2-40B4-BE49-F238E27FC236}">
              <a16:creationId xmlns:a16="http://schemas.microsoft.com/office/drawing/2014/main" id="{1498D652-3B25-1977-8C76-48AE04F0BD68}"/>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114300</xdr:rowOff>
    </xdr:from>
    <xdr:to>
      <xdr:col>19</xdr:col>
      <xdr:colOff>250032</xdr:colOff>
      <xdr:row>128</xdr:row>
      <xdr:rowOff>47625</xdr:rowOff>
    </xdr:to>
    <xdr:sp macro="" textlink="">
      <xdr:nvSpPr>
        <xdr:cNvPr id="368676" name="Text Box 36" hidden="1">
          <a:extLst>
            <a:ext uri="{FF2B5EF4-FFF2-40B4-BE49-F238E27FC236}">
              <a16:creationId xmlns:a16="http://schemas.microsoft.com/office/drawing/2014/main" id="{3FC61519-5CBC-151C-92BF-302EDF623C47}"/>
            </a:ext>
          </a:extLst>
        </xdr:cNvPr>
        <xdr:cNvSpPr txBox="1">
          <a:spLocks noChangeArrowheads="1"/>
        </xdr:cNvSpPr>
      </xdr:nvSpPr>
      <xdr:spPr bwMode="auto">
        <a:xfrm>
          <a:off x="13157200" y="246951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75" name="Text Box 35" hidden="1">
          <a:extLst>
            <a:ext uri="{FF2B5EF4-FFF2-40B4-BE49-F238E27FC236}">
              <a16:creationId xmlns:a16="http://schemas.microsoft.com/office/drawing/2014/main" id="{4975058C-C064-E855-D8B0-FAB1325BC066}"/>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266700</xdr:rowOff>
    </xdr:to>
    <xdr:sp macro="" textlink="">
      <xdr:nvSpPr>
        <xdr:cNvPr id="368674" name="Text Box 34" hidden="1">
          <a:extLst>
            <a:ext uri="{FF2B5EF4-FFF2-40B4-BE49-F238E27FC236}">
              <a16:creationId xmlns:a16="http://schemas.microsoft.com/office/drawing/2014/main" id="{1EC192AF-EC2B-2012-72D9-436E68982E2C}"/>
            </a:ext>
          </a:extLst>
        </xdr:cNvPr>
        <xdr:cNvSpPr txBox="1">
          <a:spLocks noChangeArrowheads="1"/>
        </xdr:cNvSpPr>
      </xdr:nvSpPr>
      <xdr:spPr bwMode="auto">
        <a:xfrm>
          <a:off x="8737600" y="16992600"/>
          <a:ext cx="1447800" cy="240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114300</xdr:rowOff>
    </xdr:from>
    <xdr:to>
      <xdr:col>20</xdr:col>
      <xdr:colOff>135732</xdr:colOff>
      <xdr:row>124</xdr:row>
      <xdr:rowOff>76200</xdr:rowOff>
    </xdr:to>
    <xdr:sp macro="" textlink="">
      <xdr:nvSpPr>
        <xdr:cNvPr id="368673" name="Text Box 33" hidden="1">
          <a:extLst>
            <a:ext uri="{FF2B5EF4-FFF2-40B4-BE49-F238E27FC236}">
              <a16:creationId xmlns:a16="http://schemas.microsoft.com/office/drawing/2014/main" id="{9A2A7FA0-FD9E-79E0-0BEC-6850C61B9055}"/>
            </a:ext>
          </a:extLst>
        </xdr:cNvPr>
        <xdr:cNvSpPr txBox="1">
          <a:spLocks noChangeArrowheads="1"/>
        </xdr:cNvSpPr>
      </xdr:nvSpPr>
      <xdr:spPr bwMode="auto">
        <a:xfrm>
          <a:off x="13735050" y="246951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72" name="Text Box 32" hidden="1">
          <a:extLst>
            <a:ext uri="{FF2B5EF4-FFF2-40B4-BE49-F238E27FC236}">
              <a16:creationId xmlns:a16="http://schemas.microsoft.com/office/drawing/2014/main" id="{E801DCAD-5223-813F-E4DC-48E8DEE72BA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200819</xdr:colOff>
      <xdr:row>83</xdr:row>
      <xdr:rowOff>373063</xdr:rowOff>
    </xdr:to>
    <xdr:sp macro="" textlink="">
      <xdr:nvSpPr>
        <xdr:cNvPr id="368671" name="Text Box 31" hidden="1">
          <a:extLst>
            <a:ext uri="{FF2B5EF4-FFF2-40B4-BE49-F238E27FC236}">
              <a16:creationId xmlns:a16="http://schemas.microsoft.com/office/drawing/2014/main" id="{757E0E6B-1216-CE21-FA02-241C10F2564C}"/>
            </a:ext>
          </a:extLst>
        </xdr:cNvPr>
        <xdr:cNvSpPr txBox="1">
          <a:spLocks noChangeArrowheads="1"/>
        </xdr:cNvSpPr>
      </xdr:nvSpPr>
      <xdr:spPr bwMode="auto">
        <a:xfrm>
          <a:off x="3492500" y="182435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114300</xdr:rowOff>
    </xdr:from>
    <xdr:to>
      <xdr:col>3</xdr:col>
      <xdr:colOff>200819</xdr:colOff>
      <xdr:row>121</xdr:row>
      <xdr:rowOff>133350</xdr:rowOff>
    </xdr:to>
    <xdr:sp macro="" textlink="">
      <xdr:nvSpPr>
        <xdr:cNvPr id="368670" name="Text Box 30" hidden="1">
          <a:extLst>
            <a:ext uri="{FF2B5EF4-FFF2-40B4-BE49-F238E27FC236}">
              <a16:creationId xmlns:a16="http://schemas.microsoft.com/office/drawing/2014/main" id="{CE505F67-BB9D-AD76-9DB9-4CAFE19E6729}"/>
            </a:ext>
          </a:extLst>
        </xdr:cNvPr>
        <xdr:cNvSpPr txBox="1">
          <a:spLocks noChangeArrowheads="1"/>
        </xdr:cNvSpPr>
      </xdr:nvSpPr>
      <xdr:spPr bwMode="auto">
        <a:xfrm>
          <a:off x="3492500" y="246951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69" name="Text Box 29" hidden="1">
          <a:extLst>
            <a:ext uri="{FF2B5EF4-FFF2-40B4-BE49-F238E27FC236}">
              <a16:creationId xmlns:a16="http://schemas.microsoft.com/office/drawing/2014/main" id="{FABE44FF-8CE3-5804-388F-1C25FEAFD364}"/>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506413</xdr:rowOff>
    </xdr:from>
    <xdr:to>
      <xdr:col>34</xdr:col>
      <xdr:colOff>135732</xdr:colOff>
      <xdr:row>83</xdr:row>
      <xdr:rowOff>525463</xdr:rowOff>
    </xdr:to>
    <xdr:sp macro="" textlink="">
      <xdr:nvSpPr>
        <xdr:cNvPr id="368668" name="Text Box 28" hidden="1">
          <a:extLst>
            <a:ext uri="{FF2B5EF4-FFF2-40B4-BE49-F238E27FC236}">
              <a16:creationId xmlns:a16="http://schemas.microsoft.com/office/drawing/2014/main" id="{2E7D0CC5-D9CD-9FA2-79B9-460432C69F1F}"/>
            </a:ext>
          </a:extLst>
        </xdr:cNvPr>
        <xdr:cNvSpPr txBox="1">
          <a:spLocks noChangeArrowheads="1"/>
        </xdr:cNvSpPr>
      </xdr:nvSpPr>
      <xdr:spPr bwMode="auto">
        <a:xfrm>
          <a:off x="21755100" y="196405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354013</xdr:rowOff>
    </xdr:to>
    <xdr:sp macro="" textlink="">
      <xdr:nvSpPr>
        <xdr:cNvPr id="368667" name="Text Box 27" hidden="1">
          <a:extLst>
            <a:ext uri="{FF2B5EF4-FFF2-40B4-BE49-F238E27FC236}">
              <a16:creationId xmlns:a16="http://schemas.microsoft.com/office/drawing/2014/main" id="{B464BF35-C63D-5EC8-C6C3-1FC446AC4860}"/>
            </a:ext>
          </a:extLst>
        </xdr:cNvPr>
        <xdr:cNvSpPr txBox="1">
          <a:spLocks noChangeArrowheads="1"/>
        </xdr:cNvSpPr>
      </xdr:nvSpPr>
      <xdr:spPr bwMode="auto">
        <a:xfrm>
          <a:off x="21755100" y="19278600"/>
          <a:ext cx="1314450" cy="20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2" name="Text Box 52" hidden="1">
          <a:extLst>
            <a:ext uri="{FF2B5EF4-FFF2-40B4-BE49-F238E27FC236}">
              <a16:creationId xmlns:a16="http://schemas.microsoft.com/office/drawing/2014/main" id="{3D6EF511-A81D-C41C-7180-AC988F898EC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691" name="Text Box 51" hidden="1">
          <a:extLst>
            <a:ext uri="{FF2B5EF4-FFF2-40B4-BE49-F238E27FC236}">
              <a16:creationId xmlns:a16="http://schemas.microsoft.com/office/drawing/2014/main" id="{8F2CFC32-3CF1-F00D-53F0-287120C469CB}"/>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0" name="Text Box 50" hidden="1">
          <a:extLst>
            <a:ext uri="{FF2B5EF4-FFF2-40B4-BE49-F238E27FC236}">
              <a16:creationId xmlns:a16="http://schemas.microsoft.com/office/drawing/2014/main" id="{4BA7C13A-4FC9-9D5D-67C2-5DEE43AD229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689" name="Text Box 49" hidden="1">
          <a:extLst>
            <a:ext uri="{FF2B5EF4-FFF2-40B4-BE49-F238E27FC236}">
              <a16:creationId xmlns:a16="http://schemas.microsoft.com/office/drawing/2014/main" id="{2271E10B-40B9-8A66-55CA-E4773AA87576}"/>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688" name="Text Box 48" hidden="1">
          <a:extLst>
            <a:ext uri="{FF2B5EF4-FFF2-40B4-BE49-F238E27FC236}">
              <a16:creationId xmlns:a16="http://schemas.microsoft.com/office/drawing/2014/main" id="{5FCCE63A-199A-661F-8071-33F8C39E796E}"/>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687" name="Text Box 47" hidden="1">
          <a:extLst>
            <a:ext uri="{FF2B5EF4-FFF2-40B4-BE49-F238E27FC236}">
              <a16:creationId xmlns:a16="http://schemas.microsoft.com/office/drawing/2014/main" id="{9C9DB78F-411E-EE21-20A2-DD446087AFC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86" name="Text Box 46" hidden="1">
          <a:extLst>
            <a:ext uri="{FF2B5EF4-FFF2-40B4-BE49-F238E27FC236}">
              <a16:creationId xmlns:a16="http://schemas.microsoft.com/office/drawing/2014/main" id="{7F02BF48-67C1-A70A-1B18-8015EC4E8948}"/>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85" name="Text Box 45" hidden="1">
          <a:extLst>
            <a:ext uri="{FF2B5EF4-FFF2-40B4-BE49-F238E27FC236}">
              <a16:creationId xmlns:a16="http://schemas.microsoft.com/office/drawing/2014/main" id="{37CCC840-0AB0-5F95-F108-A31A3EF9310A}"/>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84" name="Text Box 44" hidden="1">
          <a:extLst>
            <a:ext uri="{FF2B5EF4-FFF2-40B4-BE49-F238E27FC236}">
              <a16:creationId xmlns:a16="http://schemas.microsoft.com/office/drawing/2014/main" id="{0DBE9204-D63B-37E5-BB09-FC2578FDA151}"/>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83" name="Text Box 43" hidden="1">
          <a:extLst>
            <a:ext uri="{FF2B5EF4-FFF2-40B4-BE49-F238E27FC236}">
              <a16:creationId xmlns:a16="http://schemas.microsoft.com/office/drawing/2014/main" id="{8E180789-9E2B-F2AE-8AD4-0AFA809A82B9}"/>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82" name="Text Box 42" hidden="1">
          <a:extLst>
            <a:ext uri="{FF2B5EF4-FFF2-40B4-BE49-F238E27FC236}">
              <a16:creationId xmlns:a16="http://schemas.microsoft.com/office/drawing/2014/main" id="{C9BA4A58-0422-110D-7C42-367640C8AF6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81" name="Text Box 41" hidden="1">
          <a:extLst>
            <a:ext uri="{FF2B5EF4-FFF2-40B4-BE49-F238E27FC236}">
              <a16:creationId xmlns:a16="http://schemas.microsoft.com/office/drawing/2014/main" id="{14CC1135-44A3-376F-BA9D-6AB27068740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80" name="Text Box 40" hidden="1">
          <a:extLst>
            <a:ext uri="{FF2B5EF4-FFF2-40B4-BE49-F238E27FC236}">
              <a16:creationId xmlns:a16="http://schemas.microsoft.com/office/drawing/2014/main" id="{CB570B0A-D476-31A3-9FC4-2C70BFC0F9DA}"/>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5" name="Text Box 65" hidden="1">
          <a:extLst>
            <a:ext uri="{FF2B5EF4-FFF2-40B4-BE49-F238E27FC236}">
              <a16:creationId xmlns:a16="http://schemas.microsoft.com/office/drawing/2014/main" id="{BE1B94C8-0A98-D4C1-6E41-EC096AA5CB29}"/>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04" name="Text Box 64" hidden="1">
          <a:extLst>
            <a:ext uri="{FF2B5EF4-FFF2-40B4-BE49-F238E27FC236}">
              <a16:creationId xmlns:a16="http://schemas.microsoft.com/office/drawing/2014/main" id="{51D59E70-9E9F-1BBC-F0BF-50766A27F280}"/>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3" name="Text Box 63" hidden="1">
          <a:extLst>
            <a:ext uri="{FF2B5EF4-FFF2-40B4-BE49-F238E27FC236}">
              <a16:creationId xmlns:a16="http://schemas.microsoft.com/office/drawing/2014/main" id="{316E1AB2-106A-B6F7-1FDA-6DA9A10E7FA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02" name="Text Box 62" hidden="1">
          <a:extLst>
            <a:ext uri="{FF2B5EF4-FFF2-40B4-BE49-F238E27FC236}">
              <a16:creationId xmlns:a16="http://schemas.microsoft.com/office/drawing/2014/main" id="{B52F260F-9FC6-FD34-DCC4-DB8445BCA2D5}"/>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01" name="Text Box 61" hidden="1">
          <a:extLst>
            <a:ext uri="{FF2B5EF4-FFF2-40B4-BE49-F238E27FC236}">
              <a16:creationId xmlns:a16="http://schemas.microsoft.com/office/drawing/2014/main" id="{00A5DC9F-3FCE-1397-8FF6-B0D2E82B059C}"/>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700" name="Text Box 60" hidden="1">
          <a:extLst>
            <a:ext uri="{FF2B5EF4-FFF2-40B4-BE49-F238E27FC236}">
              <a16:creationId xmlns:a16="http://schemas.microsoft.com/office/drawing/2014/main" id="{8896BE74-E836-0AA7-475A-0EA151DA3AD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99" name="Text Box 59" hidden="1">
          <a:extLst>
            <a:ext uri="{FF2B5EF4-FFF2-40B4-BE49-F238E27FC236}">
              <a16:creationId xmlns:a16="http://schemas.microsoft.com/office/drawing/2014/main" id="{E8640CF6-5554-14D3-1489-19EC393621C3}"/>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98" name="Text Box 58" hidden="1">
          <a:extLst>
            <a:ext uri="{FF2B5EF4-FFF2-40B4-BE49-F238E27FC236}">
              <a16:creationId xmlns:a16="http://schemas.microsoft.com/office/drawing/2014/main" id="{CC7568B2-7D67-20C8-2A4B-1E34BECF9B2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97" name="Text Box 57" hidden="1">
          <a:extLst>
            <a:ext uri="{FF2B5EF4-FFF2-40B4-BE49-F238E27FC236}">
              <a16:creationId xmlns:a16="http://schemas.microsoft.com/office/drawing/2014/main" id="{8D80F909-0FAC-8DE3-26A2-C28ACAFA41BD}"/>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96" name="Text Box 56" hidden="1">
          <a:extLst>
            <a:ext uri="{FF2B5EF4-FFF2-40B4-BE49-F238E27FC236}">
              <a16:creationId xmlns:a16="http://schemas.microsoft.com/office/drawing/2014/main" id="{29F53A54-7B1B-07E0-BE8A-101BD2936A8E}"/>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95" name="Text Box 55" hidden="1">
          <a:extLst>
            <a:ext uri="{FF2B5EF4-FFF2-40B4-BE49-F238E27FC236}">
              <a16:creationId xmlns:a16="http://schemas.microsoft.com/office/drawing/2014/main" id="{BD7F55A3-80A5-FFBC-3288-6CDE0A4D2739}"/>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94" name="Text Box 54" hidden="1">
          <a:extLst>
            <a:ext uri="{FF2B5EF4-FFF2-40B4-BE49-F238E27FC236}">
              <a16:creationId xmlns:a16="http://schemas.microsoft.com/office/drawing/2014/main" id="{43496A98-E846-4DAD-A190-DE30E033C728}"/>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93" name="Text Box 53" hidden="1">
          <a:extLst>
            <a:ext uri="{FF2B5EF4-FFF2-40B4-BE49-F238E27FC236}">
              <a16:creationId xmlns:a16="http://schemas.microsoft.com/office/drawing/2014/main" id="{9DF61452-B11B-7B78-97F6-468DEF0B08AF}"/>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8" name="Text Box 78" hidden="1">
          <a:extLst>
            <a:ext uri="{FF2B5EF4-FFF2-40B4-BE49-F238E27FC236}">
              <a16:creationId xmlns:a16="http://schemas.microsoft.com/office/drawing/2014/main" id="{E5730504-784D-4D77-DCE8-0B99047C8F01}"/>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17" name="Text Box 77" hidden="1">
          <a:extLst>
            <a:ext uri="{FF2B5EF4-FFF2-40B4-BE49-F238E27FC236}">
              <a16:creationId xmlns:a16="http://schemas.microsoft.com/office/drawing/2014/main" id="{DD6E4062-F0DC-1DD6-171A-E95F7EFE6557}"/>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6" name="Text Box 76" hidden="1">
          <a:extLst>
            <a:ext uri="{FF2B5EF4-FFF2-40B4-BE49-F238E27FC236}">
              <a16:creationId xmlns:a16="http://schemas.microsoft.com/office/drawing/2014/main" id="{380E61D6-FBD8-2F0E-775F-B4DE38356A50}"/>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15" name="Text Box 75" hidden="1">
          <a:extLst>
            <a:ext uri="{FF2B5EF4-FFF2-40B4-BE49-F238E27FC236}">
              <a16:creationId xmlns:a16="http://schemas.microsoft.com/office/drawing/2014/main" id="{4C1A934B-9A7D-FAF0-9129-871865D59609}"/>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14" name="Text Box 74" hidden="1">
          <a:extLst>
            <a:ext uri="{FF2B5EF4-FFF2-40B4-BE49-F238E27FC236}">
              <a16:creationId xmlns:a16="http://schemas.microsoft.com/office/drawing/2014/main" id="{91F96D4D-6D1C-AE3E-53A2-A984E6147444}"/>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13" name="Text Box 73" hidden="1">
          <a:extLst>
            <a:ext uri="{FF2B5EF4-FFF2-40B4-BE49-F238E27FC236}">
              <a16:creationId xmlns:a16="http://schemas.microsoft.com/office/drawing/2014/main" id="{A03FF470-B1D8-34B4-B981-66A4F758D6DB}"/>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12" name="Text Box 72" hidden="1">
          <a:extLst>
            <a:ext uri="{FF2B5EF4-FFF2-40B4-BE49-F238E27FC236}">
              <a16:creationId xmlns:a16="http://schemas.microsoft.com/office/drawing/2014/main" id="{2E67C49B-1551-3D38-F8F7-0F1FCA9A3700}"/>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11" name="Text Box 71" hidden="1">
          <a:extLst>
            <a:ext uri="{FF2B5EF4-FFF2-40B4-BE49-F238E27FC236}">
              <a16:creationId xmlns:a16="http://schemas.microsoft.com/office/drawing/2014/main" id="{A3B4CAC0-6939-46E1-6FA9-ED98FCDA194C}"/>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10" name="Text Box 70" hidden="1">
          <a:extLst>
            <a:ext uri="{FF2B5EF4-FFF2-40B4-BE49-F238E27FC236}">
              <a16:creationId xmlns:a16="http://schemas.microsoft.com/office/drawing/2014/main" id="{55254A57-C7D5-E8C2-5F3F-DE113546E818}"/>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09" name="Text Box 69" hidden="1">
          <a:extLst>
            <a:ext uri="{FF2B5EF4-FFF2-40B4-BE49-F238E27FC236}">
              <a16:creationId xmlns:a16="http://schemas.microsoft.com/office/drawing/2014/main" id="{040F3A44-DAE3-77D9-0DA1-0230E730AE01}"/>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08" name="Text Box 68" hidden="1">
          <a:extLst>
            <a:ext uri="{FF2B5EF4-FFF2-40B4-BE49-F238E27FC236}">
              <a16:creationId xmlns:a16="http://schemas.microsoft.com/office/drawing/2014/main" id="{AAAB16FC-114E-33E6-94C6-7FEB987F1B2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07" name="Text Box 67" hidden="1">
          <a:extLst>
            <a:ext uri="{FF2B5EF4-FFF2-40B4-BE49-F238E27FC236}">
              <a16:creationId xmlns:a16="http://schemas.microsoft.com/office/drawing/2014/main" id="{4A747372-DA3D-D021-D136-229FF26347E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06" name="Text Box 66" hidden="1">
          <a:extLst>
            <a:ext uri="{FF2B5EF4-FFF2-40B4-BE49-F238E27FC236}">
              <a16:creationId xmlns:a16="http://schemas.microsoft.com/office/drawing/2014/main" id="{BD8A281E-635E-0282-A267-F237C1078F9C}"/>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31" name="Text Box 91" hidden="1">
          <a:extLst>
            <a:ext uri="{FF2B5EF4-FFF2-40B4-BE49-F238E27FC236}">
              <a16:creationId xmlns:a16="http://schemas.microsoft.com/office/drawing/2014/main" id="{B4045C95-BAB4-4AE6-8181-89952A237AE8}"/>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30" name="Text Box 90" hidden="1">
          <a:extLst>
            <a:ext uri="{FF2B5EF4-FFF2-40B4-BE49-F238E27FC236}">
              <a16:creationId xmlns:a16="http://schemas.microsoft.com/office/drawing/2014/main" id="{559AA057-9F05-5367-FF02-2F3605286E2F}"/>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29" name="Text Box 89" hidden="1">
          <a:extLst>
            <a:ext uri="{FF2B5EF4-FFF2-40B4-BE49-F238E27FC236}">
              <a16:creationId xmlns:a16="http://schemas.microsoft.com/office/drawing/2014/main" id="{F3E98D7E-77D4-DF44-77B5-1D8A0E1E3B7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28" name="Text Box 88" hidden="1">
          <a:extLst>
            <a:ext uri="{FF2B5EF4-FFF2-40B4-BE49-F238E27FC236}">
              <a16:creationId xmlns:a16="http://schemas.microsoft.com/office/drawing/2014/main" id="{5BC2E81C-7C22-9388-E8B5-44717FD5EB47}"/>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27" name="Text Box 87" hidden="1">
          <a:extLst>
            <a:ext uri="{FF2B5EF4-FFF2-40B4-BE49-F238E27FC236}">
              <a16:creationId xmlns:a16="http://schemas.microsoft.com/office/drawing/2014/main" id="{2A03E69C-34C6-A35E-4373-3047E266B1F2}"/>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26" name="Text Box 86" hidden="1">
          <a:extLst>
            <a:ext uri="{FF2B5EF4-FFF2-40B4-BE49-F238E27FC236}">
              <a16:creationId xmlns:a16="http://schemas.microsoft.com/office/drawing/2014/main" id="{A36CF2CE-94C0-D74E-55AC-00EF13E357D7}"/>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25" name="Text Box 85" hidden="1">
          <a:extLst>
            <a:ext uri="{FF2B5EF4-FFF2-40B4-BE49-F238E27FC236}">
              <a16:creationId xmlns:a16="http://schemas.microsoft.com/office/drawing/2014/main" id="{A48546FD-C706-EF64-C435-9906A50B1BCD}"/>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24" name="Text Box 84" hidden="1">
          <a:extLst>
            <a:ext uri="{FF2B5EF4-FFF2-40B4-BE49-F238E27FC236}">
              <a16:creationId xmlns:a16="http://schemas.microsoft.com/office/drawing/2014/main" id="{4AE29BD2-2FD2-DB96-2A66-ED7266CBE2CE}"/>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23" name="Text Box 83" hidden="1">
          <a:extLst>
            <a:ext uri="{FF2B5EF4-FFF2-40B4-BE49-F238E27FC236}">
              <a16:creationId xmlns:a16="http://schemas.microsoft.com/office/drawing/2014/main" id="{7DC0EFC8-DDCE-9191-6425-C0D5DCCF480A}"/>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22" name="Text Box 82" hidden="1">
          <a:extLst>
            <a:ext uri="{FF2B5EF4-FFF2-40B4-BE49-F238E27FC236}">
              <a16:creationId xmlns:a16="http://schemas.microsoft.com/office/drawing/2014/main" id="{EC65C9DC-12CE-D79A-22DC-286BA765253B}"/>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21" name="Text Box 81" hidden="1">
          <a:extLst>
            <a:ext uri="{FF2B5EF4-FFF2-40B4-BE49-F238E27FC236}">
              <a16:creationId xmlns:a16="http://schemas.microsoft.com/office/drawing/2014/main" id="{94E302CE-AFE9-B4A6-2BA2-D0065E1DF572}"/>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20" name="Text Box 80" hidden="1">
          <a:extLst>
            <a:ext uri="{FF2B5EF4-FFF2-40B4-BE49-F238E27FC236}">
              <a16:creationId xmlns:a16="http://schemas.microsoft.com/office/drawing/2014/main" id="{6573C4F4-8E0A-80E5-A8E9-DC19E7A3F1B9}"/>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19" name="Text Box 79" hidden="1">
          <a:extLst>
            <a:ext uri="{FF2B5EF4-FFF2-40B4-BE49-F238E27FC236}">
              <a16:creationId xmlns:a16="http://schemas.microsoft.com/office/drawing/2014/main" id="{7595E736-F239-3431-D11A-5A851FF5B9A7}"/>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4" name="Text Box 104" hidden="1">
          <a:extLst>
            <a:ext uri="{FF2B5EF4-FFF2-40B4-BE49-F238E27FC236}">
              <a16:creationId xmlns:a16="http://schemas.microsoft.com/office/drawing/2014/main" id="{D4D928D0-9522-DC0F-2C43-8211909708CC}"/>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368743" name="Text Box 103" hidden="1">
          <a:extLst>
            <a:ext uri="{FF2B5EF4-FFF2-40B4-BE49-F238E27FC236}">
              <a16:creationId xmlns:a16="http://schemas.microsoft.com/office/drawing/2014/main" id="{23C5AEF7-5B3B-0D0A-5584-261DC7230A5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2" name="Text Box 102" hidden="1">
          <a:extLst>
            <a:ext uri="{FF2B5EF4-FFF2-40B4-BE49-F238E27FC236}">
              <a16:creationId xmlns:a16="http://schemas.microsoft.com/office/drawing/2014/main" id="{063C6FEA-8F57-BBE2-BE43-DA577FCCEA9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368741" name="Text Box 101" hidden="1">
          <a:extLst>
            <a:ext uri="{FF2B5EF4-FFF2-40B4-BE49-F238E27FC236}">
              <a16:creationId xmlns:a16="http://schemas.microsoft.com/office/drawing/2014/main" id="{18BA5D71-F741-A03D-9819-68FE31C0A6CE}"/>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368740" name="Text Box 100" hidden="1">
          <a:extLst>
            <a:ext uri="{FF2B5EF4-FFF2-40B4-BE49-F238E27FC236}">
              <a16:creationId xmlns:a16="http://schemas.microsoft.com/office/drawing/2014/main" id="{3BE50846-D320-DECB-266E-E7D38CB63BB6}"/>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368739" name="Text Box 99" hidden="1">
          <a:extLst>
            <a:ext uri="{FF2B5EF4-FFF2-40B4-BE49-F238E27FC236}">
              <a16:creationId xmlns:a16="http://schemas.microsoft.com/office/drawing/2014/main" id="{DE221A54-CADC-8AAA-0746-5E1B7A55146C}"/>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368738" name="Text Box 98" hidden="1">
          <a:extLst>
            <a:ext uri="{FF2B5EF4-FFF2-40B4-BE49-F238E27FC236}">
              <a16:creationId xmlns:a16="http://schemas.microsoft.com/office/drawing/2014/main" id="{D31E9FF6-E737-B384-9BED-94EF6D21F3C4}"/>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37" name="Text Box 97" hidden="1">
          <a:extLst>
            <a:ext uri="{FF2B5EF4-FFF2-40B4-BE49-F238E27FC236}">
              <a16:creationId xmlns:a16="http://schemas.microsoft.com/office/drawing/2014/main" id="{98EB6489-0B69-D2D4-1CC8-8ED19B21044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98</xdr:row>
      <xdr:rowOff>0</xdr:rowOff>
    </xdr:to>
    <xdr:sp macro="" textlink="">
      <xdr:nvSpPr>
        <xdr:cNvPr id="368736" name="Text Box 96" hidden="1">
          <a:extLst>
            <a:ext uri="{FF2B5EF4-FFF2-40B4-BE49-F238E27FC236}">
              <a16:creationId xmlns:a16="http://schemas.microsoft.com/office/drawing/2014/main" id="{FDFAFF0A-A598-8E64-63AD-9E0D0AECFFA1}"/>
            </a:ext>
          </a:extLst>
        </xdr:cNvPr>
        <xdr:cNvSpPr txBox="1">
          <a:spLocks noChangeArrowheads="1"/>
        </xdr:cNvSpPr>
      </xdr:nvSpPr>
      <xdr:spPr bwMode="auto">
        <a:xfrm>
          <a:off x="3492500" y="17837150"/>
          <a:ext cx="31940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368735" name="Text Box 95" hidden="1">
          <a:extLst>
            <a:ext uri="{FF2B5EF4-FFF2-40B4-BE49-F238E27FC236}">
              <a16:creationId xmlns:a16="http://schemas.microsoft.com/office/drawing/2014/main" id="{91DD745C-1E68-0ED9-5AC4-81C989A89786}"/>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368734" name="Text Box 94" hidden="1">
          <a:extLst>
            <a:ext uri="{FF2B5EF4-FFF2-40B4-BE49-F238E27FC236}">
              <a16:creationId xmlns:a16="http://schemas.microsoft.com/office/drawing/2014/main" id="{7B19AD0D-4C9F-A762-D224-A6C337C0FCA5}"/>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33" name="Text Box 93" hidden="1">
          <a:extLst>
            <a:ext uri="{FF2B5EF4-FFF2-40B4-BE49-F238E27FC236}">
              <a16:creationId xmlns:a16="http://schemas.microsoft.com/office/drawing/2014/main" id="{4F51706C-3C4A-0E77-6C6B-63F1565985DB}"/>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32" name="Text Box 92" hidden="1">
          <a:extLst>
            <a:ext uri="{FF2B5EF4-FFF2-40B4-BE49-F238E27FC236}">
              <a16:creationId xmlns:a16="http://schemas.microsoft.com/office/drawing/2014/main" id="{604F2EB1-5C9A-63EF-2A29-A249FE7B22A1}"/>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21432</xdr:colOff>
      <xdr:row>27</xdr:row>
      <xdr:rowOff>0</xdr:rowOff>
    </xdr:to>
    <xdr:sp macro="" textlink="">
      <xdr:nvSpPr>
        <xdr:cNvPr id="368748" name="Text Box 108" hidden="1">
          <a:extLst>
            <a:ext uri="{FF2B5EF4-FFF2-40B4-BE49-F238E27FC236}">
              <a16:creationId xmlns:a16="http://schemas.microsoft.com/office/drawing/2014/main" id="{072380C7-5BA0-0A27-CD72-BDD2E8023721}"/>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6" name="Text Box 1038" hidden="1">
          <a:extLst>
            <a:ext uri="{FF2B5EF4-FFF2-40B4-BE49-F238E27FC236}">
              <a16:creationId xmlns:a16="http://schemas.microsoft.com/office/drawing/2014/main" id="{5795B708-032D-0203-98A5-ACA814D13F3C}"/>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412685" name="Text Box 1037" hidden="1">
          <a:extLst>
            <a:ext uri="{FF2B5EF4-FFF2-40B4-BE49-F238E27FC236}">
              <a16:creationId xmlns:a16="http://schemas.microsoft.com/office/drawing/2014/main" id="{6090B97B-BDE9-A785-602C-A4FF9FC8D6D4}"/>
            </a:ext>
          </a:extLst>
        </xdr:cNvPr>
        <xdr:cNvSpPr txBox="1">
          <a:spLocks noChangeArrowheads="1"/>
        </xdr:cNvSpPr>
      </xdr:nvSpPr>
      <xdr:spPr bwMode="auto">
        <a:xfrm>
          <a:off x="4229100" y="12376150"/>
          <a:ext cx="307340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4" name="Text Box 1036" hidden="1">
          <a:extLst>
            <a:ext uri="{FF2B5EF4-FFF2-40B4-BE49-F238E27FC236}">
              <a16:creationId xmlns:a16="http://schemas.microsoft.com/office/drawing/2014/main" id="{5B88AD1D-733E-488D-89D8-79C2D99EE3AA}"/>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412683" name="Text Box 1035" hidden="1">
          <a:extLst>
            <a:ext uri="{FF2B5EF4-FFF2-40B4-BE49-F238E27FC236}">
              <a16:creationId xmlns:a16="http://schemas.microsoft.com/office/drawing/2014/main" id="{214E2C26-945E-1D0B-51A3-811386E90F25}"/>
            </a:ext>
          </a:extLst>
        </xdr:cNvPr>
        <xdr:cNvSpPr txBox="1">
          <a:spLocks noChangeArrowheads="1"/>
        </xdr:cNvSpPr>
      </xdr:nvSpPr>
      <xdr:spPr bwMode="auto">
        <a:xfrm>
          <a:off x="13163550" y="24333200"/>
          <a:ext cx="3162300" cy="360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412682" name="Text Box 1034" hidden="1">
          <a:extLst>
            <a:ext uri="{FF2B5EF4-FFF2-40B4-BE49-F238E27FC236}">
              <a16:creationId xmlns:a16="http://schemas.microsoft.com/office/drawing/2014/main" id="{2638B723-D741-C9EE-7C2C-B89B47EEFBD1}"/>
            </a:ext>
          </a:extLst>
        </xdr:cNvPr>
        <xdr:cNvSpPr txBox="1">
          <a:spLocks noChangeArrowheads="1"/>
        </xdr:cNvSpPr>
      </xdr:nvSpPr>
      <xdr:spPr bwMode="auto">
        <a:xfrm>
          <a:off x="13779500" y="2857500"/>
          <a:ext cx="315595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412681" name="Text Box 1033" hidden="1">
          <a:extLst>
            <a:ext uri="{FF2B5EF4-FFF2-40B4-BE49-F238E27FC236}">
              <a16:creationId xmlns:a16="http://schemas.microsoft.com/office/drawing/2014/main" id="{CE9C7600-75B1-F06A-194F-E76B3B223AA8}"/>
            </a:ext>
          </a:extLst>
        </xdr:cNvPr>
        <xdr:cNvSpPr txBox="1">
          <a:spLocks noChangeArrowheads="1"/>
        </xdr:cNvSpPr>
      </xdr:nvSpPr>
      <xdr:spPr bwMode="auto">
        <a:xfrm>
          <a:off x="8743950" y="16490950"/>
          <a:ext cx="258445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412680" name="Text Box 1032" hidden="1">
          <a:extLst>
            <a:ext uri="{FF2B5EF4-FFF2-40B4-BE49-F238E27FC236}">
              <a16:creationId xmlns:a16="http://schemas.microsoft.com/office/drawing/2014/main" id="{AC7B5B6B-2BBB-1C93-5553-9FCCD1026E0B}"/>
            </a:ext>
          </a:extLst>
        </xdr:cNvPr>
        <xdr:cNvSpPr txBox="1">
          <a:spLocks noChangeArrowheads="1"/>
        </xdr:cNvSpPr>
      </xdr:nvSpPr>
      <xdr:spPr bwMode="auto">
        <a:xfrm>
          <a:off x="13735050" y="24333200"/>
          <a:ext cx="3048000" cy="363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79" name="Text Box 1031" hidden="1">
          <a:extLst>
            <a:ext uri="{FF2B5EF4-FFF2-40B4-BE49-F238E27FC236}">
              <a16:creationId xmlns:a16="http://schemas.microsoft.com/office/drawing/2014/main" id="{41898241-EAB3-4F3B-150A-C505D169789F}"/>
            </a:ext>
          </a:extLst>
        </xdr:cNvPr>
        <xdr:cNvSpPr txBox="1">
          <a:spLocks noChangeArrowheads="1"/>
        </xdr:cNvSpPr>
      </xdr:nvSpPr>
      <xdr:spPr bwMode="auto">
        <a:xfrm>
          <a:off x="869950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412678" name="Text Box 1030" hidden="1">
          <a:extLst>
            <a:ext uri="{FF2B5EF4-FFF2-40B4-BE49-F238E27FC236}">
              <a16:creationId xmlns:a16="http://schemas.microsoft.com/office/drawing/2014/main" id="{1F16A44A-FBC0-0715-34C7-FBF713E0173F}"/>
            </a:ext>
          </a:extLst>
        </xdr:cNvPr>
        <xdr:cNvSpPr txBox="1">
          <a:spLocks noChangeArrowheads="1"/>
        </xdr:cNvSpPr>
      </xdr:nvSpPr>
      <xdr:spPr bwMode="auto">
        <a:xfrm>
          <a:off x="3492500" y="17837150"/>
          <a:ext cx="320040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412677" name="Text Box 1029" hidden="1">
          <a:extLst>
            <a:ext uri="{FF2B5EF4-FFF2-40B4-BE49-F238E27FC236}">
              <a16:creationId xmlns:a16="http://schemas.microsoft.com/office/drawing/2014/main" id="{5FBD4583-867E-A6B5-24E5-17B307F73AD9}"/>
            </a:ext>
          </a:extLst>
        </xdr:cNvPr>
        <xdr:cNvSpPr txBox="1">
          <a:spLocks noChangeArrowheads="1"/>
        </xdr:cNvSpPr>
      </xdr:nvSpPr>
      <xdr:spPr bwMode="auto">
        <a:xfrm>
          <a:off x="3492500" y="24333200"/>
          <a:ext cx="3200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412676" name="Text Box 1028" hidden="1">
          <a:extLst>
            <a:ext uri="{FF2B5EF4-FFF2-40B4-BE49-F238E27FC236}">
              <a16:creationId xmlns:a16="http://schemas.microsoft.com/office/drawing/2014/main" id="{E0B64DA0-41DB-884B-84DC-8AA54BA1B262}"/>
            </a:ext>
          </a:extLst>
        </xdr:cNvPr>
        <xdr:cNvSpPr txBox="1">
          <a:spLocks noChangeArrowheads="1"/>
        </xdr:cNvSpPr>
      </xdr:nvSpPr>
      <xdr:spPr bwMode="auto">
        <a:xfrm>
          <a:off x="14878050" y="2901950"/>
          <a:ext cx="3048000"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75" name="Text Box 1027" hidden="1">
          <a:extLst>
            <a:ext uri="{FF2B5EF4-FFF2-40B4-BE49-F238E27FC236}">
              <a16:creationId xmlns:a16="http://schemas.microsoft.com/office/drawing/2014/main" id="{AD98C395-7005-01B4-8BFA-D93CB06F62BF}"/>
            </a:ext>
          </a:extLst>
        </xdr:cNvPr>
        <xdr:cNvSpPr txBox="1">
          <a:spLocks noChangeArrowheads="1"/>
        </xdr:cNvSpPr>
      </xdr:nvSpPr>
      <xdr:spPr bwMode="auto">
        <a:xfrm>
          <a:off x="2175510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74" name="Text Box 1026" hidden="1">
          <a:extLst>
            <a:ext uri="{FF2B5EF4-FFF2-40B4-BE49-F238E27FC236}">
              <a16:creationId xmlns:a16="http://schemas.microsoft.com/office/drawing/2014/main" id="{A084283A-6AD4-2032-2FB3-0E3C4D155727}"/>
            </a:ext>
          </a:extLst>
        </xdr:cNvPr>
        <xdr:cNvSpPr txBox="1">
          <a:spLocks noChangeArrowheads="1"/>
        </xdr:cNvSpPr>
      </xdr:nvSpPr>
      <xdr:spPr bwMode="auto">
        <a:xfrm>
          <a:off x="2175510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412673" name="Text Box 1025" hidden="1">
          <a:extLst>
            <a:ext uri="{FF2B5EF4-FFF2-40B4-BE49-F238E27FC236}">
              <a16:creationId xmlns:a16="http://schemas.microsoft.com/office/drawing/2014/main" id="{E04A3B51-6EBC-B394-E415-5AD6E5E60972}"/>
            </a:ext>
          </a:extLst>
        </xdr:cNvPr>
        <xdr:cNvSpPr txBox="1">
          <a:spLocks noChangeArrowheads="1"/>
        </xdr:cNvSpPr>
      </xdr:nvSpPr>
      <xdr:spPr bwMode="auto">
        <a:xfrm>
          <a:off x="25793700" y="1816100"/>
          <a:ext cx="14408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2" name="Text Box 122" hidden="1">
          <a:extLst>
            <a:ext uri="{FF2B5EF4-FFF2-40B4-BE49-F238E27FC236}">
              <a16:creationId xmlns:a16="http://schemas.microsoft.com/office/drawing/2014/main" id="{43669CAA-ABA8-1C9E-0BF3-B0115EC5CF0D}"/>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368761" name="Text Box 121" hidden="1">
          <a:extLst>
            <a:ext uri="{FF2B5EF4-FFF2-40B4-BE49-F238E27FC236}">
              <a16:creationId xmlns:a16="http://schemas.microsoft.com/office/drawing/2014/main" id="{2DE5E9CD-654D-8084-330C-38FAC443F1C4}"/>
            </a:ext>
          </a:extLst>
        </xdr:cNvPr>
        <xdr:cNvSpPr txBox="1">
          <a:spLocks noChangeArrowheads="1"/>
        </xdr:cNvSpPr>
      </xdr:nvSpPr>
      <xdr:spPr bwMode="auto">
        <a:xfrm>
          <a:off x="4229100" y="12376150"/>
          <a:ext cx="307340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0" name="Text Box 120" hidden="1">
          <a:extLst>
            <a:ext uri="{FF2B5EF4-FFF2-40B4-BE49-F238E27FC236}">
              <a16:creationId xmlns:a16="http://schemas.microsoft.com/office/drawing/2014/main" id="{B86050CA-CED9-C334-F8A9-47ABF1CD1F56}"/>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368759" name="Text Box 119" hidden="1">
          <a:extLst>
            <a:ext uri="{FF2B5EF4-FFF2-40B4-BE49-F238E27FC236}">
              <a16:creationId xmlns:a16="http://schemas.microsoft.com/office/drawing/2014/main" id="{84494D00-6A7C-191A-793E-819A7B2F711B}"/>
            </a:ext>
          </a:extLst>
        </xdr:cNvPr>
        <xdr:cNvSpPr txBox="1">
          <a:spLocks noChangeArrowheads="1"/>
        </xdr:cNvSpPr>
      </xdr:nvSpPr>
      <xdr:spPr bwMode="auto">
        <a:xfrm>
          <a:off x="13163550" y="24333200"/>
          <a:ext cx="31623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368758" name="Text Box 118" hidden="1">
          <a:extLst>
            <a:ext uri="{FF2B5EF4-FFF2-40B4-BE49-F238E27FC236}">
              <a16:creationId xmlns:a16="http://schemas.microsoft.com/office/drawing/2014/main" id="{214CDFE1-E10C-F0C6-9E32-78F93D21D54C}"/>
            </a:ext>
          </a:extLst>
        </xdr:cNvPr>
        <xdr:cNvSpPr txBox="1">
          <a:spLocks noChangeArrowheads="1"/>
        </xdr:cNvSpPr>
      </xdr:nvSpPr>
      <xdr:spPr bwMode="auto">
        <a:xfrm>
          <a:off x="13779500" y="2857500"/>
          <a:ext cx="31559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368757" name="Text Box 117" hidden="1">
          <a:extLst>
            <a:ext uri="{FF2B5EF4-FFF2-40B4-BE49-F238E27FC236}">
              <a16:creationId xmlns:a16="http://schemas.microsoft.com/office/drawing/2014/main" id="{E982B5F0-B3D2-2933-9567-3F80C9C68823}"/>
            </a:ext>
          </a:extLst>
        </xdr:cNvPr>
        <xdr:cNvSpPr txBox="1">
          <a:spLocks noChangeArrowheads="1"/>
        </xdr:cNvSpPr>
      </xdr:nvSpPr>
      <xdr:spPr bwMode="auto">
        <a:xfrm>
          <a:off x="8743950" y="16490950"/>
          <a:ext cx="258445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368756" name="Text Box 116" hidden="1">
          <a:extLst>
            <a:ext uri="{FF2B5EF4-FFF2-40B4-BE49-F238E27FC236}">
              <a16:creationId xmlns:a16="http://schemas.microsoft.com/office/drawing/2014/main" id="{226760FB-0BFA-6BA1-8231-69990541FD15}"/>
            </a:ext>
          </a:extLst>
        </xdr:cNvPr>
        <xdr:cNvSpPr txBox="1">
          <a:spLocks noChangeArrowheads="1"/>
        </xdr:cNvSpPr>
      </xdr:nvSpPr>
      <xdr:spPr bwMode="auto">
        <a:xfrm>
          <a:off x="13735050" y="24333200"/>
          <a:ext cx="304800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55" name="Text Box 115" hidden="1">
          <a:extLst>
            <a:ext uri="{FF2B5EF4-FFF2-40B4-BE49-F238E27FC236}">
              <a16:creationId xmlns:a16="http://schemas.microsoft.com/office/drawing/2014/main" id="{C3F0C234-05BE-C0DA-BCA3-11A8FFD1C81E}"/>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368754" name="Text Box 114" hidden="1">
          <a:extLst>
            <a:ext uri="{FF2B5EF4-FFF2-40B4-BE49-F238E27FC236}">
              <a16:creationId xmlns:a16="http://schemas.microsoft.com/office/drawing/2014/main" id="{D6AE4E3A-3212-2CBA-C8CF-7C2D97988DF3}"/>
            </a:ext>
          </a:extLst>
        </xdr:cNvPr>
        <xdr:cNvSpPr txBox="1">
          <a:spLocks noChangeArrowheads="1"/>
        </xdr:cNvSpPr>
      </xdr:nvSpPr>
      <xdr:spPr bwMode="auto">
        <a:xfrm>
          <a:off x="3492500" y="17837150"/>
          <a:ext cx="320040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368753" name="Text Box 113" hidden="1">
          <a:extLst>
            <a:ext uri="{FF2B5EF4-FFF2-40B4-BE49-F238E27FC236}">
              <a16:creationId xmlns:a16="http://schemas.microsoft.com/office/drawing/2014/main" id="{1F0DDD8B-9AF6-47AE-DB2F-9C900D4E339D}"/>
            </a:ext>
          </a:extLst>
        </xdr:cNvPr>
        <xdr:cNvSpPr txBox="1">
          <a:spLocks noChangeArrowheads="1"/>
        </xdr:cNvSpPr>
      </xdr:nvSpPr>
      <xdr:spPr bwMode="auto">
        <a:xfrm>
          <a:off x="3492500" y="24333200"/>
          <a:ext cx="3200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368752" name="Text Box 112" hidden="1">
          <a:extLst>
            <a:ext uri="{FF2B5EF4-FFF2-40B4-BE49-F238E27FC236}">
              <a16:creationId xmlns:a16="http://schemas.microsoft.com/office/drawing/2014/main" id="{88B82A0F-96C6-B3A8-AB47-E28415F3CACD}"/>
            </a:ext>
          </a:extLst>
        </xdr:cNvPr>
        <xdr:cNvSpPr txBox="1">
          <a:spLocks noChangeArrowheads="1"/>
        </xdr:cNvSpPr>
      </xdr:nvSpPr>
      <xdr:spPr bwMode="auto">
        <a:xfrm>
          <a:off x="14878050" y="2901950"/>
          <a:ext cx="3048000" cy="504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51" name="Text Box 111" hidden="1">
          <a:extLst>
            <a:ext uri="{FF2B5EF4-FFF2-40B4-BE49-F238E27FC236}">
              <a16:creationId xmlns:a16="http://schemas.microsoft.com/office/drawing/2014/main" id="{26E9EB9A-204A-9FE0-ACE3-A0AA5D8D1C7C}"/>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50" name="Text Box 110" hidden="1">
          <a:extLst>
            <a:ext uri="{FF2B5EF4-FFF2-40B4-BE49-F238E27FC236}">
              <a16:creationId xmlns:a16="http://schemas.microsoft.com/office/drawing/2014/main" id="{F09DC28F-1F26-DA1C-5B94-773DF5F63488}"/>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368749" name="Text Box 109" hidden="1">
          <a:extLst>
            <a:ext uri="{FF2B5EF4-FFF2-40B4-BE49-F238E27FC236}">
              <a16:creationId xmlns:a16="http://schemas.microsoft.com/office/drawing/2014/main" id="{3BC6F178-8309-9990-E791-644E9C7607D6}"/>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700" name="Text Box 28" hidden="1">
          <a:extLst>
            <a:ext uri="{FF2B5EF4-FFF2-40B4-BE49-F238E27FC236}">
              <a16:creationId xmlns:a16="http://schemas.microsoft.com/office/drawing/2014/main" id="{6270E915-A22E-7F9B-824D-A6FACB15BD72}"/>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412699" name="Text Box 27" hidden="1">
          <a:extLst>
            <a:ext uri="{FF2B5EF4-FFF2-40B4-BE49-F238E27FC236}">
              <a16:creationId xmlns:a16="http://schemas.microsoft.com/office/drawing/2014/main" id="{2325AE60-51B2-E46E-98DA-513CD725C08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698" name="Text Box 26" hidden="1">
          <a:extLst>
            <a:ext uri="{FF2B5EF4-FFF2-40B4-BE49-F238E27FC236}">
              <a16:creationId xmlns:a16="http://schemas.microsoft.com/office/drawing/2014/main" id="{8A6E7D1A-DA9E-87AB-A1C3-0DE7CEAB352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412697" name="Text Box 25" hidden="1">
          <a:extLst>
            <a:ext uri="{FF2B5EF4-FFF2-40B4-BE49-F238E27FC236}">
              <a16:creationId xmlns:a16="http://schemas.microsoft.com/office/drawing/2014/main" id="{93B166EF-5858-D6BA-1888-48D1279653D2}"/>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412696" name="Text Box 24" hidden="1">
          <a:extLst>
            <a:ext uri="{FF2B5EF4-FFF2-40B4-BE49-F238E27FC236}">
              <a16:creationId xmlns:a16="http://schemas.microsoft.com/office/drawing/2014/main" id="{142F2791-9570-2062-0F16-DC513F047E2D}"/>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412695" name="Text Box 23" hidden="1">
          <a:extLst>
            <a:ext uri="{FF2B5EF4-FFF2-40B4-BE49-F238E27FC236}">
              <a16:creationId xmlns:a16="http://schemas.microsoft.com/office/drawing/2014/main" id="{F3CC6473-0A77-60B9-CCB1-34674EF8C5B4}"/>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412694" name="Text Box 22" hidden="1">
          <a:extLst>
            <a:ext uri="{FF2B5EF4-FFF2-40B4-BE49-F238E27FC236}">
              <a16:creationId xmlns:a16="http://schemas.microsoft.com/office/drawing/2014/main" id="{FC4C3EB9-3AF1-5A0A-19CB-89F4AD4C9C4B}"/>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93" name="Text Box 21" hidden="1">
          <a:extLst>
            <a:ext uri="{FF2B5EF4-FFF2-40B4-BE49-F238E27FC236}">
              <a16:creationId xmlns:a16="http://schemas.microsoft.com/office/drawing/2014/main" id="{1E04CB86-2D91-A48A-5E18-E5D575CC779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97</xdr:row>
      <xdr:rowOff>0</xdr:rowOff>
    </xdr:to>
    <xdr:sp macro="" textlink="">
      <xdr:nvSpPr>
        <xdr:cNvPr id="412692" name="Text Box 20" hidden="1">
          <a:extLst>
            <a:ext uri="{FF2B5EF4-FFF2-40B4-BE49-F238E27FC236}">
              <a16:creationId xmlns:a16="http://schemas.microsoft.com/office/drawing/2014/main" id="{B6206875-ECC4-5570-7C6D-40FC84694F77}"/>
            </a:ext>
          </a:extLst>
        </xdr:cNvPr>
        <xdr:cNvSpPr txBox="1">
          <a:spLocks noChangeArrowheads="1"/>
        </xdr:cNvSpPr>
      </xdr:nvSpPr>
      <xdr:spPr bwMode="auto">
        <a:xfrm>
          <a:off x="349250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412691" name="Text Box 19" hidden="1">
          <a:extLst>
            <a:ext uri="{FF2B5EF4-FFF2-40B4-BE49-F238E27FC236}">
              <a16:creationId xmlns:a16="http://schemas.microsoft.com/office/drawing/2014/main" id="{754744DF-89C0-DCCE-BBC7-3872A5A0C6F1}"/>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412690" name="Text Box 18" hidden="1">
          <a:extLst>
            <a:ext uri="{FF2B5EF4-FFF2-40B4-BE49-F238E27FC236}">
              <a16:creationId xmlns:a16="http://schemas.microsoft.com/office/drawing/2014/main" id="{7006B5B3-E03D-2F39-93F0-E1E11940467C}"/>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89" name="Text Box 17" hidden="1">
          <a:extLst>
            <a:ext uri="{FF2B5EF4-FFF2-40B4-BE49-F238E27FC236}">
              <a16:creationId xmlns:a16="http://schemas.microsoft.com/office/drawing/2014/main" id="{896A9DC0-EE8D-88E6-EB6B-D9963137C8C1}"/>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88" name="Text Box 16" hidden="1">
          <a:extLst>
            <a:ext uri="{FF2B5EF4-FFF2-40B4-BE49-F238E27FC236}">
              <a16:creationId xmlns:a16="http://schemas.microsoft.com/office/drawing/2014/main" id="{99EA0425-D31E-3E28-5B1E-63E06E579E1A}"/>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44</xdr:col>
      <xdr:colOff>44450</xdr:colOff>
      <xdr:row>27</xdr:row>
      <xdr:rowOff>0</xdr:rowOff>
    </xdr:to>
    <xdr:sp macro="" textlink="">
      <xdr:nvSpPr>
        <xdr:cNvPr id="412687" name="Text Box 15" hidden="1">
          <a:extLst>
            <a:ext uri="{FF2B5EF4-FFF2-40B4-BE49-F238E27FC236}">
              <a16:creationId xmlns:a16="http://schemas.microsoft.com/office/drawing/2014/main" id="{82E3443A-DA5A-BB90-F36E-D7544F12C342}"/>
            </a:ext>
          </a:extLst>
        </xdr:cNvPr>
        <xdr:cNvSpPr txBox="1">
          <a:spLocks noChangeArrowheads="1"/>
        </xdr:cNvSpPr>
      </xdr:nvSpPr>
      <xdr:spPr bwMode="auto">
        <a:xfrm>
          <a:off x="2579370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59530</xdr:colOff>
      <xdr:row>0</xdr:row>
      <xdr:rowOff>35718</xdr:rowOff>
    </xdr:from>
    <xdr:to>
      <xdr:col>1</xdr:col>
      <xdr:colOff>0</xdr:colOff>
      <xdr:row>2</xdr:row>
      <xdr:rowOff>190499</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20B7557-3AEA-47C8-8BD6-683578EE284B}"/>
            </a:ext>
          </a:extLst>
        </xdr:cNvPr>
        <xdr:cNvSpPr/>
      </xdr:nvSpPr>
      <xdr:spPr>
        <a:xfrm>
          <a:off x="59530" y="35718"/>
          <a:ext cx="1238251" cy="51196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4" name="Text Box 42" hidden="1">
          <a:extLst>
            <a:ext uri="{FF2B5EF4-FFF2-40B4-BE49-F238E27FC236}">
              <a16:creationId xmlns:a16="http://schemas.microsoft.com/office/drawing/2014/main" id="{19D86F06-3D2E-AF02-CA6C-DD0470A568E8}"/>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13" name="Text Box 41" hidden="1">
          <a:extLst>
            <a:ext uri="{FF2B5EF4-FFF2-40B4-BE49-F238E27FC236}">
              <a16:creationId xmlns:a16="http://schemas.microsoft.com/office/drawing/2014/main" id="{D9D5D6C6-D143-6151-1153-D58B2AB2990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2" name="Text Box 40" hidden="1">
          <a:extLst>
            <a:ext uri="{FF2B5EF4-FFF2-40B4-BE49-F238E27FC236}">
              <a16:creationId xmlns:a16="http://schemas.microsoft.com/office/drawing/2014/main" id="{EA29829D-EE9E-DBEB-74D6-1A280D28074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11" name="Text Box 39" hidden="1">
          <a:extLst>
            <a:ext uri="{FF2B5EF4-FFF2-40B4-BE49-F238E27FC236}">
              <a16:creationId xmlns:a16="http://schemas.microsoft.com/office/drawing/2014/main" id="{8526199C-D4B8-FDD2-6C75-C7408CFE0C94}"/>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10" name="Text Box 38" hidden="1">
          <a:extLst>
            <a:ext uri="{FF2B5EF4-FFF2-40B4-BE49-F238E27FC236}">
              <a16:creationId xmlns:a16="http://schemas.microsoft.com/office/drawing/2014/main" id="{B7E82274-9BA8-37DF-7D29-9325D7BD17B3}"/>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09" name="Text Box 37" hidden="1">
          <a:extLst>
            <a:ext uri="{FF2B5EF4-FFF2-40B4-BE49-F238E27FC236}">
              <a16:creationId xmlns:a16="http://schemas.microsoft.com/office/drawing/2014/main" id="{A5FC7B12-7606-E9C7-369D-7D6A91EE6D03}"/>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08" name="Text Box 36" hidden="1">
          <a:extLst>
            <a:ext uri="{FF2B5EF4-FFF2-40B4-BE49-F238E27FC236}">
              <a16:creationId xmlns:a16="http://schemas.microsoft.com/office/drawing/2014/main" id="{CB5564AF-540D-793B-3FEB-552C8A82C4D9}"/>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07" name="Text Box 35" hidden="1">
          <a:extLst>
            <a:ext uri="{FF2B5EF4-FFF2-40B4-BE49-F238E27FC236}">
              <a16:creationId xmlns:a16="http://schemas.microsoft.com/office/drawing/2014/main" id="{AECCA7C8-575C-82D7-1856-CA179C8D056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06" name="Text Box 34" hidden="1">
          <a:extLst>
            <a:ext uri="{FF2B5EF4-FFF2-40B4-BE49-F238E27FC236}">
              <a16:creationId xmlns:a16="http://schemas.microsoft.com/office/drawing/2014/main" id="{4A1E24F1-F0F7-C308-773F-2DAA900D6FD8}"/>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05" name="Text Box 33" hidden="1">
          <a:extLst>
            <a:ext uri="{FF2B5EF4-FFF2-40B4-BE49-F238E27FC236}">
              <a16:creationId xmlns:a16="http://schemas.microsoft.com/office/drawing/2014/main" id="{093275CE-445E-CA7D-C257-B5784D130B9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04" name="Text Box 32" hidden="1">
          <a:extLst>
            <a:ext uri="{FF2B5EF4-FFF2-40B4-BE49-F238E27FC236}">
              <a16:creationId xmlns:a16="http://schemas.microsoft.com/office/drawing/2014/main" id="{88BBF323-4505-FE11-8F9C-7BE31848543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03" name="Text Box 31" hidden="1">
          <a:extLst>
            <a:ext uri="{FF2B5EF4-FFF2-40B4-BE49-F238E27FC236}">
              <a16:creationId xmlns:a16="http://schemas.microsoft.com/office/drawing/2014/main" id="{5028EA52-4D47-D2A5-FEB6-D43F76040194}"/>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02" name="Text Box 30" hidden="1">
          <a:extLst>
            <a:ext uri="{FF2B5EF4-FFF2-40B4-BE49-F238E27FC236}">
              <a16:creationId xmlns:a16="http://schemas.microsoft.com/office/drawing/2014/main" id="{823A8A38-1AD3-3C36-BFDD-C3AB4391DE07}"/>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01" name="Text Box 29" hidden="1">
          <a:extLst>
            <a:ext uri="{FF2B5EF4-FFF2-40B4-BE49-F238E27FC236}">
              <a16:creationId xmlns:a16="http://schemas.microsoft.com/office/drawing/2014/main" id="{056FB903-343E-43D3-580E-4ADE46264DA0}"/>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8" name="Text Box 56" hidden="1">
          <a:extLst>
            <a:ext uri="{FF2B5EF4-FFF2-40B4-BE49-F238E27FC236}">
              <a16:creationId xmlns:a16="http://schemas.microsoft.com/office/drawing/2014/main" id="{06AB6A47-A55E-B66B-A59E-CDE7A9D5991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27" name="Text Box 55" hidden="1">
          <a:extLst>
            <a:ext uri="{FF2B5EF4-FFF2-40B4-BE49-F238E27FC236}">
              <a16:creationId xmlns:a16="http://schemas.microsoft.com/office/drawing/2014/main" id="{0CF22EBF-985F-2DB8-0A7D-6767902EE7F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6" name="Text Box 54" hidden="1">
          <a:extLst>
            <a:ext uri="{FF2B5EF4-FFF2-40B4-BE49-F238E27FC236}">
              <a16:creationId xmlns:a16="http://schemas.microsoft.com/office/drawing/2014/main" id="{E99287A5-CAD5-28D6-5C4F-D79C67B0D32C}"/>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25" name="Text Box 53" hidden="1">
          <a:extLst>
            <a:ext uri="{FF2B5EF4-FFF2-40B4-BE49-F238E27FC236}">
              <a16:creationId xmlns:a16="http://schemas.microsoft.com/office/drawing/2014/main" id="{9863D72B-6D41-B748-E6D0-3C92F97E1772}"/>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24" name="Text Box 52" hidden="1">
          <a:extLst>
            <a:ext uri="{FF2B5EF4-FFF2-40B4-BE49-F238E27FC236}">
              <a16:creationId xmlns:a16="http://schemas.microsoft.com/office/drawing/2014/main" id="{889EFD85-B283-F15B-CFEC-36D68318FF2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23" name="Text Box 51" hidden="1">
          <a:extLst>
            <a:ext uri="{FF2B5EF4-FFF2-40B4-BE49-F238E27FC236}">
              <a16:creationId xmlns:a16="http://schemas.microsoft.com/office/drawing/2014/main" id="{6690ED45-A7C4-89B4-FB5E-9CB209A5536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22" name="Text Box 50" hidden="1">
          <a:extLst>
            <a:ext uri="{FF2B5EF4-FFF2-40B4-BE49-F238E27FC236}">
              <a16:creationId xmlns:a16="http://schemas.microsoft.com/office/drawing/2014/main" id="{BC716C21-CCA4-F36D-939E-49BDCB38A490}"/>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21" name="Text Box 49" hidden="1">
          <a:extLst>
            <a:ext uri="{FF2B5EF4-FFF2-40B4-BE49-F238E27FC236}">
              <a16:creationId xmlns:a16="http://schemas.microsoft.com/office/drawing/2014/main" id="{A682DEB7-D91B-A850-4791-47CD828FF471}"/>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20" name="Text Box 48" hidden="1">
          <a:extLst>
            <a:ext uri="{FF2B5EF4-FFF2-40B4-BE49-F238E27FC236}">
              <a16:creationId xmlns:a16="http://schemas.microsoft.com/office/drawing/2014/main" id="{0FFEE0E7-F047-A909-E3EF-4B52E38A4E7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19" name="Text Box 47" hidden="1">
          <a:extLst>
            <a:ext uri="{FF2B5EF4-FFF2-40B4-BE49-F238E27FC236}">
              <a16:creationId xmlns:a16="http://schemas.microsoft.com/office/drawing/2014/main" id="{022B37BE-019D-E6D4-06CF-564BFF08239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18" name="Text Box 46" hidden="1">
          <a:extLst>
            <a:ext uri="{FF2B5EF4-FFF2-40B4-BE49-F238E27FC236}">
              <a16:creationId xmlns:a16="http://schemas.microsoft.com/office/drawing/2014/main" id="{0B046501-C9E2-B480-4742-7A4F5F839DFA}"/>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17" name="Text Box 45" hidden="1">
          <a:extLst>
            <a:ext uri="{FF2B5EF4-FFF2-40B4-BE49-F238E27FC236}">
              <a16:creationId xmlns:a16="http://schemas.microsoft.com/office/drawing/2014/main" id="{0384889D-47C5-C063-4F45-147F5567AE9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16" name="Text Box 44" hidden="1">
          <a:extLst>
            <a:ext uri="{FF2B5EF4-FFF2-40B4-BE49-F238E27FC236}">
              <a16:creationId xmlns:a16="http://schemas.microsoft.com/office/drawing/2014/main" id="{0F786E53-43DF-8BD1-C55B-B3F9890DCE90}"/>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15" name="Text Box 43" hidden="1">
          <a:extLst>
            <a:ext uri="{FF2B5EF4-FFF2-40B4-BE49-F238E27FC236}">
              <a16:creationId xmlns:a16="http://schemas.microsoft.com/office/drawing/2014/main" id="{DB269045-1D05-3B11-894E-572195C49411}"/>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6" name="Text Box 84" hidden="1">
          <a:extLst>
            <a:ext uri="{FF2B5EF4-FFF2-40B4-BE49-F238E27FC236}">
              <a16:creationId xmlns:a16="http://schemas.microsoft.com/office/drawing/2014/main" id="{6212C5CE-8BE3-1E9D-ACBD-83682A5A444A}"/>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55" name="Text Box 83" hidden="1">
          <a:extLst>
            <a:ext uri="{FF2B5EF4-FFF2-40B4-BE49-F238E27FC236}">
              <a16:creationId xmlns:a16="http://schemas.microsoft.com/office/drawing/2014/main" id="{E31E8F15-14A9-472F-EB99-84C64FAD8584}"/>
            </a:ext>
          </a:extLst>
        </xdr:cNvPr>
        <xdr:cNvSpPr txBox="1">
          <a:spLocks noChangeArrowheads="1"/>
        </xdr:cNvSpPr>
      </xdr:nvSpPr>
      <xdr:spPr bwMode="auto">
        <a:xfrm>
          <a:off x="4927600" y="12376150"/>
          <a:ext cx="30797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4" name="Text Box 82" hidden="1">
          <a:extLst>
            <a:ext uri="{FF2B5EF4-FFF2-40B4-BE49-F238E27FC236}">
              <a16:creationId xmlns:a16="http://schemas.microsoft.com/office/drawing/2014/main" id="{D64FF335-EF63-511B-F31F-B1124601359D}"/>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53" name="Text Box 81" hidden="1">
          <a:extLst>
            <a:ext uri="{FF2B5EF4-FFF2-40B4-BE49-F238E27FC236}">
              <a16:creationId xmlns:a16="http://schemas.microsoft.com/office/drawing/2014/main" id="{C8C4B381-6C85-3CB2-F873-75023C2C828A}"/>
            </a:ext>
          </a:extLst>
        </xdr:cNvPr>
        <xdr:cNvSpPr txBox="1">
          <a:spLocks noChangeArrowheads="1"/>
        </xdr:cNvSpPr>
      </xdr:nvSpPr>
      <xdr:spPr bwMode="auto">
        <a:xfrm>
          <a:off x="13862050" y="24326850"/>
          <a:ext cx="3168650" cy="360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52" name="Text Box 80" hidden="1">
          <a:extLst>
            <a:ext uri="{FF2B5EF4-FFF2-40B4-BE49-F238E27FC236}">
              <a16:creationId xmlns:a16="http://schemas.microsoft.com/office/drawing/2014/main" id="{C31BBC40-3EC3-BD43-DD55-2A2B038A17B9}"/>
            </a:ext>
          </a:extLst>
        </xdr:cNvPr>
        <xdr:cNvSpPr txBox="1">
          <a:spLocks noChangeArrowheads="1"/>
        </xdr:cNvSpPr>
      </xdr:nvSpPr>
      <xdr:spPr bwMode="auto">
        <a:xfrm>
          <a:off x="14478000" y="2857500"/>
          <a:ext cx="316230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51" name="Text Box 79" hidden="1">
          <a:extLst>
            <a:ext uri="{FF2B5EF4-FFF2-40B4-BE49-F238E27FC236}">
              <a16:creationId xmlns:a16="http://schemas.microsoft.com/office/drawing/2014/main" id="{ABE9FB8F-2922-7B08-6689-6D6124E8631C}"/>
            </a:ext>
          </a:extLst>
        </xdr:cNvPr>
        <xdr:cNvSpPr txBox="1">
          <a:spLocks noChangeArrowheads="1"/>
        </xdr:cNvSpPr>
      </xdr:nvSpPr>
      <xdr:spPr bwMode="auto">
        <a:xfrm>
          <a:off x="9442450" y="16490950"/>
          <a:ext cx="259080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50" name="Text Box 78" hidden="1">
          <a:extLst>
            <a:ext uri="{FF2B5EF4-FFF2-40B4-BE49-F238E27FC236}">
              <a16:creationId xmlns:a16="http://schemas.microsoft.com/office/drawing/2014/main" id="{97FBA88F-1CAA-5A2D-450C-DB88672064E1}"/>
            </a:ext>
          </a:extLst>
        </xdr:cNvPr>
        <xdr:cNvSpPr txBox="1">
          <a:spLocks noChangeArrowheads="1"/>
        </xdr:cNvSpPr>
      </xdr:nvSpPr>
      <xdr:spPr bwMode="auto">
        <a:xfrm>
          <a:off x="14439900" y="24326850"/>
          <a:ext cx="3048000" cy="364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49" name="Text Box 77" hidden="1">
          <a:extLst>
            <a:ext uri="{FF2B5EF4-FFF2-40B4-BE49-F238E27FC236}">
              <a16:creationId xmlns:a16="http://schemas.microsoft.com/office/drawing/2014/main" id="{481107F4-9308-1A52-4F74-B02F7F1651EB}"/>
            </a:ext>
          </a:extLst>
        </xdr:cNvPr>
        <xdr:cNvSpPr txBox="1">
          <a:spLocks noChangeArrowheads="1"/>
        </xdr:cNvSpPr>
      </xdr:nvSpPr>
      <xdr:spPr bwMode="auto">
        <a:xfrm>
          <a:off x="940435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48" name="Text Box 76" hidden="1">
          <a:extLst>
            <a:ext uri="{FF2B5EF4-FFF2-40B4-BE49-F238E27FC236}">
              <a16:creationId xmlns:a16="http://schemas.microsoft.com/office/drawing/2014/main" id="{A82CA80C-E860-9BBD-1ED8-951EB79E73D5}"/>
            </a:ext>
          </a:extLst>
        </xdr:cNvPr>
        <xdr:cNvSpPr txBox="1">
          <a:spLocks noChangeArrowheads="1"/>
        </xdr:cNvSpPr>
      </xdr:nvSpPr>
      <xdr:spPr bwMode="auto">
        <a:xfrm>
          <a:off x="4197350" y="17837150"/>
          <a:ext cx="3194050" cy="453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47" name="Text Box 75" hidden="1">
          <a:extLst>
            <a:ext uri="{FF2B5EF4-FFF2-40B4-BE49-F238E27FC236}">
              <a16:creationId xmlns:a16="http://schemas.microsoft.com/office/drawing/2014/main" id="{135D5A31-DACD-E91C-404E-B82D193DEE30}"/>
            </a:ext>
          </a:extLst>
        </xdr:cNvPr>
        <xdr:cNvSpPr txBox="1">
          <a:spLocks noChangeArrowheads="1"/>
        </xdr:cNvSpPr>
      </xdr:nvSpPr>
      <xdr:spPr bwMode="auto">
        <a:xfrm>
          <a:off x="4197350" y="24326850"/>
          <a:ext cx="31940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46" name="Text Box 74" hidden="1">
          <a:extLst>
            <a:ext uri="{FF2B5EF4-FFF2-40B4-BE49-F238E27FC236}">
              <a16:creationId xmlns:a16="http://schemas.microsoft.com/office/drawing/2014/main" id="{5F3034F0-A3A8-D9EF-8A83-312C3C8CDBE5}"/>
            </a:ext>
          </a:extLst>
        </xdr:cNvPr>
        <xdr:cNvSpPr txBox="1">
          <a:spLocks noChangeArrowheads="1"/>
        </xdr:cNvSpPr>
      </xdr:nvSpPr>
      <xdr:spPr bwMode="auto">
        <a:xfrm>
          <a:off x="15582900" y="2895600"/>
          <a:ext cx="3048000" cy="505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45" name="Text Box 73" hidden="1">
          <a:extLst>
            <a:ext uri="{FF2B5EF4-FFF2-40B4-BE49-F238E27FC236}">
              <a16:creationId xmlns:a16="http://schemas.microsoft.com/office/drawing/2014/main" id="{44060293-FEFD-B36B-450F-F7E36EFFFC8E}"/>
            </a:ext>
          </a:extLst>
        </xdr:cNvPr>
        <xdr:cNvSpPr txBox="1">
          <a:spLocks noChangeArrowheads="1"/>
        </xdr:cNvSpPr>
      </xdr:nvSpPr>
      <xdr:spPr bwMode="auto">
        <a:xfrm>
          <a:off x="2245995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44" name="Text Box 72" hidden="1">
          <a:extLst>
            <a:ext uri="{FF2B5EF4-FFF2-40B4-BE49-F238E27FC236}">
              <a16:creationId xmlns:a16="http://schemas.microsoft.com/office/drawing/2014/main" id="{80D320A2-133C-E5E0-8804-E5BDD44377CE}"/>
            </a:ext>
          </a:extLst>
        </xdr:cNvPr>
        <xdr:cNvSpPr txBox="1">
          <a:spLocks noChangeArrowheads="1"/>
        </xdr:cNvSpPr>
      </xdr:nvSpPr>
      <xdr:spPr bwMode="auto">
        <a:xfrm>
          <a:off x="2245995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43" name="Text Box 71" hidden="1">
          <a:extLst>
            <a:ext uri="{FF2B5EF4-FFF2-40B4-BE49-F238E27FC236}">
              <a16:creationId xmlns:a16="http://schemas.microsoft.com/office/drawing/2014/main" id="{8DF9F1A3-4ECA-7A3D-C018-70161BD9FA44}"/>
            </a:ext>
          </a:extLst>
        </xdr:cNvPr>
        <xdr:cNvSpPr txBox="1">
          <a:spLocks noChangeArrowheads="1"/>
        </xdr:cNvSpPr>
      </xdr:nvSpPr>
      <xdr:spPr bwMode="auto">
        <a:xfrm>
          <a:off x="26498550" y="1816100"/>
          <a:ext cx="13646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2" name="Text Box 70" hidden="1">
          <a:extLst>
            <a:ext uri="{FF2B5EF4-FFF2-40B4-BE49-F238E27FC236}">
              <a16:creationId xmlns:a16="http://schemas.microsoft.com/office/drawing/2014/main" id="{597301B4-9D1B-2B40-C476-A9AFBD43D2A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41" name="Text Box 69" hidden="1">
          <a:extLst>
            <a:ext uri="{FF2B5EF4-FFF2-40B4-BE49-F238E27FC236}">
              <a16:creationId xmlns:a16="http://schemas.microsoft.com/office/drawing/2014/main" id="{22D10039-5A6A-F2D0-777D-F6D5D94ED61D}"/>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0" name="Text Box 68" hidden="1">
          <a:extLst>
            <a:ext uri="{FF2B5EF4-FFF2-40B4-BE49-F238E27FC236}">
              <a16:creationId xmlns:a16="http://schemas.microsoft.com/office/drawing/2014/main" id="{D40ED4FC-06CC-9596-23F7-26E4B29D188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39" name="Text Box 67" hidden="1">
          <a:extLst>
            <a:ext uri="{FF2B5EF4-FFF2-40B4-BE49-F238E27FC236}">
              <a16:creationId xmlns:a16="http://schemas.microsoft.com/office/drawing/2014/main" id="{8EEE1806-6CAB-8D6D-8B13-22A563083BA5}"/>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38" name="Text Box 66" hidden="1">
          <a:extLst>
            <a:ext uri="{FF2B5EF4-FFF2-40B4-BE49-F238E27FC236}">
              <a16:creationId xmlns:a16="http://schemas.microsoft.com/office/drawing/2014/main" id="{084BEE8B-4224-8FE0-2AB1-892226FEE68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37" name="Text Box 65" hidden="1">
          <a:extLst>
            <a:ext uri="{FF2B5EF4-FFF2-40B4-BE49-F238E27FC236}">
              <a16:creationId xmlns:a16="http://schemas.microsoft.com/office/drawing/2014/main" id="{49B84E9D-9EF0-5CDC-50D3-24418EF7C690}"/>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36" name="Text Box 64" hidden="1">
          <a:extLst>
            <a:ext uri="{FF2B5EF4-FFF2-40B4-BE49-F238E27FC236}">
              <a16:creationId xmlns:a16="http://schemas.microsoft.com/office/drawing/2014/main" id="{CB57DAAE-EA71-803C-D543-3C8C368A14E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35" name="Text Box 63" hidden="1">
          <a:extLst>
            <a:ext uri="{FF2B5EF4-FFF2-40B4-BE49-F238E27FC236}">
              <a16:creationId xmlns:a16="http://schemas.microsoft.com/office/drawing/2014/main" id="{092E4330-B6E6-F598-72DD-629DCF90643C}"/>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34" name="Text Box 62" hidden="1">
          <a:extLst>
            <a:ext uri="{FF2B5EF4-FFF2-40B4-BE49-F238E27FC236}">
              <a16:creationId xmlns:a16="http://schemas.microsoft.com/office/drawing/2014/main" id="{F6EED5EE-90E9-C9C1-D256-5D8E9AF2999A}"/>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33" name="Text Box 61" hidden="1">
          <a:extLst>
            <a:ext uri="{FF2B5EF4-FFF2-40B4-BE49-F238E27FC236}">
              <a16:creationId xmlns:a16="http://schemas.microsoft.com/office/drawing/2014/main" id="{B799BB0D-C9FE-C562-6343-1DDD430E4BD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32" name="Text Box 60" hidden="1">
          <a:extLst>
            <a:ext uri="{FF2B5EF4-FFF2-40B4-BE49-F238E27FC236}">
              <a16:creationId xmlns:a16="http://schemas.microsoft.com/office/drawing/2014/main" id="{E28C316E-E398-3ABD-4763-C8667A0E686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31" name="Text Box 59" hidden="1">
          <a:extLst>
            <a:ext uri="{FF2B5EF4-FFF2-40B4-BE49-F238E27FC236}">
              <a16:creationId xmlns:a16="http://schemas.microsoft.com/office/drawing/2014/main" id="{0EF6EEF8-5601-B4C8-A296-57E771DE5DFD}"/>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30" name="Text Box 58" hidden="1">
          <a:extLst>
            <a:ext uri="{FF2B5EF4-FFF2-40B4-BE49-F238E27FC236}">
              <a16:creationId xmlns:a16="http://schemas.microsoft.com/office/drawing/2014/main" id="{EFD234E4-2825-CDA1-D8AE-CB33C7668578}"/>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29" name="Text Box 57" hidden="1">
          <a:extLst>
            <a:ext uri="{FF2B5EF4-FFF2-40B4-BE49-F238E27FC236}">
              <a16:creationId xmlns:a16="http://schemas.microsoft.com/office/drawing/2014/main" id="{8A3E2DD4-863E-70DF-C8A3-5BD582663B3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70" name="Text Box 98" hidden="1">
          <a:extLst>
            <a:ext uri="{FF2B5EF4-FFF2-40B4-BE49-F238E27FC236}">
              <a16:creationId xmlns:a16="http://schemas.microsoft.com/office/drawing/2014/main" id="{5DEB8A32-6C76-6044-023E-60D013F77851}"/>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69" name="Text Box 97" hidden="1">
          <a:extLst>
            <a:ext uri="{FF2B5EF4-FFF2-40B4-BE49-F238E27FC236}">
              <a16:creationId xmlns:a16="http://schemas.microsoft.com/office/drawing/2014/main" id="{5E98F197-E9E7-5E21-1AB0-E8CA2F293C56}"/>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68" name="Text Box 96" hidden="1">
          <a:extLst>
            <a:ext uri="{FF2B5EF4-FFF2-40B4-BE49-F238E27FC236}">
              <a16:creationId xmlns:a16="http://schemas.microsoft.com/office/drawing/2014/main" id="{E6628914-BEE7-EF21-25D5-5B732B3F46A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67" name="Text Box 95" hidden="1">
          <a:extLst>
            <a:ext uri="{FF2B5EF4-FFF2-40B4-BE49-F238E27FC236}">
              <a16:creationId xmlns:a16="http://schemas.microsoft.com/office/drawing/2014/main" id="{65A7375C-2768-82A4-D363-36F4DAF4C307}"/>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66" name="Text Box 94" hidden="1">
          <a:extLst>
            <a:ext uri="{FF2B5EF4-FFF2-40B4-BE49-F238E27FC236}">
              <a16:creationId xmlns:a16="http://schemas.microsoft.com/office/drawing/2014/main" id="{D61C3149-DE1C-3936-D98D-824ADD66B3A5}"/>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65" name="Text Box 93" hidden="1">
          <a:extLst>
            <a:ext uri="{FF2B5EF4-FFF2-40B4-BE49-F238E27FC236}">
              <a16:creationId xmlns:a16="http://schemas.microsoft.com/office/drawing/2014/main" id="{71898A88-376C-5B92-A422-F81E463DDC0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64" name="Text Box 92" hidden="1">
          <a:extLst>
            <a:ext uri="{FF2B5EF4-FFF2-40B4-BE49-F238E27FC236}">
              <a16:creationId xmlns:a16="http://schemas.microsoft.com/office/drawing/2014/main" id="{34481C70-EFD5-BB2E-DE0E-59719950C1A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63" name="Text Box 91" hidden="1">
          <a:extLst>
            <a:ext uri="{FF2B5EF4-FFF2-40B4-BE49-F238E27FC236}">
              <a16:creationId xmlns:a16="http://schemas.microsoft.com/office/drawing/2014/main" id="{EFB428AD-690D-CF43-38CD-C3FBDE573FFE}"/>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62" name="Text Box 90" hidden="1">
          <a:extLst>
            <a:ext uri="{FF2B5EF4-FFF2-40B4-BE49-F238E27FC236}">
              <a16:creationId xmlns:a16="http://schemas.microsoft.com/office/drawing/2014/main" id="{6AA8A9C3-CBC8-F81C-CBED-5812BB20CFB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61" name="Text Box 89" hidden="1">
          <a:extLst>
            <a:ext uri="{FF2B5EF4-FFF2-40B4-BE49-F238E27FC236}">
              <a16:creationId xmlns:a16="http://schemas.microsoft.com/office/drawing/2014/main" id="{A129755B-13C8-2EA9-9C37-3E7854CD75C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60" name="Text Box 88" hidden="1">
          <a:extLst>
            <a:ext uri="{FF2B5EF4-FFF2-40B4-BE49-F238E27FC236}">
              <a16:creationId xmlns:a16="http://schemas.microsoft.com/office/drawing/2014/main" id="{413F73FD-167A-2308-3B9A-1BD861130B3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59" name="Text Box 87" hidden="1">
          <a:extLst>
            <a:ext uri="{FF2B5EF4-FFF2-40B4-BE49-F238E27FC236}">
              <a16:creationId xmlns:a16="http://schemas.microsoft.com/office/drawing/2014/main" id="{0174F9AE-8381-77FD-66B4-01731622C0F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58" name="Text Box 86" hidden="1">
          <a:extLst>
            <a:ext uri="{FF2B5EF4-FFF2-40B4-BE49-F238E27FC236}">
              <a16:creationId xmlns:a16="http://schemas.microsoft.com/office/drawing/2014/main" id="{F6B44331-24CB-56CE-327B-09C15999271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57" name="Text Box 85" hidden="1">
          <a:extLst>
            <a:ext uri="{FF2B5EF4-FFF2-40B4-BE49-F238E27FC236}">
              <a16:creationId xmlns:a16="http://schemas.microsoft.com/office/drawing/2014/main" id="{79A85BC9-D6D3-2A2B-78ED-16463EB6890C}"/>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4" name="Text Box 112" hidden="1">
          <a:extLst>
            <a:ext uri="{FF2B5EF4-FFF2-40B4-BE49-F238E27FC236}">
              <a16:creationId xmlns:a16="http://schemas.microsoft.com/office/drawing/2014/main" id="{990D7284-0C93-B250-A025-560B1115C9D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83" name="Text Box 111" hidden="1">
          <a:extLst>
            <a:ext uri="{FF2B5EF4-FFF2-40B4-BE49-F238E27FC236}">
              <a16:creationId xmlns:a16="http://schemas.microsoft.com/office/drawing/2014/main" id="{89934515-8FD3-5386-2727-F793ED607561}"/>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2" name="Text Box 110" hidden="1">
          <a:extLst>
            <a:ext uri="{FF2B5EF4-FFF2-40B4-BE49-F238E27FC236}">
              <a16:creationId xmlns:a16="http://schemas.microsoft.com/office/drawing/2014/main" id="{817D0121-A7C4-5C9C-5A6F-E6B7383A6123}"/>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81" name="Text Box 109" hidden="1">
          <a:extLst>
            <a:ext uri="{FF2B5EF4-FFF2-40B4-BE49-F238E27FC236}">
              <a16:creationId xmlns:a16="http://schemas.microsoft.com/office/drawing/2014/main" id="{C9541C7A-973B-0E70-27D8-AF0A706D5F4B}"/>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80" name="Text Box 108" hidden="1">
          <a:extLst>
            <a:ext uri="{FF2B5EF4-FFF2-40B4-BE49-F238E27FC236}">
              <a16:creationId xmlns:a16="http://schemas.microsoft.com/office/drawing/2014/main" id="{0491B5FB-F91B-6F77-E12A-288A0DA6C04A}"/>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79" name="Text Box 107" hidden="1">
          <a:extLst>
            <a:ext uri="{FF2B5EF4-FFF2-40B4-BE49-F238E27FC236}">
              <a16:creationId xmlns:a16="http://schemas.microsoft.com/office/drawing/2014/main" id="{C110F295-A5B4-E881-2427-A0B039491E96}"/>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78" name="Text Box 106" hidden="1">
          <a:extLst>
            <a:ext uri="{FF2B5EF4-FFF2-40B4-BE49-F238E27FC236}">
              <a16:creationId xmlns:a16="http://schemas.microsoft.com/office/drawing/2014/main" id="{385BDAE1-CF03-117B-7F2E-3823D17E5A3D}"/>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77" name="Text Box 105" hidden="1">
          <a:extLst>
            <a:ext uri="{FF2B5EF4-FFF2-40B4-BE49-F238E27FC236}">
              <a16:creationId xmlns:a16="http://schemas.microsoft.com/office/drawing/2014/main" id="{AE1CF435-4121-3AA0-C949-E932E70158B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76" name="Text Box 104" hidden="1">
          <a:extLst>
            <a:ext uri="{FF2B5EF4-FFF2-40B4-BE49-F238E27FC236}">
              <a16:creationId xmlns:a16="http://schemas.microsoft.com/office/drawing/2014/main" id="{0E8510A5-A003-2FF4-5335-4E45EDC1683C}"/>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75" name="Text Box 103" hidden="1">
          <a:extLst>
            <a:ext uri="{FF2B5EF4-FFF2-40B4-BE49-F238E27FC236}">
              <a16:creationId xmlns:a16="http://schemas.microsoft.com/office/drawing/2014/main" id="{0E612E0A-FB81-8DA4-1CD6-4F920911CEA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74" name="Text Box 102" hidden="1">
          <a:extLst>
            <a:ext uri="{FF2B5EF4-FFF2-40B4-BE49-F238E27FC236}">
              <a16:creationId xmlns:a16="http://schemas.microsoft.com/office/drawing/2014/main" id="{E3C6568A-3EC9-1566-A040-D95532579CE7}"/>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73" name="Text Box 101" hidden="1">
          <a:extLst>
            <a:ext uri="{FF2B5EF4-FFF2-40B4-BE49-F238E27FC236}">
              <a16:creationId xmlns:a16="http://schemas.microsoft.com/office/drawing/2014/main" id="{9EF9CF80-78E9-158F-C83D-9837FDDD56C6}"/>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72" name="Text Box 100" hidden="1">
          <a:extLst>
            <a:ext uri="{FF2B5EF4-FFF2-40B4-BE49-F238E27FC236}">
              <a16:creationId xmlns:a16="http://schemas.microsoft.com/office/drawing/2014/main" id="{5CAFB9C6-CC9C-6D4C-F752-7F1D57F2FF5A}"/>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71" name="Text Box 99" hidden="1">
          <a:extLst>
            <a:ext uri="{FF2B5EF4-FFF2-40B4-BE49-F238E27FC236}">
              <a16:creationId xmlns:a16="http://schemas.microsoft.com/office/drawing/2014/main" id="{27E71683-8EC3-4E90-16D2-05938C0E1AF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8" name="Text Box 126" hidden="1">
          <a:extLst>
            <a:ext uri="{FF2B5EF4-FFF2-40B4-BE49-F238E27FC236}">
              <a16:creationId xmlns:a16="http://schemas.microsoft.com/office/drawing/2014/main" id="{C2E7FD46-13FB-927B-CA9A-677CD289B892}"/>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97" name="Text Box 125" hidden="1">
          <a:extLst>
            <a:ext uri="{FF2B5EF4-FFF2-40B4-BE49-F238E27FC236}">
              <a16:creationId xmlns:a16="http://schemas.microsoft.com/office/drawing/2014/main" id="{528DFF57-BDA5-33AA-6FB8-78C91DEC4EC8}"/>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6" name="Text Box 124" hidden="1">
          <a:extLst>
            <a:ext uri="{FF2B5EF4-FFF2-40B4-BE49-F238E27FC236}">
              <a16:creationId xmlns:a16="http://schemas.microsoft.com/office/drawing/2014/main" id="{69E27BFD-7D89-4C27-B195-E982BFCAF89F}"/>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95" name="Text Box 123" hidden="1">
          <a:extLst>
            <a:ext uri="{FF2B5EF4-FFF2-40B4-BE49-F238E27FC236}">
              <a16:creationId xmlns:a16="http://schemas.microsoft.com/office/drawing/2014/main" id="{F5CCB31E-673F-9455-8B33-8C3F2F4F08E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94" name="Text Box 122" hidden="1">
          <a:extLst>
            <a:ext uri="{FF2B5EF4-FFF2-40B4-BE49-F238E27FC236}">
              <a16:creationId xmlns:a16="http://schemas.microsoft.com/office/drawing/2014/main" id="{651D78B8-F4E3-AFA3-B11E-9DFDE6E6604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93" name="Text Box 121" hidden="1">
          <a:extLst>
            <a:ext uri="{FF2B5EF4-FFF2-40B4-BE49-F238E27FC236}">
              <a16:creationId xmlns:a16="http://schemas.microsoft.com/office/drawing/2014/main" id="{4E519B52-E1CC-DBF4-7463-448C1B9D20E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92" name="Text Box 120" hidden="1">
          <a:extLst>
            <a:ext uri="{FF2B5EF4-FFF2-40B4-BE49-F238E27FC236}">
              <a16:creationId xmlns:a16="http://schemas.microsoft.com/office/drawing/2014/main" id="{439F8EAE-4128-BD9C-DD09-75F19AD152AF}"/>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91" name="Text Box 119" hidden="1">
          <a:extLst>
            <a:ext uri="{FF2B5EF4-FFF2-40B4-BE49-F238E27FC236}">
              <a16:creationId xmlns:a16="http://schemas.microsoft.com/office/drawing/2014/main" id="{C076EC48-3239-1D30-D2F5-C6B7235BE46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90" name="Text Box 118" hidden="1">
          <a:extLst>
            <a:ext uri="{FF2B5EF4-FFF2-40B4-BE49-F238E27FC236}">
              <a16:creationId xmlns:a16="http://schemas.microsoft.com/office/drawing/2014/main" id="{9E357201-5408-1EDE-185F-E6CAEE7329A3}"/>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89" name="Text Box 117" hidden="1">
          <a:extLst>
            <a:ext uri="{FF2B5EF4-FFF2-40B4-BE49-F238E27FC236}">
              <a16:creationId xmlns:a16="http://schemas.microsoft.com/office/drawing/2014/main" id="{CD94880E-3587-A7FA-AB59-BF9CCE7413E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88" name="Text Box 116" hidden="1">
          <a:extLst>
            <a:ext uri="{FF2B5EF4-FFF2-40B4-BE49-F238E27FC236}">
              <a16:creationId xmlns:a16="http://schemas.microsoft.com/office/drawing/2014/main" id="{0E69C890-3EB4-5463-7632-102AB708A410}"/>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87" name="Text Box 115" hidden="1">
          <a:extLst>
            <a:ext uri="{FF2B5EF4-FFF2-40B4-BE49-F238E27FC236}">
              <a16:creationId xmlns:a16="http://schemas.microsoft.com/office/drawing/2014/main" id="{A6F48C21-AD59-F260-8376-4CA2F58F468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86" name="Text Box 114" hidden="1">
          <a:extLst>
            <a:ext uri="{FF2B5EF4-FFF2-40B4-BE49-F238E27FC236}">
              <a16:creationId xmlns:a16="http://schemas.microsoft.com/office/drawing/2014/main" id="{C2CE821D-B677-ACCA-6315-97293913DAE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85" name="Text Box 113" hidden="1">
          <a:extLst>
            <a:ext uri="{FF2B5EF4-FFF2-40B4-BE49-F238E27FC236}">
              <a16:creationId xmlns:a16="http://schemas.microsoft.com/office/drawing/2014/main" id="{CD0008E6-E904-1CE8-24B1-E54F7DB19D5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36</xdr:col>
      <xdr:colOff>298016</xdr:colOff>
      <xdr:row>65</xdr:row>
      <xdr:rowOff>30837</xdr:rowOff>
    </xdr:from>
    <xdr:to>
      <xdr:col>37</xdr:col>
      <xdr:colOff>511440</xdr:colOff>
      <xdr:row>65</xdr:row>
      <xdr:rowOff>30837</xdr:rowOff>
    </xdr:to>
    <xdr:sp macro="" textlink="">
      <xdr:nvSpPr>
        <xdr:cNvPr id="48133" name="Text Box 5" hidden="1">
          <a:extLst>
            <a:ext uri="{FF2B5EF4-FFF2-40B4-BE49-F238E27FC236}">
              <a16:creationId xmlns:a16="http://schemas.microsoft.com/office/drawing/2014/main" id="{15CD92A7-CD3A-447E-94AD-8CA058F0B53D}"/>
            </a:ext>
          </a:extLst>
        </xdr:cNvPr>
        <xdr:cNvSpPr txBox="1">
          <a:spLocks noChangeArrowheads="1"/>
        </xdr:cNvSpPr>
      </xdr:nvSpPr>
      <xdr:spPr bwMode="auto">
        <a:xfrm>
          <a:off x="31097220" y="14554200"/>
          <a:ext cx="952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65</xdr:row>
      <xdr:rowOff>30837</xdr:rowOff>
    </xdr:from>
    <xdr:to>
      <xdr:col>37</xdr:col>
      <xdr:colOff>351196</xdr:colOff>
      <xdr:row>67</xdr:row>
      <xdr:rowOff>114488</xdr:rowOff>
    </xdr:to>
    <xdr:sp macro="" textlink="">
      <xdr:nvSpPr>
        <xdr:cNvPr id="48137" name="Text Box 9" hidden="1">
          <a:extLst>
            <a:ext uri="{FF2B5EF4-FFF2-40B4-BE49-F238E27FC236}">
              <a16:creationId xmlns:a16="http://schemas.microsoft.com/office/drawing/2014/main" id="{4F8DA397-2046-48C4-8C47-6091877697BB}"/>
            </a:ext>
          </a:extLst>
        </xdr:cNvPr>
        <xdr:cNvSpPr txBox="1">
          <a:spLocks noChangeArrowheads="1"/>
        </xdr:cNvSpPr>
      </xdr:nvSpPr>
      <xdr:spPr bwMode="auto">
        <a:xfrm>
          <a:off x="31021020" y="14554200"/>
          <a:ext cx="914400" cy="396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78</xdr:row>
      <xdr:rowOff>46022</xdr:rowOff>
    </xdr:from>
    <xdr:to>
      <xdr:col>37</xdr:col>
      <xdr:colOff>351196</xdr:colOff>
      <xdr:row>78</xdr:row>
      <xdr:rowOff>46022</xdr:rowOff>
    </xdr:to>
    <xdr:sp macro="" textlink="">
      <xdr:nvSpPr>
        <xdr:cNvPr id="48138" name="Text Box 10" hidden="1">
          <a:extLst>
            <a:ext uri="{FF2B5EF4-FFF2-40B4-BE49-F238E27FC236}">
              <a16:creationId xmlns:a16="http://schemas.microsoft.com/office/drawing/2014/main" id="{D635FED5-F357-4822-B34B-79F43F775B0E}"/>
            </a:ext>
          </a:extLst>
        </xdr:cNvPr>
        <xdr:cNvSpPr txBox="1">
          <a:spLocks noChangeArrowheads="1"/>
        </xdr:cNvSpPr>
      </xdr:nvSpPr>
      <xdr:spPr bwMode="auto">
        <a:xfrm>
          <a:off x="310210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298016</xdr:colOff>
      <xdr:row>78</xdr:row>
      <xdr:rowOff>46022</xdr:rowOff>
    </xdr:from>
    <xdr:to>
      <xdr:col>37</xdr:col>
      <xdr:colOff>427396</xdr:colOff>
      <xdr:row>78</xdr:row>
      <xdr:rowOff>46022</xdr:rowOff>
    </xdr:to>
    <xdr:sp macro="" textlink="">
      <xdr:nvSpPr>
        <xdr:cNvPr id="48140" name="Text Box 12" hidden="1">
          <a:extLst>
            <a:ext uri="{FF2B5EF4-FFF2-40B4-BE49-F238E27FC236}">
              <a16:creationId xmlns:a16="http://schemas.microsoft.com/office/drawing/2014/main" id="{EE431A50-2463-478B-99AA-7AE8CF25F5B9}"/>
            </a:ext>
          </a:extLst>
        </xdr:cNvPr>
        <xdr:cNvSpPr txBox="1">
          <a:spLocks noChangeArrowheads="1"/>
        </xdr:cNvSpPr>
      </xdr:nvSpPr>
      <xdr:spPr bwMode="auto">
        <a:xfrm>
          <a:off x="310972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298016</xdr:colOff>
      <xdr:row>65</xdr:row>
      <xdr:rowOff>30837</xdr:rowOff>
    </xdr:from>
    <xdr:to>
      <xdr:col>37</xdr:col>
      <xdr:colOff>427396</xdr:colOff>
      <xdr:row>65</xdr:row>
      <xdr:rowOff>30837</xdr:rowOff>
    </xdr:to>
    <xdr:sp macro="" textlink="">
      <xdr:nvSpPr>
        <xdr:cNvPr id="48141" name="Text Box 13" hidden="1">
          <a:extLst>
            <a:ext uri="{FF2B5EF4-FFF2-40B4-BE49-F238E27FC236}">
              <a16:creationId xmlns:a16="http://schemas.microsoft.com/office/drawing/2014/main" id="{13E6C608-B3E9-44FD-AE34-A278D9803D77}"/>
            </a:ext>
          </a:extLst>
        </xdr:cNvPr>
        <xdr:cNvSpPr txBox="1">
          <a:spLocks noChangeArrowheads="1"/>
        </xdr:cNvSpPr>
      </xdr:nvSpPr>
      <xdr:spPr bwMode="auto">
        <a:xfrm>
          <a:off x="31097220" y="1455420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9</xdr:row>
      <xdr:rowOff>38637</xdr:rowOff>
    </xdr:from>
    <xdr:to>
      <xdr:col>1</xdr:col>
      <xdr:colOff>4088366</xdr:colOff>
      <xdr:row>12</xdr:row>
      <xdr:rowOff>209151</xdr:rowOff>
    </xdr:to>
    <xdr:sp macro="" textlink="">
      <xdr:nvSpPr>
        <xdr:cNvPr id="48142" name="Text Box 14" hidden="1">
          <a:extLst>
            <a:ext uri="{FF2B5EF4-FFF2-40B4-BE49-F238E27FC236}">
              <a16:creationId xmlns:a16="http://schemas.microsoft.com/office/drawing/2014/main" id="{2272FC6E-7156-4E74-B746-6BD360EFAA70}"/>
            </a:ext>
          </a:extLst>
        </xdr:cNvPr>
        <xdr:cNvSpPr txBox="1">
          <a:spLocks noChangeArrowheads="1"/>
        </xdr:cNvSpPr>
      </xdr:nvSpPr>
      <xdr:spPr bwMode="auto">
        <a:xfrm>
          <a:off x="3916680" y="1882140"/>
          <a:ext cx="134874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10</xdr:row>
      <xdr:rowOff>95271</xdr:rowOff>
    </xdr:from>
    <xdr:to>
      <xdr:col>1</xdr:col>
      <xdr:colOff>4088366</xdr:colOff>
      <xdr:row>14</xdr:row>
      <xdr:rowOff>8626</xdr:rowOff>
    </xdr:to>
    <xdr:sp macro="" textlink="">
      <xdr:nvSpPr>
        <xdr:cNvPr id="48143" name="Text Box 15" hidden="1">
          <a:extLst>
            <a:ext uri="{FF2B5EF4-FFF2-40B4-BE49-F238E27FC236}">
              <a16:creationId xmlns:a16="http://schemas.microsoft.com/office/drawing/2014/main" id="{9897F1E9-E165-49E4-95E4-24511FE30CE6}"/>
            </a:ext>
          </a:extLst>
        </xdr:cNvPr>
        <xdr:cNvSpPr txBox="1">
          <a:spLocks noChangeArrowheads="1"/>
        </xdr:cNvSpPr>
      </xdr:nvSpPr>
      <xdr:spPr bwMode="auto">
        <a:xfrm>
          <a:off x="3916680" y="2133600"/>
          <a:ext cx="13487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12</xdr:row>
      <xdr:rowOff>106511</xdr:rowOff>
    </xdr:from>
    <xdr:to>
      <xdr:col>1</xdr:col>
      <xdr:colOff>4088366</xdr:colOff>
      <xdr:row>16</xdr:row>
      <xdr:rowOff>10737</xdr:rowOff>
    </xdr:to>
    <xdr:sp macro="" textlink="">
      <xdr:nvSpPr>
        <xdr:cNvPr id="48144" name="Text Box 16" hidden="1">
          <a:extLst>
            <a:ext uri="{FF2B5EF4-FFF2-40B4-BE49-F238E27FC236}">
              <a16:creationId xmlns:a16="http://schemas.microsoft.com/office/drawing/2014/main" id="{CDCDD0A0-5983-4DF7-B6D3-B6EE0BEC7E2F}"/>
            </a:ext>
          </a:extLst>
        </xdr:cNvPr>
        <xdr:cNvSpPr txBox="1">
          <a:spLocks noChangeArrowheads="1"/>
        </xdr:cNvSpPr>
      </xdr:nvSpPr>
      <xdr:spPr bwMode="auto">
        <a:xfrm>
          <a:off x="3916680" y="2575560"/>
          <a:ext cx="134874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238550</xdr:colOff>
      <xdr:row>45</xdr:row>
      <xdr:rowOff>144430</xdr:rowOff>
    </xdr:from>
    <xdr:to>
      <xdr:col>37</xdr:col>
      <xdr:colOff>511440</xdr:colOff>
      <xdr:row>45</xdr:row>
      <xdr:rowOff>144430</xdr:rowOff>
    </xdr:to>
    <xdr:sp macro="" textlink="">
      <xdr:nvSpPr>
        <xdr:cNvPr id="252936" name="Text Box 8" hidden="1">
          <a:extLst>
            <a:ext uri="{FF2B5EF4-FFF2-40B4-BE49-F238E27FC236}">
              <a16:creationId xmlns:a16="http://schemas.microsoft.com/office/drawing/2014/main" id="{6F469F85-E901-4955-888C-81B1FE8B86C7}"/>
            </a:ext>
          </a:extLst>
        </xdr:cNvPr>
        <xdr:cNvSpPr txBox="1">
          <a:spLocks noChangeArrowheads="1"/>
        </xdr:cNvSpPr>
      </xdr:nvSpPr>
      <xdr:spPr bwMode="auto">
        <a:xfrm>
          <a:off x="30146625" y="10753725"/>
          <a:ext cx="9620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45</xdr:row>
      <xdr:rowOff>144430</xdr:rowOff>
    </xdr:from>
    <xdr:to>
      <xdr:col>37</xdr:col>
      <xdr:colOff>351196</xdr:colOff>
      <xdr:row>51</xdr:row>
      <xdr:rowOff>113580</xdr:rowOff>
    </xdr:to>
    <xdr:sp macro="" textlink="">
      <xdr:nvSpPr>
        <xdr:cNvPr id="252935" name="Text Box 7" hidden="1">
          <a:extLst>
            <a:ext uri="{FF2B5EF4-FFF2-40B4-BE49-F238E27FC236}">
              <a16:creationId xmlns:a16="http://schemas.microsoft.com/office/drawing/2014/main" id="{13BE16B6-4531-4E12-8F3B-81E0D5E31DC2}"/>
            </a:ext>
          </a:extLst>
        </xdr:cNvPr>
        <xdr:cNvSpPr txBox="1">
          <a:spLocks noChangeArrowheads="1"/>
        </xdr:cNvSpPr>
      </xdr:nvSpPr>
      <xdr:spPr bwMode="auto">
        <a:xfrm>
          <a:off x="30079950" y="10753725"/>
          <a:ext cx="9144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52</xdr:row>
      <xdr:rowOff>336488</xdr:rowOff>
    </xdr:from>
    <xdr:to>
      <xdr:col>37</xdr:col>
      <xdr:colOff>351196</xdr:colOff>
      <xdr:row>52</xdr:row>
      <xdr:rowOff>336488</xdr:rowOff>
    </xdr:to>
    <xdr:sp macro="" textlink="">
      <xdr:nvSpPr>
        <xdr:cNvPr id="252934" name="Text Box 6" hidden="1">
          <a:extLst>
            <a:ext uri="{FF2B5EF4-FFF2-40B4-BE49-F238E27FC236}">
              <a16:creationId xmlns:a16="http://schemas.microsoft.com/office/drawing/2014/main" id="{9291E109-DCDB-4545-A1A1-01AB169C021C}"/>
            </a:ext>
          </a:extLst>
        </xdr:cNvPr>
        <xdr:cNvSpPr txBox="1">
          <a:spLocks noChangeArrowheads="1"/>
        </xdr:cNvSpPr>
      </xdr:nvSpPr>
      <xdr:spPr bwMode="auto">
        <a:xfrm>
          <a:off x="30079950" y="12230100"/>
          <a:ext cx="91440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238550</xdr:colOff>
      <xdr:row>52</xdr:row>
      <xdr:rowOff>336488</xdr:rowOff>
    </xdr:from>
    <xdr:to>
      <xdr:col>37</xdr:col>
      <xdr:colOff>427396</xdr:colOff>
      <xdr:row>52</xdr:row>
      <xdr:rowOff>336488</xdr:rowOff>
    </xdr:to>
    <xdr:sp macro="" textlink="">
      <xdr:nvSpPr>
        <xdr:cNvPr id="252933" name="Text Box 5" hidden="1">
          <a:extLst>
            <a:ext uri="{FF2B5EF4-FFF2-40B4-BE49-F238E27FC236}">
              <a16:creationId xmlns:a16="http://schemas.microsoft.com/office/drawing/2014/main" id="{34B91F96-E697-42D8-B5B6-A243D330D911}"/>
            </a:ext>
          </a:extLst>
        </xdr:cNvPr>
        <xdr:cNvSpPr txBox="1">
          <a:spLocks noChangeArrowheads="1"/>
        </xdr:cNvSpPr>
      </xdr:nvSpPr>
      <xdr:spPr bwMode="auto">
        <a:xfrm>
          <a:off x="30146625" y="12230100"/>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238550</xdr:colOff>
      <xdr:row>45</xdr:row>
      <xdr:rowOff>144430</xdr:rowOff>
    </xdr:from>
    <xdr:to>
      <xdr:col>37</xdr:col>
      <xdr:colOff>427396</xdr:colOff>
      <xdr:row>45</xdr:row>
      <xdr:rowOff>144430</xdr:rowOff>
    </xdr:to>
    <xdr:sp macro="" textlink="">
      <xdr:nvSpPr>
        <xdr:cNvPr id="252932" name="Text Box 4" hidden="1">
          <a:extLst>
            <a:ext uri="{FF2B5EF4-FFF2-40B4-BE49-F238E27FC236}">
              <a16:creationId xmlns:a16="http://schemas.microsoft.com/office/drawing/2014/main" id="{D8D1D499-3363-4B1E-8827-2A3497BBAD9D}"/>
            </a:ext>
          </a:extLst>
        </xdr:cNvPr>
        <xdr:cNvSpPr txBox="1">
          <a:spLocks noChangeArrowheads="1"/>
        </xdr:cNvSpPr>
      </xdr:nvSpPr>
      <xdr:spPr bwMode="auto">
        <a:xfrm>
          <a:off x="30146625" y="107537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9</xdr:row>
      <xdr:rowOff>38637</xdr:rowOff>
    </xdr:from>
    <xdr:to>
      <xdr:col>1</xdr:col>
      <xdr:colOff>4088366</xdr:colOff>
      <xdr:row>12</xdr:row>
      <xdr:rowOff>209151</xdr:rowOff>
    </xdr:to>
    <xdr:sp macro="" textlink="">
      <xdr:nvSpPr>
        <xdr:cNvPr id="252931" name="Text Box 3" hidden="1">
          <a:extLst>
            <a:ext uri="{FF2B5EF4-FFF2-40B4-BE49-F238E27FC236}">
              <a16:creationId xmlns:a16="http://schemas.microsoft.com/office/drawing/2014/main" id="{3B89C92C-9378-43AA-9CFC-9E270B027BCE}"/>
            </a:ext>
          </a:extLst>
        </xdr:cNvPr>
        <xdr:cNvSpPr txBox="1">
          <a:spLocks noChangeArrowheads="1"/>
        </xdr:cNvSpPr>
      </xdr:nvSpPr>
      <xdr:spPr bwMode="auto">
        <a:xfrm>
          <a:off x="3800475" y="1905000"/>
          <a:ext cx="13144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10</xdr:row>
      <xdr:rowOff>95271</xdr:rowOff>
    </xdr:from>
    <xdr:to>
      <xdr:col>1</xdr:col>
      <xdr:colOff>4088366</xdr:colOff>
      <xdr:row>14</xdr:row>
      <xdr:rowOff>8626</xdr:rowOff>
    </xdr:to>
    <xdr:sp macro="" textlink="">
      <xdr:nvSpPr>
        <xdr:cNvPr id="252930" name="Text Box 2" hidden="1">
          <a:extLst>
            <a:ext uri="{FF2B5EF4-FFF2-40B4-BE49-F238E27FC236}">
              <a16:creationId xmlns:a16="http://schemas.microsoft.com/office/drawing/2014/main" id="{AF17B70A-55D9-4991-9582-D9D33066EF10}"/>
            </a:ext>
          </a:extLst>
        </xdr:cNvPr>
        <xdr:cNvSpPr txBox="1">
          <a:spLocks noChangeArrowheads="1"/>
        </xdr:cNvSpPr>
      </xdr:nvSpPr>
      <xdr:spPr bwMode="auto">
        <a:xfrm>
          <a:off x="3800475" y="2162175"/>
          <a:ext cx="13144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12</xdr:row>
      <xdr:rowOff>106511</xdr:rowOff>
    </xdr:from>
    <xdr:to>
      <xdr:col>1</xdr:col>
      <xdr:colOff>4088366</xdr:colOff>
      <xdr:row>16</xdr:row>
      <xdr:rowOff>10737</xdr:rowOff>
    </xdr:to>
    <xdr:sp macro="" textlink="">
      <xdr:nvSpPr>
        <xdr:cNvPr id="252929" name="Text Box 1" hidden="1">
          <a:extLst>
            <a:ext uri="{FF2B5EF4-FFF2-40B4-BE49-F238E27FC236}">
              <a16:creationId xmlns:a16="http://schemas.microsoft.com/office/drawing/2014/main" id="{5C1C8FF7-34FD-4EAB-ACEE-D5D878FF6E3A}"/>
            </a:ext>
          </a:extLst>
        </xdr:cNvPr>
        <xdr:cNvSpPr txBox="1">
          <a:spLocks noChangeArrowheads="1"/>
        </xdr:cNvSpPr>
      </xdr:nvSpPr>
      <xdr:spPr bwMode="auto">
        <a:xfrm>
          <a:off x="3800475" y="26098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39</xdr:row>
      <xdr:rowOff>789782</xdr:rowOff>
    </xdr:from>
    <xdr:to>
      <xdr:col>37</xdr:col>
      <xdr:colOff>507397</xdr:colOff>
      <xdr:row>39</xdr:row>
      <xdr:rowOff>800577</xdr:rowOff>
    </xdr:to>
    <xdr:sp macro="" textlink="">
      <xdr:nvSpPr>
        <xdr:cNvPr id="252944" name="Text Box 16" hidden="1">
          <a:extLst>
            <a:ext uri="{FF2B5EF4-FFF2-40B4-BE49-F238E27FC236}">
              <a16:creationId xmlns:a16="http://schemas.microsoft.com/office/drawing/2014/main" id="{9CCA4A50-7403-47E1-8CC0-F290157A4F2E}"/>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39</xdr:row>
      <xdr:rowOff>789782</xdr:rowOff>
    </xdr:from>
    <xdr:to>
      <xdr:col>37</xdr:col>
      <xdr:colOff>332548</xdr:colOff>
      <xdr:row>46</xdr:row>
      <xdr:rowOff>67668</xdr:rowOff>
    </xdr:to>
    <xdr:sp macro="" textlink="">
      <xdr:nvSpPr>
        <xdr:cNvPr id="252943" name="Text Box 15" hidden="1">
          <a:extLst>
            <a:ext uri="{FF2B5EF4-FFF2-40B4-BE49-F238E27FC236}">
              <a16:creationId xmlns:a16="http://schemas.microsoft.com/office/drawing/2014/main" id="{74EFF6A7-FE24-41A3-95B8-F75D4034508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48</xdr:row>
      <xdr:rowOff>85769</xdr:rowOff>
    </xdr:from>
    <xdr:to>
      <xdr:col>37</xdr:col>
      <xdr:colOff>332548</xdr:colOff>
      <xdr:row>49</xdr:row>
      <xdr:rowOff>45365</xdr:rowOff>
    </xdr:to>
    <xdr:sp macro="" textlink="">
      <xdr:nvSpPr>
        <xdr:cNvPr id="252942" name="Text Box 14" hidden="1">
          <a:extLst>
            <a:ext uri="{FF2B5EF4-FFF2-40B4-BE49-F238E27FC236}">
              <a16:creationId xmlns:a16="http://schemas.microsoft.com/office/drawing/2014/main" id="{6C70BA9F-88B0-4854-B844-DDB2DDBC3FD2}"/>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48</xdr:row>
      <xdr:rowOff>85769</xdr:rowOff>
    </xdr:from>
    <xdr:to>
      <xdr:col>37</xdr:col>
      <xdr:colOff>408748</xdr:colOff>
      <xdr:row>49</xdr:row>
      <xdr:rowOff>45365</xdr:rowOff>
    </xdr:to>
    <xdr:sp macro="" textlink="">
      <xdr:nvSpPr>
        <xdr:cNvPr id="252941" name="Text Box 13" hidden="1">
          <a:extLst>
            <a:ext uri="{FF2B5EF4-FFF2-40B4-BE49-F238E27FC236}">
              <a16:creationId xmlns:a16="http://schemas.microsoft.com/office/drawing/2014/main" id="{4ADB5933-103E-4E84-8094-A05ED8FDF6AD}"/>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39</xdr:row>
      <xdr:rowOff>789782</xdr:rowOff>
    </xdr:from>
    <xdr:to>
      <xdr:col>37</xdr:col>
      <xdr:colOff>408748</xdr:colOff>
      <xdr:row>39</xdr:row>
      <xdr:rowOff>800577</xdr:rowOff>
    </xdr:to>
    <xdr:sp macro="" textlink="">
      <xdr:nvSpPr>
        <xdr:cNvPr id="252940" name="Text Box 12" hidden="1">
          <a:extLst>
            <a:ext uri="{FF2B5EF4-FFF2-40B4-BE49-F238E27FC236}">
              <a16:creationId xmlns:a16="http://schemas.microsoft.com/office/drawing/2014/main" id="{019A3510-28C7-4C11-BB21-C29F2EFB7362}"/>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39</xdr:row>
      <xdr:rowOff>789782</xdr:rowOff>
    </xdr:from>
    <xdr:to>
      <xdr:col>37</xdr:col>
      <xdr:colOff>507397</xdr:colOff>
      <xdr:row>39</xdr:row>
      <xdr:rowOff>800577</xdr:rowOff>
    </xdr:to>
    <xdr:sp macro="" textlink="">
      <xdr:nvSpPr>
        <xdr:cNvPr id="252949" name="Text Box 21" hidden="1">
          <a:extLst>
            <a:ext uri="{FF2B5EF4-FFF2-40B4-BE49-F238E27FC236}">
              <a16:creationId xmlns:a16="http://schemas.microsoft.com/office/drawing/2014/main" id="{24E5732B-415D-439E-9A97-1FF4340BAF4C}"/>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39</xdr:row>
      <xdr:rowOff>789782</xdr:rowOff>
    </xdr:from>
    <xdr:to>
      <xdr:col>37</xdr:col>
      <xdr:colOff>332548</xdr:colOff>
      <xdr:row>46</xdr:row>
      <xdr:rowOff>67668</xdr:rowOff>
    </xdr:to>
    <xdr:sp macro="" textlink="">
      <xdr:nvSpPr>
        <xdr:cNvPr id="252948" name="Text Box 20" hidden="1">
          <a:extLst>
            <a:ext uri="{FF2B5EF4-FFF2-40B4-BE49-F238E27FC236}">
              <a16:creationId xmlns:a16="http://schemas.microsoft.com/office/drawing/2014/main" id="{583BB590-CA17-42A2-A731-0F38369C2E5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48</xdr:row>
      <xdr:rowOff>85769</xdr:rowOff>
    </xdr:from>
    <xdr:to>
      <xdr:col>37</xdr:col>
      <xdr:colOff>332548</xdr:colOff>
      <xdr:row>49</xdr:row>
      <xdr:rowOff>45365</xdr:rowOff>
    </xdr:to>
    <xdr:sp macro="" textlink="">
      <xdr:nvSpPr>
        <xdr:cNvPr id="252947" name="Text Box 19" hidden="1">
          <a:extLst>
            <a:ext uri="{FF2B5EF4-FFF2-40B4-BE49-F238E27FC236}">
              <a16:creationId xmlns:a16="http://schemas.microsoft.com/office/drawing/2014/main" id="{34161C3E-251C-4E5B-9E5D-3F3FE65520CA}"/>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48</xdr:row>
      <xdr:rowOff>85769</xdr:rowOff>
    </xdr:from>
    <xdr:to>
      <xdr:col>37</xdr:col>
      <xdr:colOff>408748</xdr:colOff>
      <xdr:row>49</xdr:row>
      <xdr:rowOff>45365</xdr:rowOff>
    </xdr:to>
    <xdr:sp macro="" textlink="">
      <xdr:nvSpPr>
        <xdr:cNvPr id="252946" name="Text Box 18" hidden="1">
          <a:extLst>
            <a:ext uri="{FF2B5EF4-FFF2-40B4-BE49-F238E27FC236}">
              <a16:creationId xmlns:a16="http://schemas.microsoft.com/office/drawing/2014/main" id="{44CA8B3D-174D-4CF4-AF8A-63AA8EC7665E}"/>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39</xdr:row>
      <xdr:rowOff>789782</xdr:rowOff>
    </xdr:from>
    <xdr:to>
      <xdr:col>37</xdr:col>
      <xdr:colOff>408748</xdr:colOff>
      <xdr:row>39</xdr:row>
      <xdr:rowOff>800577</xdr:rowOff>
    </xdr:to>
    <xdr:sp macro="" textlink="">
      <xdr:nvSpPr>
        <xdr:cNvPr id="252945" name="Text Box 17" hidden="1">
          <a:extLst>
            <a:ext uri="{FF2B5EF4-FFF2-40B4-BE49-F238E27FC236}">
              <a16:creationId xmlns:a16="http://schemas.microsoft.com/office/drawing/2014/main" id="{AAD2393C-B08C-4C9F-873B-0FD55CB002BA}"/>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39</xdr:row>
      <xdr:rowOff>789782</xdr:rowOff>
    </xdr:from>
    <xdr:to>
      <xdr:col>37</xdr:col>
      <xdr:colOff>507397</xdr:colOff>
      <xdr:row>39</xdr:row>
      <xdr:rowOff>800577</xdr:rowOff>
    </xdr:to>
    <xdr:sp macro="" textlink="">
      <xdr:nvSpPr>
        <xdr:cNvPr id="252954" name="Text Box 26" hidden="1">
          <a:extLst>
            <a:ext uri="{FF2B5EF4-FFF2-40B4-BE49-F238E27FC236}">
              <a16:creationId xmlns:a16="http://schemas.microsoft.com/office/drawing/2014/main" id="{3C891323-E76A-407C-88E8-12B8106EBC18}"/>
            </a:ext>
          </a:extLst>
        </xdr:cNvPr>
        <xdr:cNvSpPr txBox="1">
          <a:spLocks noChangeArrowheads="1"/>
        </xdr:cNvSpPr>
      </xdr:nvSpPr>
      <xdr:spPr bwMode="auto">
        <a:xfrm>
          <a:off x="31074360" y="9182100"/>
          <a:ext cx="100584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39</xdr:row>
      <xdr:rowOff>789782</xdr:rowOff>
    </xdr:from>
    <xdr:to>
      <xdr:col>37</xdr:col>
      <xdr:colOff>332548</xdr:colOff>
      <xdr:row>46</xdr:row>
      <xdr:rowOff>6735</xdr:rowOff>
    </xdr:to>
    <xdr:sp macro="" textlink="">
      <xdr:nvSpPr>
        <xdr:cNvPr id="252953" name="Text Box 25" hidden="1">
          <a:extLst>
            <a:ext uri="{FF2B5EF4-FFF2-40B4-BE49-F238E27FC236}">
              <a16:creationId xmlns:a16="http://schemas.microsoft.com/office/drawing/2014/main" id="{61ECF97E-5E64-4693-86CD-E54A91D323FB}"/>
            </a:ext>
          </a:extLst>
        </xdr:cNvPr>
        <xdr:cNvSpPr txBox="1">
          <a:spLocks noChangeArrowheads="1"/>
        </xdr:cNvSpPr>
      </xdr:nvSpPr>
      <xdr:spPr bwMode="auto">
        <a:xfrm>
          <a:off x="31005780" y="9182100"/>
          <a:ext cx="944880" cy="1424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48</xdr:row>
      <xdr:rowOff>82988</xdr:rowOff>
    </xdr:from>
    <xdr:to>
      <xdr:col>37</xdr:col>
      <xdr:colOff>332548</xdr:colOff>
      <xdr:row>49</xdr:row>
      <xdr:rowOff>2182</xdr:rowOff>
    </xdr:to>
    <xdr:sp macro="" textlink="">
      <xdr:nvSpPr>
        <xdr:cNvPr id="252952" name="Text Box 24" hidden="1">
          <a:extLst>
            <a:ext uri="{FF2B5EF4-FFF2-40B4-BE49-F238E27FC236}">
              <a16:creationId xmlns:a16="http://schemas.microsoft.com/office/drawing/2014/main" id="{E0C89A7B-8F9F-4DAA-9706-C7B66450BB88}"/>
            </a:ext>
          </a:extLst>
        </xdr:cNvPr>
        <xdr:cNvSpPr txBox="1">
          <a:spLocks noChangeArrowheads="1"/>
        </xdr:cNvSpPr>
      </xdr:nvSpPr>
      <xdr:spPr bwMode="auto">
        <a:xfrm>
          <a:off x="31005780" y="1104900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48</xdr:row>
      <xdr:rowOff>82988</xdr:rowOff>
    </xdr:from>
    <xdr:to>
      <xdr:col>37</xdr:col>
      <xdr:colOff>408748</xdr:colOff>
      <xdr:row>49</xdr:row>
      <xdr:rowOff>2182</xdr:rowOff>
    </xdr:to>
    <xdr:sp macro="" textlink="">
      <xdr:nvSpPr>
        <xdr:cNvPr id="252951" name="Text Box 23" hidden="1">
          <a:extLst>
            <a:ext uri="{FF2B5EF4-FFF2-40B4-BE49-F238E27FC236}">
              <a16:creationId xmlns:a16="http://schemas.microsoft.com/office/drawing/2014/main" id="{320CFB50-3AD1-4203-89EC-E454B249AB09}"/>
            </a:ext>
          </a:extLst>
        </xdr:cNvPr>
        <xdr:cNvSpPr txBox="1">
          <a:spLocks noChangeArrowheads="1"/>
        </xdr:cNvSpPr>
      </xdr:nvSpPr>
      <xdr:spPr bwMode="auto">
        <a:xfrm>
          <a:off x="31074360" y="1104900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39</xdr:row>
      <xdr:rowOff>789782</xdr:rowOff>
    </xdr:from>
    <xdr:to>
      <xdr:col>37</xdr:col>
      <xdr:colOff>408748</xdr:colOff>
      <xdr:row>39</xdr:row>
      <xdr:rowOff>800577</xdr:rowOff>
    </xdr:to>
    <xdr:sp macro="" textlink="">
      <xdr:nvSpPr>
        <xdr:cNvPr id="252950" name="Text Box 22" hidden="1">
          <a:extLst>
            <a:ext uri="{FF2B5EF4-FFF2-40B4-BE49-F238E27FC236}">
              <a16:creationId xmlns:a16="http://schemas.microsoft.com/office/drawing/2014/main" id="{A462AF66-2A46-47A3-98FD-77AB5B570FC3}"/>
            </a:ext>
          </a:extLst>
        </xdr:cNvPr>
        <xdr:cNvSpPr txBox="1">
          <a:spLocks noChangeArrowheads="1"/>
        </xdr:cNvSpPr>
      </xdr:nvSpPr>
      <xdr:spPr bwMode="auto">
        <a:xfrm>
          <a:off x="31074360" y="9182100"/>
          <a:ext cx="95250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39</xdr:row>
      <xdr:rowOff>789782</xdr:rowOff>
    </xdr:from>
    <xdr:to>
      <xdr:col>37</xdr:col>
      <xdr:colOff>507397</xdr:colOff>
      <xdr:row>39</xdr:row>
      <xdr:rowOff>800577</xdr:rowOff>
    </xdr:to>
    <xdr:sp macro="" textlink="">
      <xdr:nvSpPr>
        <xdr:cNvPr id="252959" name="Text Box 31" hidden="1">
          <a:extLst>
            <a:ext uri="{FF2B5EF4-FFF2-40B4-BE49-F238E27FC236}">
              <a16:creationId xmlns:a16="http://schemas.microsoft.com/office/drawing/2014/main" id="{4DEACF51-F30D-44F1-9204-889832AE9BBF}"/>
            </a:ext>
          </a:extLst>
        </xdr:cNvPr>
        <xdr:cNvSpPr txBox="1">
          <a:spLocks noChangeArrowheads="1"/>
        </xdr:cNvSpPr>
      </xdr:nvSpPr>
      <xdr:spPr bwMode="auto">
        <a:xfrm>
          <a:off x="31066740" y="9182100"/>
          <a:ext cx="10134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39</xdr:row>
      <xdr:rowOff>789782</xdr:rowOff>
    </xdr:from>
    <xdr:to>
      <xdr:col>37</xdr:col>
      <xdr:colOff>332548</xdr:colOff>
      <xdr:row>46</xdr:row>
      <xdr:rowOff>6735</xdr:rowOff>
    </xdr:to>
    <xdr:sp macro="" textlink="">
      <xdr:nvSpPr>
        <xdr:cNvPr id="252958" name="Text Box 30" hidden="1">
          <a:extLst>
            <a:ext uri="{FF2B5EF4-FFF2-40B4-BE49-F238E27FC236}">
              <a16:creationId xmlns:a16="http://schemas.microsoft.com/office/drawing/2014/main" id="{6463DD54-AB05-4343-9DCE-2BBBCA407800}"/>
            </a:ext>
          </a:extLst>
        </xdr:cNvPr>
        <xdr:cNvSpPr txBox="1">
          <a:spLocks noChangeArrowheads="1"/>
        </xdr:cNvSpPr>
      </xdr:nvSpPr>
      <xdr:spPr bwMode="auto">
        <a:xfrm>
          <a:off x="30998160" y="9182100"/>
          <a:ext cx="9448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48</xdr:row>
      <xdr:rowOff>82988</xdr:rowOff>
    </xdr:from>
    <xdr:to>
      <xdr:col>37</xdr:col>
      <xdr:colOff>332548</xdr:colOff>
      <xdr:row>49</xdr:row>
      <xdr:rowOff>2182</xdr:rowOff>
    </xdr:to>
    <xdr:sp macro="" textlink="">
      <xdr:nvSpPr>
        <xdr:cNvPr id="252957" name="Text Box 29" hidden="1">
          <a:extLst>
            <a:ext uri="{FF2B5EF4-FFF2-40B4-BE49-F238E27FC236}">
              <a16:creationId xmlns:a16="http://schemas.microsoft.com/office/drawing/2014/main" id="{4059B9B1-6440-4DB7-9BE4-D095C8912E0A}"/>
            </a:ext>
          </a:extLst>
        </xdr:cNvPr>
        <xdr:cNvSpPr txBox="1">
          <a:spLocks noChangeArrowheads="1"/>
        </xdr:cNvSpPr>
      </xdr:nvSpPr>
      <xdr:spPr bwMode="auto">
        <a:xfrm>
          <a:off x="30998160" y="1104138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48</xdr:row>
      <xdr:rowOff>82988</xdr:rowOff>
    </xdr:from>
    <xdr:to>
      <xdr:col>37</xdr:col>
      <xdr:colOff>408748</xdr:colOff>
      <xdr:row>49</xdr:row>
      <xdr:rowOff>2182</xdr:rowOff>
    </xdr:to>
    <xdr:sp macro="" textlink="">
      <xdr:nvSpPr>
        <xdr:cNvPr id="252956" name="Text Box 28" hidden="1">
          <a:extLst>
            <a:ext uri="{FF2B5EF4-FFF2-40B4-BE49-F238E27FC236}">
              <a16:creationId xmlns:a16="http://schemas.microsoft.com/office/drawing/2014/main" id="{DE9C1765-F87E-4A31-93AA-69EFFDF2BE86}"/>
            </a:ext>
          </a:extLst>
        </xdr:cNvPr>
        <xdr:cNvSpPr txBox="1">
          <a:spLocks noChangeArrowheads="1"/>
        </xdr:cNvSpPr>
      </xdr:nvSpPr>
      <xdr:spPr bwMode="auto">
        <a:xfrm>
          <a:off x="31066740" y="1104138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277320</xdr:colOff>
      <xdr:row>39</xdr:row>
      <xdr:rowOff>789782</xdr:rowOff>
    </xdr:from>
    <xdr:to>
      <xdr:col>37</xdr:col>
      <xdr:colOff>408748</xdr:colOff>
      <xdr:row>39</xdr:row>
      <xdr:rowOff>800577</xdr:rowOff>
    </xdr:to>
    <xdr:sp macro="" textlink="">
      <xdr:nvSpPr>
        <xdr:cNvPr id="252955" name="Text Box 27" hidden="1">
          <a:extLst>
            <a:ext uri="{FF2B5EF4-FFF2-40B4-BE49-F238E27FC236}">
              <a16:creationId xmlns:a16="http://schemas.microsoft.com/office/drawing/2014/main" id="{57035444-BBC5-426C-93BF-8E7570DBDA01}"/>
            </a:ext>
          </a:extLst>
        </xdr:cNvPr>
        <xdr:cNvSpPr txBox="1">
          <a:spLocks noChangeArrowheads="1"/>
        </xdr:cNvSpPr>
      </xdr:nvSpPr>
      <xdr:spPr bwMode="auto">
        <a:xfrm>
          <a:off x="31066740" y="9182100"/>
          <a:ext cx="952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39</xdr:row>
      <xdr:rowOff>789782</xdr:rowOff>
    </xdr:from>
    <xdr:to>
      <xdr:col>37</xdr:col>
      <xdr:colOff>507397</xdr:colOff>
      <xdr:row>39</xdr:row>
      <xdr:rowOff>801343</xdr:rowOff>
    </xdr:to>
    <xdr:sp macro="" textlink="">
      <xdr:nvSpPr>
        <xdr:cNvPr id="252964" name="Text Box 36" hidden="1">
          <a:extLst>
            <a:ext uri="{FF2B5EF4-FFF2-40B4-BE49-F238E27FC236}">
              <a16:creationId xmlns:a16="http://schemas.microsoft.com/office/drawing/2014/main" id="{68A2020A-3B41-477A-A799-21E4A30D071D}"/>
            </a:ext>
          </a:extLst>
        </xdr:cNvPr>
        <xdr:cNvSpPr txBox="1">
          <a:spLocks noChangeArrowheads="1"/>
        </xdr:cNvSpPr>
      </xdr:nvSpPr>
      <xdr:spPr bwMode="auto">
        <a:xfrm>
          <a:off x="30127575" y="934402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39</xdr:row>
      <xdr:rowOff>789782</xdr:rowOff>
    </xdr:from>
    <xdr:to>
      <xdr:col>37</xdr:col>
      <xdr:colOff>332548</xdr:colOff>
      <xdr:row>46</xdr:row>
      <xdr:rowOff>6735</xdr:rowOff>
    </xdr:to>
    <xdr:sp macro="" textlink="">
      <xdr:nvSpPr>
        <xdr:cNvPr id="252963" name="Text Box 35" hidden="1">
          <a:extLst>
            <a:ext uri="{FF2B5EF4-FFF2-40B4-BE49-F238E27FC236}">
              <a16:creationId xmlns:a16="http://schemas.microsoft.com/office/drawing/2014/main" id="{1037621C-C7F3-4023-B091-BAF39AC4CA68}"/>
            </a:ext>
          </a:extLst>
        </xdr:cNvPr>
        <xdr:cNvSpPr txBox="1">
          <a:spLocks noChangeArrowheads="1"/>
        </xdr:cNvSpPr>
      </xdr:nvSpPr>
      <xdr:spPr bwMode="auto">
        <a:xfrm>
          <a:off x="30060900" y="9344025"/>
          <a:ext cx="91440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183564</xdr:colOff>
      <xdr:row>48</xdr:row>
      <xdr:rowOff>82988</xdr:rowOff>
    </xdr:from>
    <xdr:to>
      <xdr:col>37</xdr:col>
      <xdr:colOff>332548</xdr:colOff>
      <xdr:row>49</xdr:row>
      <xdr:rowOff>2182</xdr:rowOff>
    </xdr:to>
    <xdr:sp macro="" textlink="">
      <xdr:nvSpPr>
        <xdr:cNvPr id="252962" name="Text Box 34" hidden="1">
          <a:extLst>
            <a:ext uri="{FF2B5EF4-FFF2-40B4-BE49-F238E27FC236}">
              <a16:creationId xmlns:a16="http://schemas.microsoft.com/office/drawing/2014/main" id="{E9912762-3D67-4238-88E2-DC7222293139}"/>
            </a:ext>
          </a:extLst>
        </xdr:cNvPr>
        <xdr:cNvSpPr txBox="1">
          <a:spLocks noChangeArrowheads="1"/>
        </xdr:cNvSpPr>
      </xdr:nvSpPr>
      <xdr:spPr bwMode="auto">
        <a:xfrm>
          <a:off x="30060900" y="1125855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48</xdr:row>
      <xdr:rowOff>82988</xdr:rowOff>
    </xdr:from>
    <xdr:to>
      <xdr:col>37</xdr:col>
      <xdr:colOff>408748</xdr:colOff>
      <xdr:row>49</xdr:row>
      <xdr:rowOff>2182</xdr:rowOff>
    </xdr:to>
    <xdr:sp macro="" textlink="">
      <xdr:nvSpPr>
        <xdr:cNvPr id="252961" name="Text Box 33" hidden="1">
          <a:extLst>
            <a:ext uri="{FF2B5EF4-FFF2-40B4-BE49-F238E27FC236}">
              <a16:creationId xmlns:a16="http://schemas.microsoft.com/office/drawing/2014/main" id="{2404B1F8-E1F5-43EA-963C-1E2A090160FA}"/>
            </a:ext>
          </a:extLst>
        </xdr:cNvPr>
        <xdr:cNvSpPr txBox="1">
          <a:spLocks noChangeArrowheads="1"/>
        </xdr:cNvSpPr>
      </xdr:nvSpPr>
      <xdr:spPr bwMode="auto">
        <a:xfrm>
          <a:off x="30127575" y="1125855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39</xdr:row>
      <xdr:rowOff>789782</xdr:rowOff>
    </xdr:from>
    <xdr:to>
      <xdr:col>37</xdr:col>
      <xdr:colOff>408748</xdr:colOff>
      <xdr:row>39</xdr:row>
      <xdr:rowOff>801343</xdr:rowOff>
    </xdr:to>
    <xdr:sp macro="" textlink="">
      <xdr:nvSpPr>
        <xdr:cNvPr id="252960" name="Text Box 32" hidden="1">
          <a:extLst>
            <a:ext uri="{FF2B5EF4-FFF2-40B4-BE49-F238E27FC236}">
              <a16:creationId xmlns:a16="http://schemas.microsoft.com/office/drawing/2014/main" id="{1890B0FB-19B1-417B-A58E-2210E591B13A}"/>
            </a:ext>
          </a:extLst>
        </xdr:cNvPr>
        <xdr:cNvSpPr txBox="1">
          <a:spLocks noChangeArrowheads="1"/>
        </xdr:cNvSpPr>
      </xdr:nvSpPr>
      <xdr:spPr bwMode="auto">
        <a:xfrm>
          <a:off x="30127575" y="93440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39</xdr:row>
      <xdr:rowOff>923168</xdr:rowOff>
    </xdr:from>
    <xdr:to>
      <xdr:col>37</xdr:col>
      <xdr:colOff>507397</xdr:colOff>
      <xdr:row>39</xdr:row>
      <xdr:rowOff>954072</xdr:rowOff>
    </xdr:to>
    <xdr:sp macro="" textlink="">
      <xdr:nvSpPr>
        <xdr:cNvPr id="252969" name="Text Box 41" hidden="1">
          <a:extLst>
            <a:ext uri="{FF2B5EF4-FFF2-40B4-BE49-F238E27FC236}">
              <a16:creationId xmlns:a16="http://schemas.microsoft.com/office/drawing/2014/main" id="{3788E8AC-2054-4869-A54F-426879347DFB}"/>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39</xdr:row>
      <xdr:rowOff>923168</xdr:rowOff>
    </xdr:from>
    <xdr:to>
      <xdr:col>37</xdr:col>
      <xdr:colOff>296353</xdr:colOff>
      <xdr:row>52</xdr:row>
      <xdr:rowOff>285923</xdr:rowOff>
    </xdr:to>
    <xdr:sp macro="" textlink="">
      <xdr:nvSpPr>
        <xdr:cNvPr id="252968" name="Text Box 40" hidden="1">
          <a:extLst>
            <a:ext uri="{FF2B5EF4-FFF2-40B4-BE49-F238E27FC236}">
              <a16:creationId xmlns:a16="http://schemas.microsoft.com/office/drawing/2014/main" id="{26FAF55B-77B7-47EE-BA2F-828B45D76F61}"/>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47</xdr:row>
      <xdr:rowOff>191203</xdr:rowOff>
    </xdr:from>
    <xdr:to>
      <xdr:col>37</xdr:col>
      <xdr:colOff>296353</xdr:colOff>
      <xdr:row>47</xdr:row>
      <xdr:rowOff>191203</xdr:rowOff>
    </xdr:to>
    <xdr:sp macro="" textlink="">
      <xdr:nvSpPr>
        <xdr:cNvPr id="252967" name="Text Box 39" hidden="1">
          <a:extLst>
            <a:ext uri="{FF2B5EF4-FFF2-40B4-BE49-F238E27FC236}">
              <a16:creationId xmlns:a16="http://schemas.microsoft.com/office/drawing/2014/main" id="{0B6DF588-52D4-4336-9541-15FFAEBACF3C}"/>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47</xdr:row>
      <xdr:rowOff>191203</xdr:rowOff>
    </xdr:from>
    <xdr:to>
      <xdr:col>37</xdr:col>
      <xdr:colOff>372553</xdr:colOff>
      <xdr:row>47</xdr:row>
      <xdr:rowOff>191203</xdr:rowOff>
    </xdr:to>
    <xdr:sp macro="" textlink="">
      <xdr:nvSpPr>
        <xdr:cNvPr id="252966" name="Text Box 38" hidden="1">
          <a:extLst>
            <a:ext uri="{FF2B5EF4-FFF2-40B4-BE49-F238E27FC236}">
              <a16:creationId xmlns:a16="http://schemas.microsoft.com/office/drawing/2014/main" id="{E4EEF175-76F4-400F-A15C-65A81EAF87B6}"/>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39</xdr:row>
      <xdr:rowOff>923168</xdr:rowOff>
    </xdr:from>
    <xdr:to>
      <xdr:col>37</xdr:col>
      <xdr:colOff>372553</xdr:colOff>
      <xdr:row>39</xdr:row>
      <xdr:rowOff>954072</xdr:rowOff>
    </xdr:to>
    <xdr:sp macro="" textlink="">
      <xdr:nvSpPr>
        <xdr:cNvPr id="252965" name="Text Box 37" hidden="1">
          <a:extLst>
            <a:ext uri="{FF2B5EF4-FFF2-40B4-BE49-F238E27FC236}">
              <a16:creationId xmlns:a16="http://schemas.microsoft.com/office/drawing/2014/main" id="{2FCAFE45-AFAC-461D-92F3-B968F165F487}"/>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22</xdr:row>
      <xdr:rowOff>145423</xdr:rowOff>
    </xdr:from>
    <xdr:to>
      <xdr:col>2</xdr:col>
      <xdr:colOff>629770</xdr:colOff>
      <xdr:row>26</xdr:row>
      <xdr:rowOff>610</xdr:rowOff>
    </xdr:to>
    <xdr:sp macro="" textlink="">
      <xdr:nvSpPr>
        <xdr:cNvPr id="252970" name="Text Box 42" hidden="1">
          <a:extLst>
            <a:ext uri="{FF2B5EF4-FFF2-40B4-BE49-F238E27FC236}">
              <a16:creationId xmlns:a16="http://schemas.microsoft.com/office/drawing/2014/main" id="{28B0A706-A281-4013-BFBF-6AB24A942F5E}"/>
            </a:ext>
          </a:extLst>
        </xdr:cNvPr>
        <xdr:cNvSpPr txBox="1">
          <a:spLocks noChangeArrowheads="1"/>
        </xdr:cNvSpPr>
      </xdr:nvSpPr>
      <xdr:spPr bwMode="auto">
        <a:xfrm>
          <a:off x="4695825" y="47720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83185</xdr:rowOff>
    </xdr:from>
    <xdr:to>
      <xdr:col>2</xdr:col>
      <xdr:colOff>477370</xdr:colOff>
      <xdr:row>10</xdr:row>
      <xdr:rowOff>218682</xdr:rowOff>
    </xdr:to>
    <xdr:sp macro="" textlink="">
      <xdr:nvSpPr>
        <xdr:cNvPr id="252971" name="Text Box 43" hidden="1">
          <a:extLst>
            <a:ext uri="{FF2B5EF4-FFF2-40B4-BE49-F238E27FC236}">
              <a16:creationId xmlns:a16="http://schemas.microsoft.com/office/drawing/2014/main" id="{FE333180-0697-4528-8E24-8CBE273B9E42}"/>
            </a:ext>
          </a:extLst>
        </xdr:cNvPr>
        <xdr:cNvSpPr txBox="1">
          <a:spLocks noChangeArrowheads="1"/>
        </xdr:cNvSpPr>
      </xdr:nvSpPr>
      <xdr:spPr bwMode="auto">
        <a:xfrm>
          <a:off x="4657725" y="1533525"/>
          <a:ext cx="12382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29345</xdr:rowOff>
    </xdr:to>
    <xdr:sp macro="" textlink="">
      <xdr:nvSpPr>
        <xdr:cNvPr id="252972" name="Text Box 44" hidden="1">
          <a:extLst>
            <a:ext uri="{FF2B5EF4-FFF2-40B4-BE49-F238E27FC236}">
              <a16:creationId xmlns:a16="http://schemas.microsoft.com/office/drawing/2014/main" id="{70E1DB2C-5B7E-4093-B794-73BEB90A08C5}"/>
            </a:ext>
          </a:extLst>
        </xdr:cNvPr>
        <xdr:cNvSpPr txBox="1">
          <a:spLocks noChangeArrowheads="1"/>
        </xdr:cNvSpPr>
      </xdr:nvSpPr>
      <xdr:spPr bwMode="auto">
        <a:xfrm>
          <a:off x="4657725" y="1790700"/>
          <a:ext cx="12382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24</xdr:row>
      <xdr:rowOff>6783</xdr:rowOff>
    </xdr:from>
    <xdr:to>
      <xdr:col>18</xdr:col>
      <xdr:colOff>466459</xdr:colOff>
      <xdr:row>28</xdr:row>
      <xdr:rowOff>144614</xdr:rowOff>
    </xdr:to>
    <xdr:sp macro="" textlink="">
      <xdr:nvSpPr>
        <xdr:cNvPr id="252973" name="Text Box 45" hidden="1">
          <a:extLst>
            <a:ext uri="{FF2B5EF4-FFF2-40B4-BE49-F238E27FC236}">
              <a16:creationId xmlns:a16="http://schemas.microsoft.com/office/drawing/2014/main" id="{A3658ADF-5822-4B2C-BAE0-69558E367330}"/>
            </a:ext>
          </a:extLst>
        </xdr:cNvPr>
        <xdr:cNvSpPr txBox="1">
          <a:spLocks noChangeArrowheads="1"/>
        </xdr:cNvSpPr>
      </xdr:nvSpPr>
      <xdr:spPr bwMode="auto">
        <a:xfrm>
          <a:off x="16773525" y="5105400"/>
          <a:ext cx="1247775"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39</xdr:row>
      <xdr:rowOff>923168</xdr:rowOff>
    </xdr:from>
    <xdr:to>
      <xdr:col>37</xdr:col>
      <xdr:colOff>507397</xdr:colOff>
      <xdr:row>39</xdr:row>
      <xdr:rowOff>954072</xdr:rowOff>
    </xdr:to>
    <xdr:sp macro="" textlink="">
      <xdr:nvSpPr>
        <xdr:cNvPr id="252982" name="Text Box 54" hidden="1">
          <a:extLst>
            <a:ext uri="{FF2B5EF4-FFF2-40B4-BE49-F238E27FC236}">
              <a16:creationId xmlns:a16="http://schemas.microsoft.com/office/drawing/2014/main" id="{0BE3F2EB-4954-4CA3-AF6E-BD72A1CCEF07}"/>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39</xdr:row>
      <xdr:rowOff>923168</xdr:rowOff>
    </xdr:from>
    <xdr:to>
      <xdr:col>37</xdr:col>
      <xdr:colOff>296353</xdr:colOff>
      <xdr:row>52</xdr:row>
      <xdr:rowOff>285923</xdr:rowOff>
    </xdr:to>
    <xdr:sp macro="" textlink="">
      <xdr:nvSpPr>
        <xdr:cNvPr id="252981" name="Text Box 53" hidden="1">
          <a:extLst>
            <a:ext uri="{FF2B5EF4-FFF2-40B4-BE49-F238E27FC236}">
              <a16:creationId xmlns:a16="http://schemas.microsoft.com/office/drawing/2014/main" id="{23DCBB77-3513-42B6-90B2-3CD3CDB3DEBE}"/>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47</xdr:row>
      <xdr:rowOff>191203</xdr:rowOff>
    </xdr:from>
    <xdr:to>
      <xdr:col>37</xdr:col>
      <xdr:colOff>296353</xdr:colOff>
      <xdr:row>47</xdr:row>
      <xdr:rowOff>191203</xdr:rowOff>
    </xdr:to>
    <xdr:sp macro="" textlink="">
      <xdr:nvSpPr>
        <xdr:cNvPr id="252980" name="Text Box 52" hidden="1">
          <a:extLst>
            <a:ext uri="{FF2B5EF4-FFF2-40B4-BE49-F238E27FC236}">
              <a16:creationId xmlns:a16="http://schemas.microsoft.com/office/drawing/2014/main" id="{AD69B076-C91E-4D04-BC12-22A334449DE8}"/>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47</xdr:row>
      <xdr:rowOff>191203</xdr:rowOff>
    </xdr:from>
    <xdr:to>
      <xdr:col>37</xdr:col>
      <xdr:colOff>372553</xdr:colOff>
      <xdr:row>47</xdr:row>
      <xdr:rowOff>191203</xdr:rowOff>
    </xdr:to>
    <xdr:sp macro="" textlink="">
      <xdr:nvSpPr>
        <xdr:cNvPr id="252979" name="Text Box 51" hidden="1">
          <a:extLst>
            <a:ext uri="{FF2B5EF4-FFF2-40B4-BE49-F238E27FC236}">
              <a16:creationId xmlns:a16="http://schemas.microsoft.com/office/drawing/2014/main" id="{11F9DD7D-ABFE-4559-A1A9-7424B48D89AF}"/>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39</xdr:row>
      <xdr:rowOff>923168</xdr:rowOff>
    </xdr:from>
    <xdr:to>
      <xdr:col>37</xdr:col>
      <xdr:colOff>372553</xdr:colOff>
      <xdr:row>39</xdr:row>
      <xdr:rowOff>954072</xdr:rowOff>
    </xdr:to>
    <xdr:sp macro="" textlink="">
      <xdr:nvSpPr>
        <xdr:cNvPr id="252978" name="Text Box 50" hidden="1">
          <a:extLst>
            <a:ext uri="{FF2B5EF4-FFF2-40B4-BE49-F238E27FC236}">
              <a16:creationId xmlns:a16="http://schemas.microsoft.com/office/drawing/2014/main" id="{C5BF4F7F-B33C-4B3A-9511-1BFBAEECA128}"/>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22</xdr:row>
      <xdr:rowOff>145423</xdr:rowOff>
    </xdr:from>
    <xdr:to>
      <xdr:col>2</xdr:col>
      <xdr:colOff>629770</xdr:colOff>
      <xdr:row>26</xdr:row>
      <xdr:rowOff>610</xdr:rowOff>
    </xdr:to>
    <xdr:sp macro="" textlink="">
      <xdr:nvSpPr>
        <xdr:cNvPr id="252977" name="Text Box 49" hidden="1">
          <a:extLst>
            <a:ext uri="{FF2B5EF4-FFF2-40B4-BE49-F238E27FC236}">
              <a16:creationId xmlns:a16="http://schemas.microsoft.com/office/drawing/2014/main" id="{049360C9-661E-4425-B7C7-AF95F6C277B7}"/>
            </a:ext>
          </a:extLst>
        </xdr:cNvPr>
        <xdr:cNvSpPr txBox="1">
          <a:spLocks noChangeArrowheads="1"/>
        </xdr:cNvSpPr>
      </xdr:nvSpPr>
      <xdr:spPr bwMode="auto">
        <a:xfrm>
          <a:off x="4695825" y="4772025"/>
          <a:ext cx="13525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83185</xdr:rowOff>
    </xdr:from>
    <xdr:to>
      <xdr:col>2</xdr:col>
      <xdr:colOff>477370</xdr:colOff>
      <xdr:row>10</xdr:row>
      <xdr:rowOff>218682</xdr:rowOff>
    </xdr:to>
    <xdr:sp macro="" textlink="">
      <xdr:nvSpPr>
        <xdr:cNvPr id="252976" name="Text Box 48" hidden="1">
          <a:extLst>
            <a:ext uri="{FF2B5EF4-FFF2-40B4-BE49-F238E27FC236}">
              <a16:creationId xmlns:a16="http://schemas.microsoft.com/office/drawing/2014/main" id="{92B6BF94-2DE9-49A3-B33C-A5E08F003560}"/>
            </a:ext>
          </a:extLst>
        </xdr:cNvPr>
        <xdr:cNvSpPr txBox="1">
          <a:spLocks noChangeArrowheads="1"/>
        </xdr:cNvSpPr>
      </xdr:nvSpPr>
      <xdr:spPr bwMode="auto">
        <a:xfrm>
          <a:off x="4657725" y="1533525"/>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29345</xdr:rowOff>
    </xdr:to>
    <xdr:sp macro="" textlink="">
      <xdr:nvSpPr>
        <xdr:cNvPr id="252975" name="Text Box 47" hidden="1">
          <a:extLst>
            <a:ext uri="{FF2B5EF4-FFF2-40B4-BE49-F238E27FC236}">
              <a16:creationId xmlns:a16="http://schemas.microsoft.com/office/drawing/2014/main" id="{59A159B8-A8F3-4898-803A-D5D60C7CE7AD}"/>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24</xdr:row>
      <xdr:rowOff>6783</xdr:rowOff>
    </xdr:from>
    <xdr:to>
      <xdr:col>18</xdr:col>
      <xdr:colOff>466459</xdr:colOff>
      <xdr:row>28</xdr:row>
      <xdr:rowOff>144614</xdr:rowOff>
    </xdr:to>
    <xdr:sp macro="" textlink="">
      <xdr:nvSpPr>
        <xdr:cNvPr id="252974" name="Text Box 46" hidden="1">
          <a:extLst>
            <a:ext uri="{FF2B5EF4-FFF2-40B4-BE49-F238E27FC236}">
              <a16:creationId xmlns:a16="http://schemas.microsoft.com/office/drawing/2014/main" id="{6546A510-A1DD-4760-A2ED-36F2630B4036}"/>
            </a:ext>
          </a:extLst>
        </xdr:cNvPr>
        <xdr:cNvSpPr txBox="1">
          <a:spLocks noChangeArrowheads="1"/>
        </xdr:cNvSpPr>
      </xdr:nvSpPr>
      <xdr:spPr bwMode="auto">
        <a:xfrm>
          <a:off x="16773525" y="5105400"/>
          <a:ext cx="1247775"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53</xdr:row>
      <xdr:rowOff>126404</xdr:rowOff>
    </xdr:from>
    <xdr:to>
      <xdr:col>37</xdr:col>
      <xdr:colOff>507397</xdr:colOff>
      <xdr:row>57</xdr:row>
      <xdr:rowOff>27172</xdr:rowOff>
    </xdr:to>
    <xdr:sp macro="" textlink="">
      <xdr:nvSpPr>
        <xdr:cNvPr id="252991" name="Text Box 63" hidden="1">
          <a:extLst>
            <a:ext uri="{FF2B5EF4-FFF2-40B4-BE49-F238E27FC236}">
              <a16:creationId xmlns:a16="http://schemas.microsoft.com/office/drawing/2014/main" id="{BFD1EE6B-95A4-47ED-A487-E207D12A5C58}"/>
            </a:ext>
          </a:extLst>
        </xdr:cNvPr>
        <xdr:cNvSpPr txBox="1">
          <a:spLocks noChangeArrowheads="1"/>
        </xdr:cNvSpPr>
      </xdr:nvSpPr>
      <xdr:spPr bwMode="auto">
        <a:xfrm>
          <a:off x="31059120" y="12115800"/>
          <a:ext cx="10210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53</xdr:row>
      <xdr:rowOff>126404</xdr:rowOff>
    </xdr:from>
    <xdr:to>
      <xdr:col>37</xdr:col>
      <xdr:colOff>296353</xdr:colOff>
      <xdr:row>69</xdr:row>
      <xdr:rowOff>145982</xdr:rowOff>
    </xdr:to>
    <xdr:sp macro="" textlink="">
      <xdr:nvSpPr>
        <xdr:cNvPr id="252990" name="Text Box 62" hidden="1">
          <a:extLst>
            <a:ext uri="{FF2B5EF4-FFF2-40B4-BE49-F238E27FC236}">
              <a16:creationId xmlns:a16="http://schemas.microsoft.com/office/drawing/2014/main" id="{69398DC4-9088-4944-8533-807E8BFE1887}"/>
            </a:ext>
          </a:extLst>
        </xdr:cNvPr>
        <xdr:cNvSpPr txBox="1">
          <a:spLocks noChangeArrowheads="1"/>
        </xdr:cNvSpPr>
      </xdr:nvSpPr>
      <xdr:spPr bwMode="auto">
        <a:xfrm>
          <a:off x="30982920" y="12115800"/>
          <a:ext cx="944880" cy="2865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63</xdr:row>
      <xdr:rowOff>57108</xdr:rowOff>
    </xdr:from>
    <xdr:to>
      <xdr:col>37</xdr:col>
      <xdr:colOff>296353</xdr:colOff>
      <xdr:row>63</xdr:row>
      <xdr:rowOff>57108</xdr:rowOff>
    </xdr:to>
    <xdr:sp macro="" textlink="">
      <xdr:nvSpPr>
        <xdr:cNvPr id="252989" name="Text Box 61" hidden="1">
          <a:extLst>
            <a:ext uri="{FF2B5EF4-FFF2-40B4-BE49-F238E27FC236}">
              <a16:creationId xmlns:a16="http://schemas.microsoft.com/office/drawing/2014/main" id="{DCAA9619-86FB-43AC-A53F-810870FD8E9B}"/>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63</xdr:row>
      <xdr:rowOff>57108</xdr:rowOff>
    </xdr:from>
    <xdr:to>
      <xdr:col>37</xdr:col>
      <xdr:colOff>372553</xdr:colOff>
      <xdr:row>63</xdr:row>
      <xdr:rowOff>57108</xdr:rowOff>
    </xdr:to>
    <xdr:sp macro="" textlink="">
      <xdr:nvSpPr>
        <xdr:cNvPr id="252988" name="Text Box 60" hidden="1">
          <a:extLst>
            <a:ext uri="{FF2B5EF4-FFF2-40B4-BE49-F238E27FC236}">
              <a16:creationId xmlns:a16="http://schemas.microsoft.com/office/drawing/2014/main" id="{CEFD9844-1CFC-42DF-8B44-2FA445227019}"/>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53</xdr:row>
      <xdr:rowOff>126404</xdr:rowOff>
    </xdr:from>
    <xdr:to>
      <xdr:col>37</xdr:col>
      <xdr:colOff>372553</xdr:colOff>
      <xdr:row>57</xdr:row>
      <xdr:rowOff>27172</xdr:rowOff>
    </xdr:to>
    <xdr:sp macro="" textlink="">
      <xdr:nvSpPr>
        <xdr:cNvPr id="252987" name="Text Box 59" hidden="1">
          <a:extLst>
            <a:ext uri="{FF2B5EF4-FFF2-40B4-BE49-F238E27FC236}">
              <a16:creationId xmlns:a16="http://schemas.microsoft.com/office/drawing/2014/main" id="{25690184-2451-433B-86AF-12849052092B}"/>
            </a:ext>
          </a:extLst>
        </xdr:cNvPr>
        <xdr:cNvSpPr txBox="1">
          <a:spLocks noChangeArrowheads="1"/>
        </xdr:cNvSpPr>
      </xdr:nvSpPr>
      <xdr:spPr bwMode="auto">
        <a:xfrm>
          <a:off x="31059120" y="12115800"/>
          <a:ext cx="9448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162245</xdr:rowOff>
    </xdr:from>
    <xdr:to>
      <xdr:col>2</xdr:col>
      <xdr:colOff>629770</xdr:colOff>
      <xdr:row>31</xdr:row>
      <xdr:rowOff>123266</xdr:rowOff>
    </xdr:to>
    <xdr:sp macro="" textlink="">
      <xdr:nvSpPr>
        <xdr:cNvPr id="252986" name="Text Box 58" hidden="1">
          <a:extLst>
            <a:ext uri="{FF2B5EF4-FFF2-40B4-BE49-F238E27FC236}">
              <a16:creationId xmlns:a16="http://schemas.microsoft.com/office/drawing/2014/main" id="{D812E8B6-460E-4906-8541-2A65DA047244}"/>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218682</xdr:rowOff>
    </xdr:to>
    <xdr:sp macro="" textlink="">
      <xdr:nvSpPr>
        <xdr:cNvPr id="252985" name="Text Box 57" hidden="1">
          <a:extLst>
            <a:ext uri="{FF2B5EF4-FFF2-40B4-BE49-F238E27FC236}">
              <a16:creationId xmlns:a16="http://schemas.microsoft.com/office/drawing/2014/main" id="{32F5C8BC-F625-4177-BC8B-54BCDC4C37BE}"/>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29345</xdr:rowOff>
    </xdr:to>
    <xdr:sp macro="" textlink="">
      <xdr:nvSpPr>
        <xdr:cNvPr id="252984" name="Text Box 56" hidden="1">
          <a:extLst>
            <a:ext uri="{FF2B5EF4-FFF2-40B4-BE49-F238E27FC236}">
              <a16:creationId xmlns:a16="http://schemas.microsoft.com/office/drawing/2014/main" id="{22F21265-52F7-41D2-83AC-14DA53F3062E}"/>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32</xdr:row>
      <xdr:rowOff>27688</xdr:rowOff>
    </xdr:from>
    <xdr:to>
      <xdr:col>18</xdr:col>
      <xdr:colOff>466459</xdr:colOff>
      <xdr:row>36</xdr:row>
      <xdr:rowOff>7398</xdr:rowOff>
    </xdr:to>
    <xdr:sp macro="" textlink="">
      <xdr:nvSpPr>
        <xdr:cNvPr id="252983" name="Text Box 55" hidden="1">
          <a:extLst>
            <a:ext uri="{FF2B5EF4-FFF2-40B4-BE49-F238E27FC236}">
              <a16:creationId xmlns:a16="http://schemas.microsoft.com/office/drawing/2014/main" id="{B5023283-094F-46B0-887B-211C4B384127}"/>
            </a:ext>
          </a:extLst>
        </xdr:cNvPr>
        <xdr:cNvSpPr txBox="1">
          <a:spLocks noChangeArrowheads="1"/>
        </xdr:cNvSpPr>
      </xdr:nvSpPr>
      <xdr:spPr bwMode="auto">
        <a:xfrm>
          <a:off x="17259300" y="6659880"/>
          <a:ext cx="126492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53</xdr:row>
      <xdr:rowOff>126404</xdr:rowOff>
    </xdr:from>
    <xdr:to>
      <xdr:col>37</xdr:col>
      <xdr:colOff>507397</xdr:colOff>
      <xdr:row>57</xdr:row>
      <xdr:rowOff>27172</xdr:rowOff>
    </xdr:to>
    <xdr:sp macro="" textlink="">
      <xdr:nvSpPr>
        <xdr:cNvPr id="253000" name="Text Box 72" hidden="1">
          <a:extLst>
            <a:ext uri="{FF2B5EF4-FFF2-40B4-BE49-F238E27FC236}">
              <a16:creationId xmlns:a16="http://schemas.microsoft.com/office/drawing/2014/main" id="{615D2614-9C2E-4B62-BC72-BA76591164EB}"/>
            </a:ext>
          </a:extLst>
        </xdr:cNvPr>
        <xdr:cNvSpPr txBox="1">
          <a:spLocks noChangeArrowheads="1"/>
        </xdr:cNvSpPr>
      </xdr:nvSpPr>
      <xdr:spPr bwMode="auto">
        <a:xfrm>
          <a:off x="31059120" y="12108180"/>
          <a:ext cx="10210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53</xdr:row>
      <xdr:rowOff>126404</xdr:rowOff>
    </xdr:from>
    <xdr:to>
      <xdr:col>37</xdr:col>
      <xdr:colOff>296353</xdr:colOff>
      <xdr:row>69</xdr:row>
      <xdr:rowOff>145982</xdr:rowOff>
    </xdr:to>
    <xdr:sp macro="" textlink="">
      <xdr:nvSpPr>
        <xdr:cNvPr id="252999" name="Text Box 71" hidden="1">
          <a:extLst>
            <a:ext uri="{FF2B5EF4-FFF2-40B4-BE49-F238E27FC236}">
              <a16:creationId xmlns:a16="http://schemas.microsoft.com/office/drawing/2014/main" id="{5841208A-67FE-4529-94B9-6FA88213C02E}"/>
            </a:ext>
          </a:extLst>
        </xdr:cNvPr>
        <xdr:cNvSpPr txBox="1">
          <a:spLocks noChangeArrowheads="1"/>
        </xdr:cNvSpPr>
      </xdr:nvSpPr>
      <xdr:spPr bwMode="auto">
        <a:xfrm>
          <a:off x="30982920" y="12108180"/>
          <a:ext cx="944880" cy="2872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63</xdr:row>
      <xdr:rowOff>57108</xdr:rowOff>
    </xdr:from>
    <xdr:to>
      <xdr:col>37</xdr:col>
      <xdr:colOff>296353</xdr:colOff>
      <xdr:row>63</xdr:row>
      <xdr:rowOff>57108</xdr:rowOff>
    </xdr:to>
    <xdr:sp macro="" textlink="">
      <xdr:nvSpPr>
        <xdr:cNvPr id="252998" name="Text Box 70" hidden="1">
          <a:extLst>
            <a:ext uri="{FF2B5EF4-FFF2-40B4-BE49-F238E27FC236}">
              <a16:creationId xmlns:a16="http://schemas.microsoft.com/office/drawing/2014/main" id="{4D430E1E-015F-4992-9C5E-A1A9954290F2}"/>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63</xdr:row>
      <xdr:rowOff>57108</xdr:rowOff>
    </xdr:from>
    <xdr:to>
      <xdr:col>37</xdr:col>
      <xdr:colOff>372553</xdr:colOff>
      <xdr:row>63</xdr:row>
      <xdr:rowOff>57108</xdr:rowOff>
    </xdr:to>
    <xdr:sp macro="" textlink="">
      <xdr:nvSpPr>
        <xdr:cNvPr id="252997" name="Text Box 69" hidden="1">
          <a:extLst>
            <a:ext uri="{FF2B5EF4-FFF2-40B4-BE49-F238E27FC236}">
              <a16:creationId xmlns:a16="http://schemas.microsoft.com/office/drawing/2014/main" id="{759440E9-1D10-4A34-AF08-6AD577350704}"/>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53</xdr:row>
      <xdr:rowOff>126404</xdr:rowOff>
    </xdr:from>
    <xdr:to>
      <xdr:col>37</xdr:col>
      <xdr:colOff>372553</xdr:colOff>
      <xdr:row>57</xdr:row>
      <xdr:rowOff>27172</xdr:rowOff>
    </xdr:to>
    <xdr:sp macro="" textlink="">
      <xdr:nvSpPr>
        <xdr:cNvPr id="252996" name="Text Box 68" hidden="1">
          <a:extLst>
            <a:ext uri="{FF2B5EF4-FFF2-40B4-BE49-F238E27FC236}">
              <a16:creationId xmlns:a16="http://schemas.microsoft.com/office/drawing/2014/main" id="{0742B5BF-EA5B-4F61-9A5F-5FD1B6924CDD}"/>
            </a:ext>
          </a:extLst>
        </xdr:cNvPr>
        <xdr:cNvSpPr txBox="1">
          <a:spLocks noChangeArrowheads="1"/>
        </xdr:cNvSpPr>
      </xdr:nvSpPr>
      <xdr:spPr bwMode="auto">
        <a:xfrm>
          <a:off x="31059120" y="12108180"/>
          <a:ext cx="9448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162245</xdr:rowOff>
    </xdr:from>
    <xdr:to>
      <xdr:col>2</xdr:col>
      <xdr:colOff>629770</xdr:colOff>
      <xdr:row>31</xdr:row>
      <xdr:rowOff>123266</xdr:rowOff>
    </xdr:to>
    <xdr:sp macro="" textlink="">
      <xdr:nvSpPr>
        <xdr:cNvPr id="252995" name="Text Box 67" hidden="1">
          <a:extLst>
            <a:ext uri="{FF2B5EF4-FFF2-40B4-BE49-F238E27FC236}">
              <a16:creationId xmlns:a16="http://schemas.microsoft.com/office/drawing/2014/main" id="{7415E1EA-4FA0-4E5C-BC64-4AEE8F28EDA2}"/>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218682</xdr:rowOff>
    </xdr:to>
    <xdr:sp macro="" textlink="">
      <xdr:nvSpPr>
        <xdr:cNvPr id="252994" name="Text Box 66" hidden="1">
          <a:extLst>
            <a:ext uri="{FF2B5EF4-FFF2-40B4-BE49-F238E27FC236}">
              <a16:creationId xmlns:a16="http://schemas.microsoft.com/office/drawing/2014/main" id="{9E723FCD-5180-49D8-AADB-88FE0A5BFFDC}"/>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29345</xdr:rowOff>
    </xdr:to>
    <xdr:sp macro="" textlink="">
      <xdr:nvSpPr>
        <xdr:cNvPr id="252993" name="Text Box 65" hidden="1">
          <a:extLst>
            <a:ext uri="{FF2B5EF4-FFF2-40B4-BE49-F238E27FC236}">
              <a16:creationId xmlns:a16="http://schemas.microsoft.com/office/drawing/2014/main" id="{17D4BCAA-74C9-4AC2-9612-328AD689E63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32</xdr:row>
      <xdr:rowOff>27688</xdr:rowOff>
    </xdr:from>
    <xdr:to>
      <xdr:col>18</xdr:col>
      <xdr:colOff>427724</xdr:colOff>
      <xdr:row>36</xdr:row>
      <xdr:rowOff>7398</xdr:rowOff>
    </xdr:to>
    <xdr:sp macro="" textlink="">
      <xdr:nvSpPr>
        <xdr:cNvPr id="252992" name="Text Box 64" hidden="1">
          <a:extLst>
            <a:ext uri="{FF2B5EF4-FFF2-40B4-BE49-F238E27FC236}">
              <a16:creationId xmlns:a16="http://schemas.microsoft.com/office/drawing/2014/main" id="{D85560FE-51C6-499C-AE7B-16D190CB9E4C}"/>
            </a:ext>
          </a:extLst>
        </xdr:cNvPr>
        <xdr:cNvSpPr txBox="1">
          <a:spLocks noChangeArrowheads="1"/>
        </xdr:cNvSpPr>
      </xdr:nvSpPr>
      <xdr:spPr bwMode="auto">
        <a:xfrm>
          <a:off x="17259300" y="6652260"/>
          <a:ext cx="12573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53</xdr:row>
      <xdr:rowOff>139935</xdr:rowOff>
    </xdr:from>
    <xdr:to>
      <xdr:col>37</xdr:col>
      <xdr:colOff>507397</xdr:colOff>
      <xdr:row>57</xdr:row>
      <xdr:rowOff>27172</xdr:rowOff>
    </xdr:to>
    <xdr:sp macro="" textlink="">
      <xdr:nvSpPr>
        <xdr:cNvPr id="253009" name="Text Box 81" hidden="1">
          <a:extLst>
            <a:ext uri="{FF2B5EF4-FFF2-40B4-BE49-F238E27FC236}">
              <a16:creationId xmlns:a16="http://schemas.microsoft.com/office/drawing/2014/main" id="{76C508AD-DE07-4D26-A590-486FABBB5406}"/>
            </a:ext>
          </a:extLst>
        </xdr:cNvPr>
        <xdr:cNvSpPr txBox="1">
          <a:spLocks noChangeArrowheads="1"/>
        </xdr:cNvSpPr>
      </xdr:nvSpPr>
      <xdr:spPr bwMode="auto">
        <a:xfrm>
          <a:off x="31059120" y="12100560"/>
          <a:ext cx="10210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53</xdr:row>
      <xdr:rowOff>139935</xdr:rowOff>
    </xdr:from>
    <xdr:to>
      <xdr:col>37</xdr:col>
      <xdr:colOff>296353</xdr:colOff>
      <xdr:row>69</xdr:row>
      <xdr:rowOff>145982</xdr:rowOff>
    </xdr:to>
    <xdr:sp macro="" textlink="">
      <xdr:nvSpPr>
        <xdr:cNvPr id="253008" name="Text Box 80" hidden="1">
          <a:extLst>
            <a:ext uri="{FF2B5EF4-FFF2-40B4-BE49-F238E27FC236}">
              <a16:creationId xmlns:a16="http://schemas.microsoft.com/office/drawing/2014/main" id="{11EF4E8B-0BD4-477B-9B89-3E486C7C951A}"/>
            </a:ext>
          </a:extLst>
        </xdr:cNvPr>
        <xdr:cNvSpPr txBox="1">
          <a:spLocks noChangeArrowheads="1"/>
        </xdr:cNvSpPr>
      </xdr:nvSpPr>
      <xdr:spPr bwMode="auto">
        <a:xfrm>
          <a:off x="30982920" y="12100560"/>
          <a:ext cx="944880" cy="28803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63</xdr:row>
      <xdr:rowOff>57108</xdr:rowOff>
    </xdr:from>
    <xdr:to>
      <xdr:col>37</xdr:col>
      <xdr:colOff>296353</xdr:colOff>
      <xdr:row>63</xdr:row>
      <xdr:rowOff>57108</xdr:rowOff>
    </xdr:to>
    <xdr:sp macro="" textlink="">
      <xdr:nvSpPr>
        <xdr:cNvPr id="253007" name="Text Box 79" hidden="1">
          <a:extLst>
            <a:ext uri="{FF2B5EF4-FFF2-40B4-BE49-F238E27FC236}">
              <a16:creationId xmlns:a16="http://schemas.microsoft.com/office/drawing/2014/main" id="{6785D461-9033-4466-B879-37EE17B50771}"/>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63</xdr:row>
      <xdr:rowOff>57108</xdr:rowOff>
    </xdr:from>
    <xdr:to>
      <xdr:col>37</xdr:col>
      <xdr:colOff>372553</xdr:colOff>
      <xdr:row>63</xdr:row>
      <xdr:rowOff>57108</xdr:rowOff>
    </xdr:to>
    <xdr:sp macro="" textlink="">
      <xdr:nvSpPr>
        <xdr:cNvPr id="253006" name="Text Box 78" hidden="1">
          <a:extLst>
            <a:ext uri="{FF2B5EF4-FFF2-40B4-BE49-F238E27FC236}">
              <a16:creationId xmlns:a16="http://schemas.microsoft.com/office/drawing/2014/main" id="{9343F6C0-EA27-400E-9829-EB702DC31CC7}"/>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53</xdr:row>
      <xdr:rowOff>139935</xdr:rowOff>
    </xdr:from>
    <xdr:to>
      <xdr:col>37</xdr:col>
      <xdr:colOff>372553</xdr:colOff>
      <xdr:row>57</xdr:row>
      <xdr:rowOff>27172</xdr:rowOff>
    </xdr:to>
    <xdr:sp macro="" textlink="">
      <xdr:nvSpPr>
        <xdr:cNvPr id="253005" name="Text Box 77" hidden="1">
          <a:extLst>
            <a:ext uri="{FF2B5EF4-FFF2-40B4-BE49-F238E27FC236}">
              <a16:creationId xmlns:a16="http://schemas.microsoft.com/office/drawing/2014/main" id="{9466D8F7-16AC-4136-907B-33BA8CF32F64}"/>
            </a:ext>
          </a:extLst>
        </xdr:cNvPr>
        <xdr:cNvSpPr txBox="1">
          <a:spLocks noChangeArrowheads="1"/>
        </xdr:cNvSpPr>
      </xdr:nvSpPr>
      <xdr:spPr bwMode="auto">
        <a:xfrm>
          <a:off x="31059120" y="12100560"/>
          <a:ext cx="9448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162245</xdr:rowOff>
    </xdr:from>
    <xdr:to>
      <xdr:col>2</xdr:col>
      <xdr:colOff>629770</xdr:colOff>
      <xdr:row>31</xdr:row>
      <xdr:rowOff>123266</xdr:rowOff>
    </xdr:to>
    <xdr:sp macro="" textlink="">
      <xdr:nvSpPr>
        <xdr:cNvPr id="253004" name="Text Box 76" hidden="1">
          <a:extLst>
            <a:ext uri="{FF2B5EF4-FFF2-40B4-BE49-F238E27FC236}">
              <a16:creationId xmlns:a16="http://schemas.microsoft.com/office/drawing/2014/main" id="{4E000CC3-A160-458A-BF6B-209F52D18EC1}"/>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218682</xdr:rowOff>
    </xdr:to>
    <xdr:sp macro="" textlink="">
      <xdr:nvSpPr>
        <xdr:cNvPr id="253003" name="Text Box 75" hidden="1">
          <a:extLst>
            <a:ext uri="{FF2B5EF4-FFF2-40B4-BE49-F238E27FC236}">
              <a16:creationId xmlns:a16="http://schemas.microsoft.com/office/drawing/2014/main" id="{8C914144-302C-4F67-9750-941DBA099779}"/>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29345</xdr:rowOff>
    </xdr:to>
    <xdr:sp macro="" textlink="">
      <xdr:nvSpPr>
        <xdr:cNvPr id="253002" name="Text Box 74" hidden="1">
          <a:extLst>
            <a:ext uri="{FF2B5EF4-FFF2-40B4-BE49-F238E27FC236}">
              <a16:creationId xmlns:a16="http://schemas.microsoft.com/office/drawing/2014/main" id="{6A7A5661-ED8E-4515-99A2-D7D1D8C0BEB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32</xdr:row>
      <xdr:rowOff>27688</xdr:rowOff>
    </xdr:from>
    <xdr:to>
      <xdr:col>18</xdr:col>
      <xdr:colOff>430264</xdr:colOff>
      <xdr:row>36</xdr:row>
      <xdr:rowOff>7398</xdr:rowOff>
    </xdr:to>
    <xdr:sp macro="" textlink="">
      <xdr:nvSpPr>
        <xdr:cNvPr id="253001" name="Text Box 73" hidden="1">
          <a:extLst>
            <a:ext uri="{FF2B5EF4-FFF2-40B4-BE49-F238E27FC236}">
              <a16:creationId xmlns:a16="http://schemas.microsoft.com/office/drawing/2014/main" id="{15C5E927-E241-4AFE-9DFD-3D09F455DDBD}"/>
            </a:ext>
          </a:extLst>
        </xdr:cNvPr>
        <xdr:cNvSpPr txBox="1">
          <a:spLocks noChangeArrowheads="1"/>
        </xdr:cNvSpPr>
      </xdr:nvSpPr>
      <xdr:spPr bwMode="auto">
        <a:xfrm>
          <a:off x="17259300" y="6652260"/>
          <a:ext cx="124968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53</xdr:row>
      <xdr:rowOff>139935</xdr:rowOff>
    </xdr:from>
    <xdr:to>
      <xdr:col>37</xdr:col>
      <xdr:colOff>507397</xdr:colOff>
      <xdr:row>57</xdr:row>
      <xdr:rowOff>27172</xdr:rowOff>
    </xdr:to>
    <xdr:sp macro="" textlink="">
      <xdr:nvSpPr>
        <xdr:cNvPr id="253018" name="Text Box 90" hidden="1">
          <a:extLst>
            <a:ext uri="{FF2B5EF4-FFF2-40B4-BE49-F238E27FC236}">
              <a16:creationId xmlns:a16="http://schemas.microsoft.com/office/drawing/2014/main" id="{3DE3A68D-AB71-41BB-98F7-1FCBFD261692}"/>
            </a:ext>
          </a:extLst>
        </xdr:cNvPr>
        <xdr:cNvSpPr txBox="1">
          <a:spLocks noChangeArrowheads="1"/>
        </xdr:cNvSpPr>
      </xdr:nvSpPr>
      <xdr:spPr bwMode="auto">
        <a:xfrm>
          <a:off x="30127575" y="12382500"/>
          <a:ext cx="990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53</xdr:row>
      <xdr:rowOff>139935</xdr:rowOff>
    </xdr:from>
    <xdr:to>
      <xdr:col>37</xdr:col>
      <xdr:colOff>296353</xdr:colOff>
      <xdr:row>69</xdr:row>
      <xdr:rowOff>145982</xdr:rowOff>
    </xdr:to>
    <xdr:sp macro="" textlink="">
      <xdr:nvSpPr>
        <xdr:cNvPr id="253017" name="Text Box 89" hidden="1">
          <a:extLst>
            <a:ext uri="{FF2B5EF4-FFF2-40B4-BE49-F238E27FC236}">
              <a16:creationId xmlns:a16="http://schemas.microsoft.com/office/drawing/2014/main" id="{60C77CC6-4A67-422D-8C25-323FCD111A05}"/>
            </a:ext>
          </a:extLst>
        </xdr:cNvPr>
        <xdr:cNvSpPr txBox="1">
          <a:spLocks noChangeArrowheads="1"/>
        </xdr:cNvSpPr>
      </xdr:nvSpPr>
      <xdr:spPr bwMode="auto">
        <a:xfrm>
          <a:off x="30051375" y="12382500"/>
          <a:ext cx="914400" cy="2943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141019</xdr:colOff>
      <xdr:row>63</xdr:row>
      <xdr:rowOff>57108</xdr:rowOff>
    </xdr:from>
    <xdr:to>
      <xdr:col>37</xdr:col>
      <xdr:colOff>296353</xdr:colOff>
      <xdr:row>63</xdr:row>
      <xdr:rowOff>57108</xdr:rowOff>
    </xdr:to>
    <xdr:sp macro="" textlink="">
      <xdr:nvSpPr>
        <xdr:cNvPr id="253016" name="Text Box 88" hidden="1">
          <a:extLst>
            <a:ext uri="{FF2B5EF4-FFF2-40B4-BE49-F238E27FC236}">
              <a16:creationId xmlns:a16="http://schemas.microsoft.com/office/drawing/2014/main" id="{9A1388AE-782E-434A-BB81-1CB0091219BD}"/>
            </a:ext>
          </a:extLst>
        </xdr:cNvPr>
        <xdr:cNvSpPr txBox="1">
          <a:spLocks noChangeArrowheads="1"/>
        </xdr:cNvSpPr>
      </xdr:nvSpPr>
      <xdr:spPr bwMode="auto">
        <a:xfrm>
          <a:off x="300513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63</xdr:row>
      <xdr:rowOff>57108</xdr:rowOff>
    </xdr:from>
    <xdr:to>
      <xdr:col>37</xdr:col>
      <xdr:colOff>372553</xdr:colOff>
      <xdr:row>63</xdr:row>
      <xdr:rowOff>57108</xdr:rowOff>
    </xdr:to>
    <xdr:sp macro="" textlink="">
      <xdr:nvSpPr>
        <xdr:cNvPr id="253015" name="Text Box 87" hidden="1">
          <a:extLst>
            <a:ext uri="{FF2B5EF4-FFF2-40B4-BE49-F238E27FC236}">
              <a16:creationId xmlns:a16="http://schemas.microsoft.com/office/drawing/2014/main" id="{1D7DA0E4-12DF-4936-9948-E8B5292753D1}"/>
            </a:ext>
          </a:extLst>
        </xdr:cNvPr>
        <xdr:cNvSpPr txBox="1">
          <a:spLocks noChangeArrowheads="1"/>
        </xdr:cNvSpPr>
      </xdr:nvSpPr>
      <xdr:spPr bwMode="auto">
        <a:xfrm>
          <a:off x="301275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217219</xdr:colOff>
      <xdr:row>53</xdr:row>
      <xdr:rowOff>139935</xdr:rowOff>
    </xdr:from>
    <xdr:to>
      <xdr:col>37</xdr:col>
      <xdr:colOff>372553</xdr:colOff>
      <xdr:row>57</xdr:row>
      <xdr:rowOff>27172</xdr:rowOff>
    </xdr:to>
    <xdr:sp macro="" textlink="">
      <xdr:nvSpPr>
        <xdr:cNvPr id="253014" name="Text Box 86" hidden="1">
          <a:extLst>
            <a:ext uri="{FF2B5EF4-FFF2-40B4-BE49-F238E27FC236}">
              <a16:creationId xmlns:a16="http://schemas.microsoft.com/office/drawing/2014/main" id="{CA2C983A-A9D0-4FCB-B2EF-E060407BD887}"/>
            </a:ext>
          </a:extLst>
        </xdr:cNvPr>
        <xdr:cNvSpPr txBox="1">
          <a:spLocks noChangeArrowheads="1"/>
        </xdr:cNvSpPr>
      </xdr:nvSpPr>
      <xdr:spPr bwMode="auto">
        <a:xfrm>
          <a:off x="30127575" y="12382500"/>
          <a:ext cx="914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162245</xdr:rowOff>
    </xdr:from>
    <xdr:to>
      <xdr:col>2</xdr:col>
      <xdr:colOff>629770</xdr:colOff>
      <xdr:row>31</xdr:row>
      <xdr:rowOff>123266</xdr:rowOff>
    </xdr:to>
    <xdr:sp macro="" textlink="">
      <xdr:nvSpPr>
        <xdr:cNvPr id="253013" name="Text Box 85" hidden="1">
          <a:extLst>
            <a:ext uri="{FF2B5EF4-FFF2-40B4-BE49-F238E27FC236}">
              <a16:creationId xmlns:a16="http://schemas.microsoft.com/office/drawing/2014/main" id="{65D559D9-B23E-4524-BABE-B91D3190A12D}"/>
            </a:ext>
          </a:extLst>
        </xdr:cNvPr>
        <xdr:cNvSpPr txBox="1">
          <a:spLocks noChangeArrowheads="1"/>
        </xdr:cNvSpPr>
      </xdr:nvSpPr>
      <xdr:spPr bwMode="auto">
        <a:xfrm>
          <a:off x="4695825" y="5915025"/>
          <a:ext cx="1352550" cy="67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218682</xdr:rowOff>
    </xdr:to>
    <xdr:sp macro="" textlink="">
      <xdr:nvSpPr>
        <xdr:cNvPr id="253012" name="Text Box 84" hidden="1">
          <a:extLst>
            <a:ext uri="{FF2B5EF4-FFF2-40B4-BE49-F238E27FC236}">
              <a16:creationId xmlns:a16="http://schemas.microsoft.com/office/drawing/2014/main" id="{9D335723-4313-49E4-9AAC-3F89A36E91C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12</xdr:row>
      <xdr:rowOff>29345</xdr:rowOff>
    </xdr:to>
    <xdr:sp macro="" textlink="">
      <xdr:nvSpPr>
        <xdr:cNvPr id="253011" name="Text Box 83" hidden="1">
          <a:extLst>
            <a:ext uri="{FF2B5EF4-FFF2-40B4-BE49-F238E27FC236}">
              <a16:creationId xmlns:a16="http://schemas.microsoft.com/office/drawing/2014/main" id="{76ED6C32-FC57-4026-8C8F-3479A8DA05B4}"/>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32</xdr:row>
      <xdr:rowOff>27688</xdr:rowOff>
    </xdr:from>
    <xdr:to>
      <xdr:col>18</xdr:col>
      <xdr:colOff>430264</xdr:colOff>
      <xdr:row>36</xdr:row>
      <xdr:rowOff>7398</xdr:rowOff>
    </xdr:to>
    <xdr:sp macro="" textlink="">
      <xdr:nvSpPr>
        <xdr:cNvPr id="253010" name="Text Box 82" hidden="1">
          <a:extLst>
            <a:ext uri="{FF2B5EF4-FFF2-40B4-BE49-F238E27FC236}">
              <a16:creationId xmlns:a16="http://schemas.microsoft.com/office/drawing/2014/main" id="{0FFA67D8-7D42-4861-A630-75F3571ECD8D}"/>
            </a:ext>
          </a:extLst>
        </xdr:cNvPr>
        <xdr:cNvSpPr txBox="1">
          <a:spLocks noChangeArrowheads="1"/>
        </xdr:cNvSpPr>
      </xdr:nvSpPr>
      <xdr:spPr bwMode="auto">
        <a:xfrm>
          <a:off x="16773525" y="6819900"/>
          <a:ext cx="1219200" cy="1095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61</xdr:row>
      <xdr:rowOff>140332</xdr:rowOff>
    </xdr:from>
    <xdr:to>
      <xdr:col>40</xdr:col>
      <xdr:colOff>660335</xdr:colOff>
      <xdr:row>66</xdr:row>
      <xdr:rowOff>88150</xdr:rowOff>
    </xdr:to>
    <xdr:sp macro="" textlink="">
      <xdr:nvSpPr>
        <xdr:cNvPr id="253027" name="Text Box 99" hidden="1">
          <a:extLst>
            <a:ext uri="{FF2B5EF4-FFF2-40B4-BE49-F238E27FC236}">
              <a16:creationId xmlns:a16="http://schemas.microsoft.com/office/drawing/2014/main" id="{684D9297-C988-4802-960E-4EE6E5F14760}"/>
            </a:ext>
          </a:extLst>
        </xdr:cNvPr>
        <xdr:cNvSpPr txBox="1">
          <a:spLocks noChangeArrowheads="1"/>
        </xdr:cNvSpPr>
      </xdr:nvSpPr>
      <xdr:spPr bwMode="auto">
        <a:xfrm>
          <a:off x="32737425" y="13992225"/>
          <a:ext cx="1000125"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68</xdr:row>
      <xdr:rowOff>65734</xdr:rowOff>
    </xdr:from>
    <xdr:to>
      <xdr:col>40</xdr:col>
      <xdr:colOff>502631</xdr:colOff>
      <xdr:row>89</xdr:row>
      <xdr:rowOff>95975</xdr:rowOff>
    </xdr:to>
    <xdr:sp macro="" textlink="">
      <xdr:nvSpPr>
        <xdr:cNvPr id="253026" name="Text Box 98" hidden="1">
          <a:extLst>
            <a:ext uri="{FF2B5EF4-FFF2-40B4-BE49-F238E27FC236}">
              <a16:creationId xmlns:a16="http://schemas.microsoft.com/office/drawing/2014/main" id="{67254A89-9007-4A23-8756-244627ED41AF}"/>
            </a:ext>
          </a:extLst>
        </xdr:cNvPr>
        <xdr:cNvSpPr txBox="1">
          <a:spLocks noChangeArrowheads="1"/>
        </xdr:cNvSpPr>
      </xdr:nvSpPr>
      <xdr:spPr bwMode="auto">
        <a:xfrm>
          <a:off x="32699325" y="15059025"/>
          <a:ext cx="914400" cy="4143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29992</xdr:rowOff>
    </xdr:from>
    <xdr:to>
      <xdr:col>37</xdr:col>
      <xdr:colOff>297330</xdr:colOff>
      <xdr:row>60</xdr:row>
      <xdr:rowOff>145235</xdr:rowOff>
    </xdr:to>
    <xdr:sp macro="" textlink="">
      <xdr:nvSpPr>
        <xdr:cNvPr id="253025" name="Text Box 97" hidden="1">
          <a:extLst>
            <a:ext uri="{FF2B5EF4-FFF2-40B4-BE49-F238E27FC236}">
              <a16:creationId xmlns:a16="http://schemas.microsoft.com/office/drawing/2014/main" id="{62EDDBDF-613B-4DFE-BF09-26E6450A44A0}"/>
            </a:ext>
          </a:extLst>
        </xdr:cNvPr>
        <xdr:cNvSpPr txBox="1">
          <a:spLocks noChangeArrowheads="1"/>
        </xdr:cNvSpPr>
      </xdr:nvSpPr>
      <xdr:spPr bwMode="auto">
        <a:xfrm>
          <a:off x="300513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29992</xdr:rowOff>
    </xdr:from>
    <xdr:to>
      <xdr:col>37</xdr:col>
      <xdr:colOff>373530</xdr:colOff>
      <xdr:row>60</xdr:row>
      <xdr:rowOff>145235</xdr:rowOff>
    </xdr:to>
    <xdr:sp macro="" textlink="">
      <xdr:nvSpPr>
        <xdr:cNvPr id="253024" name="Text Box 96" hidden="1">
          <a:extLst>
            <a:ext uri="{FF2B5EF4-FFF2-40B4-BE49-F238E27FC236}">
              <a16:creationId xmlns:a16="http://schemas.microsoft.com/office/drawing/2014/main" id="{96B79593-8B62-40FF-9B0D-47A952EC0371}"/>
            </a:ext>
          </a:extLst>
        </xdr:cNvPr>
        <xdr:cNvSpPr txBox="1">
          <a:spLocks noChangeArrowheads="1"/>
        </xdr:cNvSpPr>
      </xdr:nvSpPr>
      <xdr:spPr bwMode="auto">
        <a:xfrm>
          <a:off x="301275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67</xdr:row>
      <xdr:rowOff>111449</xdr:rowOff>
    </xdr:from>
    <xdr:to>
      <xdr:col>40</xdr:col>
      <xdr:colOff>502631</xdr:colOff>
      <xdr:row>74</xdr:row>
      <xdr:rowOff>132278</xdr:rowOff>
    </xdr:to>
    <xdr:sp macro="" textlink="">
      <xdr:nvSpPr>
        <xdr:cNvPr id="253023" name="Text Box 95" hidden="1">
          <a:extLst>
            <a:ext uri="{FF2B5EF4-FFF2-40B4-BE49-F238E27FC236}">
              <a16:creationId xmlns:a16="http://schemas.microsoft.com/office/drawing/2014/main" id="{68276846-E7FF-4ACA-A711-E4D6E60485CC}"/>
            </a:ext>
          </a:extLst>
        </xdr:cNvPr>
        <xdr:cNvSpPr txBox="1">
          <a:spLocks noChangeArrowheads="1"/>
        </xdr:cNvSpPr>
      </xdr:nvSpPr>
      <xdr:spPr bwMode="auto">
        <a:xfrm>
          <a:off x="32699325" y="14944725"/>
          <a:ext cx="914400"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30</xdr:row>
      <xdr:rowOff>29133</xdr:rowOff>
    </xdr:from>
    <xdr:to>
      <xdr:col>2</xdr:col>
      <xdr:colOff>629770</xdr:colOff>
      <xdr:row>32</xdr:row>
      <xdr:rowOff>200867</xdr:rowOff>
    </xdr:to>
    <xdr:sp macro="" textlink="">
      <xdr:nvSpPr>
        <xdr:cNvPr id="253022" name="Text Box 94" hidden="1">
          <a:extLst>
            <a:ext uri="{FF2B5EF4-FFF2-40B4-BE49-F238E27FC236}">
              <a16:creationId xmlns:a16="http://schemas.microsoft.com/office/drawing/2014/main" id="{6F756F7F-0994-4F45-BC6A-AB120BED0FF4}"/>
            </a:ext>
          </a:extLst>
        </xdr:cNvPr>
        <xdr:cNvSpPr txBox="1">
          <a:spLocks noChangeArrowheads="1"/>
        </xdr:cNvSpPr>
      </xdr:nvSpPr>
      <xdr:spPr bwMode="auto">
        <a:xfrm>
          <a:off x="4695825" y="6286500"/>
          <a:ext cx="13525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021" name="Text Box 93" hidden="1">
          <a:extLst>
            <a:ext uri="{FF2B5EF4-FFF2-40B4-BE49-F238E27FC236}">
              <a16:creationId xmlns:a16="http://schemas.microsoft.com/office/drawing/2014/main" id="{C111C27B-B4B1-46BC-AD36-C4CA53260D0B}"/>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67493</xdr:rowOff>
    </xdr:to>
    <xdr:sp macro="" textlink="">
      <xdr:nvSpPr>
        <xdr:cNvPr id="253020" name="Text Box 92" hidden="1">
          <a:extLst>
            <a:ext uri="{FF2B5EF4-FFF2-40B4-BE49-F238E27FC236}">
              <a16:creationId xmlns:a16="http://schemas.microsoft.com/office/drawing/2014/main" id="{2B1190F4-A751-4D27-96AC-9FFF9AFEB933}"/>
            </a:ext>
          </a:extLst>
        </xdr:cNvPr>
        <xdr:cNvSpPr txBox="1">
          <a:spLocks noChangeArrowheads="1"/>
        </xdr:cNvSpPr>
      </xdr:nvSpPr>
      <xdr:spPr bwMode="auto">
        <a:xfrm>
          <a:off x="4657725" y="2019300"/>
          <a:ext cx="1238250" cy="600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32</xdr:row>
      <xdr:rowOff>209114</xdr:rowOff>
    </xdr:from>
    <xdr:to>
      <xdr:col>18</xdr:col>
      <xdr:colOff>469340</xdr:colOff>
      <xdr:row>43</xdr:row>
      <xdr:rowOff>96446</xdr:rowOff>
    </xdr:to>
    <xdr:sp macro="" textlink="">
      <xdr:nvSpPr>
        <xdr:cNvPr id="253019" name="Text Box 91" hidden="1">
          <a:extLst>
            <a:ext uri="{FF2B5EF4-FFF2-40B4-BE49-F238E27FC236}">
              <a16:creationId xmlns:a16="http://schemas.microsoft.com/office/drawing/2014/main" id="{938824BA-15F8-409E-8877-A3C363CE1EBA}"/>
            </a:ext>
          </a:extLst>
        </xdr:cNvPr>
        <xdr:cNvSpPr txBox="1">
          <a:spLocks noChangeArrowheads="1"/>
        </xdr:cNvSpPr>
      </xdr:nvSpPr>
      <xdr:spPr bwMode="auto">
        <a:xfrm>
          <a:off x="16811625" y="7000875"/>
          <a:ext cx="1219200" cy="323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37</xdr:row>
      <xdr:rowOff>86306</xdr:rowOff>
    </xdr:from>
    <xdr:to>
      <xdr:col>19</xdr:col>
      <xdr:colOff>1196</xdr:colOff>
      <xdr:row>39</xdr:row>
      <xdr:rowOff>486562</xdr:rowOff>
    </xdr:to>
    <xdr:sp macro="" textlink="">
      <xdr:nvSpPr>
        <xdr:cNvPr id="253031" name="Text Box 103" hidden="1">
          <a:extLst>
            <a:ext uri="{FF2B5EF4-FFF2-40B4-BE49-F238E27FC236}">
              <a16:creationId xmlns:a16="http://schemas.microsoft.com/office/drawing/2014/main" id="{0D765A6D-C44C-44E3-8BDA-1EA6FDC391B5}"/>
            </a:ext>
          </a:extLst>
        </xdr:cNvPr>
        <xdr:cNvSpPr txBox="1">
          <a:spLocks noChangeArrowheads="1"/>
        </xdr:cNvSpPr>
      </xdr:nvSpPr>
      <xdr:spPr bwMode="auto">
        <a:xfrm>
          <a:off x="16811625" y="8220075"/>
          <a:ext cx="1381125" cy="676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82</xdr:row>
      <xdr:rowOff>141020</xdr:rowOff>
    </xdr:from>
    <xdr:to>
      <xdr:col>40</xdr:col>
      <xdr:colOff>647000</xdr:colOff>
      <xdr:row>86</xdr:row>
      <xdr:rowOff>104024</xdr:rowOff>
    </xdr:to>
    <xdr:sp macro="" textlink="">
      <xdr:nvSpPr>
        <xdr:cNvPr id="253041" name="Text Box 113" hidden="1">
          <a:extLst>
            <a:ext uri="{FF2B5EF4-FFF2-40B4-BE49-F238E27FC236}">
              <a16:creationId xmlns:a16="http://schemas.microsoft.com/office/drawing/2014/main" id="{D755F013-DC04-4CC6-9562-4C7E20C6AEBE}"/>
            </a:ext>
          </a:extLst>
        </xdr:cNvPr>
        <xdr:cNvSpPr txBox="1">
          <a:spLocks noChangeArrowheads="1"/>
        </xdr:cNvSpPr>
      </xdr:nvSpPr>
      <xdr:spPr bwMode="auto">
        <a:xfrm>
          <a:off x="32737425" y="17897475"/>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88</xdr:row>
      <xdr:rowOff>27766</xdr:rowOff>
    </xdr:from>
    <xdr:to>
      <xdr:col>40</xdr:col>
      <xdr:colOff>502631</xdr:colOff>
      <xdr:row>118</xdr:row>
      <xdr:rowOff>35251</xdr:rowOff>
    </xdr:to>
    <xdr:sp macro="" textlink="">
      <xdr:nvSpPr>
        <xdr:cNvPr id="253040" name="Text Box 112" hidden="1">
          <a:extLst>
            <a:ext uri="{FF2B5EF4-FFF2-40B4-BE49-F238E27FC236}">
              <a16:creationId xmlns:a16="http://schemas.microsoft.com/office/drawing/2014/main" id="{C12F6EFB-AF6A-43DF-BDCD-EA013E42D8C7}"/>
            </a:ext>
          </a:extLst>
        </xdr:cNvPr>
        <xdr:cNvSpPr txBox="1">
          <a:spLocks noChangeArrowheads="1"/>
        </xdr:cNvSpPr>
      </xdr:nvSpPr>
      <xdr:spPr bwMode="auto">
        <a:xfrm>
          <a:off x="32699325" y="18964275"/>
          <a:ext cx="914400" cy="571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80</xdr:row>
      <xdr:rowOff>144818</xdr:rowOff>
    </xdr:from>
    <xdr:to>
      <xdr:col>37</xdr:col>
      <xdr:colOff>274470</xdr:colOff>
      <xdr:row>82</xdr:row>
      <xdr:rowOff>77458</xdr:rowOff>
    </xdr:to>
    <xdr:sp macro="" textlink="">
      <xdr:nvSpPr>
        <xdr:cNvPr id="253039" name="Text Box 111" hidden="1">
          <a:extLst>
            <a:ext uri="{FF2B5EF4-FFF2-40B4-BE49-F238E27FC236}">
              <a16:creationId xmlns:a16="http://schemas.microsoft.com/office/drawing/2014/main" id="{B6093B46-EC3E-4636-88B9-292CCF4D48B3}"/>
            </a:ext>
          </a:extLst>
        </xdr:cNvPr>
        <xdr:cNvSpPr txBox="1">
          <a:spLocks noChangeArrowheads="1"/>
        </xdr:cNvSpPr>
      </xdr:nvSpPr>
      <xdr:spPr bwMode="auto">
        <a:xfrm>
          <a:off x="30051375" y="17421225"/>
          <a:ext cx="89535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80</xdr:row>
      <xdr:rowOff>144818</xdr:rowOff>
    </xdr:from>
    <xdr:to>
      <xdr:col>37</xdr:col>
      <xdr:colOff>373530</xdr:colOff>
      <xdr:row>82</xdr:row>
      <xdr:rowOff>77458</xdr:rowOff>
    </xdr:to>
    <xdr:sp macro="" textlink="">
      <xdr:nvSpPr>
        <xdr:cNvPr id="253038" name="Text Box 110" hidden="1">
          <a:extLst>
            <a:ext uri="{FF2B5EF4-FFF2-40B4-BE49-F238E27FC236}">
              <a16:creationId xmlns:a16="http://schemas.microsoft.com/office/drawing/2014/main" id="{5819CFA2-9810-4602-BAB2-E21D49AB4527}"/>
            </a:ext>
          </a:extLst>
        </xdr:cNvPr>
        <xdr:cNvSpPr txBox="1">
          <a:spLocks noChangeArrowheads="1"/>
        </xdr:cNvSpPr>
      </xdr:nvSpPr>
      <xdr:spPr bwMode="auto">
        <a:xfrm>
          <a:off x="30127575" y="17421225"/>
          <a:ext cx="9144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88</xdr:row>
      <xdr:rowOff>27766</xdr:rowOff>
    </xdr:from>
    <xdr:to>
      <xdr:col>40</xdr:col>
      <xdr:colOff>502631</xdr:colOff>
      <xdr:row>95</xdr:row>
      <xdr:rowOff>69100</xdr:rowOff>
    </xdr:to>
    <xdr:sp macro="" textlink="">
      <xdr:nvSpPr>
        <xdr:cNvPr id="253037" name="Text Box 109" hidden="1">
          <a:extLst>
            <a:ext uri="{FF2B5EF4-FFF2-40B4-BE49-F238E27FC236}">
              <a16:creationId xmlns:a16="http://schemas.microsoft.com/office/drawing/2014/main" id="{A7812915-ED5C-436D-B017-7A2693B02224}"/>
            </a:ext>
          </a:extLst>
        </xdr:cNvPr>
        <xdr:cNvSpPr txBox="1">
          <a:spLocks noChangeArrowheads="1"/>
        </xdr:cNvSpPr>
      </xdr:nvSpPr>
      <xdr:spPr bwMode="auto">
        <a:xfrm>
          <a:off x="32699325" y="18964275"/>
          <a:ext cx="91440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37</xdr:row>
      <xdr:rowOff>87332</xdr:rowOff>
    </xdr:from>
    <xdr:to>
      <xdr:col>2</xdr:col>
      <xdr:colOff>629770</xdr:colOff>
      <xdr:row>39</xdr:row>
      <xdr:rowOff>429068</xdr:rowOff>
    </xdr:to>
    <xdr:sp macro="" textlink="">
      <xdr:nvSpPr>
        <xdr:cNvPr id="253036" name="Text Box 108" hidden="1">
          <a:extLst>
            <a:ext uri="{FF2B5EF4-FFF2-40B4-BE49-F238E27FC236}">
              <a16:creationId xmlns:a16="http://schemas.microsoft.com/office/drawing/2014/main" id="{386362BA-7EEB-4890-9216-B79A7F1E0429}"/>
            </a:ext>
          </a:extLst>
        </xdr:cNvPr>
        <xdr:cNvSpPr txBox="1">
          <a:spLocks noChangeArrowheads="1"/>
        </xdr:cNvSpPr>
      </xdr:nvSpPr>
      <xdr:spPr bwMode="auto">
        <a:xfrm>
          <a:off x="4695825" y="8191500"/>
          <a:ext cx="13525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035" name="Text Box 107" hidden="1">
          <a:extLst>
            <a:ext uri="{FF2B5EF4-FFF2-40B4-BE49-F238E27FC236}">
              <a16:creationId xmlns:a16="http://schemas.microsoft.com/office/drawing/2014/main" id="{1CCF8BAF-0423-4FE7-9C2C-538F8E39870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38283</xdr:rowOff>
    </xdr:to>
    <xdr:sp macro="" textlink="">
      <xdr:nvSpPr>
        <xdr:cNvPr id="253034" name="Text Box 106" hidden="1">
          <a:extLst>
            <a:ext uri="{FF2B5EF4-FFF2-40B4-BE49-F238E27FC236}">
              <a16:creationId xmlns:a16="http://schemas.microsoft.com/office/drawing/2014/main" id="{B65C63BA-34AE-41A2-A6CE-11EAA29E2B94}"/>
            </a:ext>
          </a:extLst>
        </xdr:cNvPr>
        <xdr:cNvSpPr txBox="1">
          <a:spLocks noChangeArrowheads="1"/>
        </xdr:cNvSpPr>
      </xdr:nvSpPr>
      <xdr:spPr bwMode="auto">
        <a:xfrm>
          <a:off x="4657725" y="2019300"/>
          <a:ext cx="12382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39</xdr:row>
      <xdr:rowOff>885106</xdr:rowOff>
    </xdr:from>
    <xdr:to>
      <xdr:col>18</xdr:col>
      <xdr:colOff>456005</xdr:colOff>
      <xdr:row>62</xdr:row>
      <xdr:rowOff>1103</xdr:rowOff>
    </xdr:to>
    <xdr:sp macro="" textlink="">
      <xdr:nvSpPr>
        <xdr:cNvPr id="253033" name="Text Box 105" hidden="1">
          <a:extLst>
            <a:ext uri="{FF2B5EF4-FFF2-40B4-BE49-F238E27FC236}">
              <a16:creationId xmlns:a16="http://schemas.microsoft.com/office/drawing/2014/main" id="{668688E3-C50E-4AFE-B5CB-BEF3609F5FEA}"/>
            </a:ext>
          </a:extLst>
        </xdr:cNvPr>
        <xdr:cNvSpPr txBox="1">
          <a:spLocks noChangeArrowheads="1"/>
        </xdr:cNvSpPr>
      </xdr:nvSpPr>
      <xdr:spPr bwMode="auto">
        <a:xfrm>
          <a:off x="16811625" y="9324975"/>
          <a:ext cx="1200150" cy="476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14</xdr:row>
      <xdr:rowOff>160814</xdr:rowOff>
    </xdr:from>
    <xdr:to>
      <xdr:col>2</xdr:col>
      <xdr:colOff>629770</xdr:colOff>
      <xdr:row>18</xdr:row>
      <xdr:rowOff>94487</xdr:rowOff>
    </xdr:to>
    <xdr:sp macro="" textlink="">
      <xdr:nvSpPr>
        <xdr:cNvPr id="253042" name="Text Box 114" hidden="1">
          <a:extLst>
            <a:ext uri="{FF2B5EF4-FFF2-40B4-BE49-F238E27FC236}">
              <a16:creationId xmlns:a16="http://schemas.microsoft.com/office/drawing/2014/main" id="{38027734-7AE7-4AB8-B66B-169D51DDA6CC}"/>
            </a:ext>
          </a:extLst>
        </xdr:cNvPr>
        <xdr:cNvSpPr txBox="1">
          <a:spLocks noChangeArrowheads="1"/>
        </xdr:cNvSpPr>
      </xdr:nvSpPr>
      <xdr:spPr bwMode="auto">
        <a:xfrm>
          <a:off x="4676775" y="3181350"/>
          <a:ext cx="1371600"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16</xdr:row>
      <xdr:rowOff>124760</xdr:rowOff>
    </xdr:from>
    <xdr:to>
      <xdr:col>2</xdr:col>
      <xdr:colOff>629770</xdr:colOff>
      <xdr:row>20</xdr:row>
      <xdr:rowOff>46418</xdr:rowOff>
    </xdr:to>
    <xdr:sp macro="" textlink="">
      <xdr:nvSpPr>
        <xdr:cNvPr id="253043" name="Text Box 115" hidden="1">
          <a:extLst>
            <a:ext uri="{FF2B5EF4-FFF2-40B4-BE49-F238E27FC236}">
              <a16:creationId xmlns:a16="http://schemas.microsoft.com/office/drawing/2014/main" id="{9EE911F0-63B6-45AA-8BF7-6265D3A055FB}"/>
            </a:ext>
          </a:extLst>
        </xdr:cNvPr>
        <xdr:cNvSpPr txBox="1">
          <a:spLocks noChangeArrowheads="1"/>
        </xdr:cNvSpPr>
      </xdr:nvSpPr>
      <xdr:spPr bwMode="auto">
        <a:xfrm>
          <a:off x="4676775" y="3552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41</xdr:row>
      <xdr:rowOff>123416</xdr:rowOff>
    </xdr:from>
    <xdr:to>
      <xdr:col>2</xdr:col>
      <xdr:colOff>629770</xdr:colOff>
      <xdr:row>45</xdr:row>
      <xdr:rowOff>48538</xdr:rowOff>
    </xdr:to>
    <xdr:sp macro="" textlink="">
      <xdr:nvSpPr>
        <xdr:cNvPr id="253044" name="Text Box 116" hidden="1">
          <a:extLst>
            <a:ext uri="{FF2B5EF4-FFF2-40B4-BE49-F238E27FC236}">
              <a16:creationId xmlns:a16="http://schemas.microsoft.com/office/drawing/2014/main" id="{F07A0B5C-FAC1-4467-AA9F-CA5EB8725A02}"/>
            </a:ext>
          </a:extLst>
        </xdr:cNvPr>
        <xdr:cNvSpPr txBox="1">
          <a:spLocks noChangeArrowheads="1"/>
        </xdr:cNvSpPr>
      </xdr:nvSpPr>
      <xdr:spPr bwMode="auto">
        <a:xfrm>
          <a:off x="4676775" y="98393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752215</xdr:colOff>
      <xdr:row>43</xdr:row>
      <xdr:rowOff>63509</xdr:rowOff>
    </xdr:from>
    <xdr:to>
      <xdr:col>19</xdr:col>
      <xdr:colOff>18976</xdr:colOff>
      <xdr:row>47</xdr:row>
      <xdr:rowOff>86313</xdr:rowOff>
    </xdr:to>
    <xdr:sp macro="" textlink="">
      <xdr:nvSpPr>
        <xdr:cNvPr id="253045" name="Text Box 117" hidden="1">
          <a:extLst>
            <a:ext uri="{FF2B5EF4-FFF2-40B4-BE49-F238E27FC236}">
              <a16:creationId xmlns:a16="http://schemas.microsoft.com/office/drawing/2014/main" id="{EE495679-A250-491A-BE2B-83CFB95DC9E3}"/>
            </a:ext>
          </a:extLst>
        </xdr:cNvPr>
        <xdr:cNvSpPr txBox="1">
          <a:spLocks noChangeArrowheads="1"/>
        </xdr:cNvSpPr>
      </xdr:nvSpPr>
      <xdr:spPr bwMode="auto">
        <a:xfrm>
          <a:off x="16830675" y="102012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83</xdr:row>
      <xdr:rowOff>160164</xdr:rowOff>
    </xdr:from>
    <xdr:to>
      <xdr:col>40</xdr:col>
      <xdr:colOff>647000</xdr:colOff>
      <xdr:row>87</xdr:row>
      <xdr:rowOff>88103</xdr:rowOff>
    </xdr:to>
    <xdr:sp macro="" textlink="">
      <xdr:nvSpPr>
        <xdr:cNvPr id="253058" name="Text Box 130" hidden="1">
          <a:extLst>
            <a:ext uri="{FF2B5EF4-FFF2-40B4-BE49-F238E27FC236}">
              <a16:creationId xmlns:a16="http://schemas.microsoft.com/office/drawing/2014/main" id="{A748B414-DCA0-4859-A27B-8C20946B3F4C}"/>
            </a:ext>
          </a:extLst>
        </xdr:cNvPr>
        <xdr:cNvSpPr txBox="1">
          <a:spLocks noChangeArrowheads="1"/>
        </xdr:cNvSpPr>
      </xdr:nvSpPr>
      <xdr:spPr bwMode="auto">
        <a:xfrm>
          <a:off x="33845500" y="17729200"/>
          <a:ext cx="9906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88</xdr:row>
      <xdr:rowOff>145175</xdr:rowOff>
    </xdr:from>
    <xdr:to>
      <xdr:col>40</xdr:col>
      <xdr:colOff>524856</xdr:colOff>
      <xdr:row>120</xdr:row>
      <xdr:rowOff>38645</xdr:rowOff>
    </xdr:to>
    <xdr:sp macro="" textlink="">
      <xdr:nvSpPr>
        <xdr:cNvPr id="253057" name="Text Box 129" hidden="1">
          <a:extLst>
            <a:ext uri="{FF2B5EF4-FFF2-40B4-BE49-F238E27FC236}">
              <a16:creationId xmlns:a16="http://schemas.microsoft.com/office/drawing/2014/main" id="{3691F5D7-10C3-4C44-98BD-342791DFD042}"/>
            </a:ext>
          </a:extLst>
        </xdr:cNvPr>
        <xdr:cNvSpPr txBox="1">
          <a:spLocks noChangeArrowheads="1"/>
        </xdr:cNvSpPr>
      </xdr:nvSpPr>
      <xdr:spPr bwMode="auto">
        <a:xfrm>
          <a:off x="33807400" y="18796000"/>
          <a:ext cx="920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81</xdr:row>
      <xdr:rowOff>114762</xdr:rowOff>
    </xdr:from>
    <xdr:to>
      <xdr:col>37</xdr:col>
      <xdr:colOff>278280</xdr:colOff>
      <xdr:row>83</xdr:row>
      <xdr:rowOff>37852</xdr:rowOff>
    </xdr:to>
    <xdr:sp macro="" textlink="">
      <xdr:nvSpPr>
        <xdr:cNvPr id="253056" name="Text Box 128" hidden="1">
          <a:extLst>
            <a:ext uri="{FF2B5EF4-FFF2-40B4-BE49-F238E27FC236}">
              <a16:creationId xmlns:a16="http://schemas.microsoft.com/office/drawing/2014/main" id="{2A06C365-24B0-4127-99D7-3519B09FE6FF}"/>
            </a:ext>
          </a:extLst>
        </xdr:cNvPr>
        <xdr:cNvSpPr txBox="1">
          <a:spLocks noChangeArrowheads="1"/>
        </xdr:cNvSpPr>
      </xdr:nvSpPr>
      <xdr:spPr bwMode="auto">
        <a:xfrm>
          <a:off x="31057850" y="17272000"/>
          <a:ext cx="8953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81</xdr:row>
      <xdr:rowOff>114762</xdr:rowOff>
    </xdr:from>
    <xdr:to>
      <xdr:col>37</xdr:col>
      <xdr:colOff>373530</xdr:colOff>
      <xdr:row>83</xdr:row>
      <xdr:rowOff>37852</xdr:rowOff>
    </xdr:to>
    <xdr:sp macro="" textlink="">
      <xdr:nvSpPr>
        <xdr:cNvPr id="253055" name="Text Box 127" hidden="1">
          <a:extLst>
            <a:ext uri="{FF2B5EF4-FFF2-40B4-BE49-F238E27FC236}">
              <a16:creationId xmlns:a16="http://schemas.microsoft.com/office/drawing/2014/main" id="{D0F3324B-65DF-48D8-858A-FBF44D12E93F}"/>
            </a:ext>
          </a:extLst>
        </xdr:cNvPr>
        <xdr:cNvSpPr txBox="1">
          <a:spLocks noChangeArrowheads="1"/>
        </xdr:cNvSpPr>
      </xdr:nvSpPr>
      <xdr:spPr bwMode="auto">
        <a:xfrm>
          <a:off x="31134050" y="17272000"/>
          <a:ext cx="9207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88</xdr:row>
      <xdr:rowOff>145175</xdr:rowOff>
    </xdr:from>
    <xdr:to>
      <xdr:col>40</xdr:col>
      <xdr:colOff>524856</xdr:colOff>
      <xdr:row>96</xdr:row>
      <xdr:rowOff>76290</xdr:rowOff>
    </xdr:to>
    <xdr:sp macro="" textlink="">
      <xdr:nvSpPr>
        <xdr:cNvPr id="253054" name="Text Box 126" hidden="1">
          <a:extLst>
            <a:ext uri="{FF2B5EF4-FFF2-40B4-BE49-F238E27FC236}">
              <a16:creationId xmlns:a16="http://schemas.microsoft.com/office/drawing/2014/main" id="{282CBEDD-F2A3-469F-BC43-A8B0EDC5724D}"/>
            </a:ext>
          </a:extLst>
        </xdr:cNvPr>
        <xdr:cNvSpPr txBox="1">
          <a:spLocks noChangeArrowheads="1"/>
        </xdr:cNvSpPr>
      </xdr:nvSpPr>
      <xdr:spPr bwMode="auto">
        <a:xfrm>
          <a:off x="33807400" y="18796000"/>
          <a:ext cx="92075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37</xdr:row>
      <xdr:rowOff>84792</xdr:rowOff>
    </xdr:from>
    <xdr:to>
      <xdr:col>2</xdr:col>
      <xdr:colOff>629770</xdr:colOff>
      <xdr:row>39</xdr:row>
      <xdr:rowOff>429068</xdr:rowOff>
    </xdr:to>
    <xdr:sp macro="" textlink="">
      <xdr:nvSpPr>
        <xdr:cNvPr id="253053" name="Text Box 125" hidden="1">
          <a:extLst>
            <a:ext uri="{FF2B5EF4-FFF2-40B4-BE49-F238E27FC236}">
              <a16:creationId xmlns:a16="http://schemas.microsoft.com/office/drawing/2014/main" id="{11547FD5-4C1B-4F2F-8106-E42FDE425DA7}"/>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052" name="Text Box 124" hidden="1">
          <a:extLst>
            <a:ext uri="{FF2B5EF4-FFF2-40B4-BE49-F238E27FC236}">
              <a16:creationId xmlns:a16="http://schemas.microsoft.com/office/drawing/2014/main" id="{F82E105B-6115-41C2-8096-BAA0DC50454A}"/>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38283</xdr:rowOff>
    </xdr:to>
    <xdr:sp macro="" textlink="">
      <xdr:nvSpPr>
        <xdr:cNvPr id="253051" name="Text Box 123" hidden="1">
          <a:extLst>
            <a:ext uri="{FF2B5EF4-FFF2-40B4-BE49-F238E27FC236}">
              <a16:creationId xmlns:a16="http://schemas.microsoft.com/office/drawing/2014/main" id="{FBAFDEAF-09E0-4BFE-AF4C-FFEE0536BE21}"/>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39</xdr:row>
      <xdr:rowOff>845015</xdr:rowOff>
    </xdr:from>
    <xdr:to>
      <xdr:col>18</xdr:col>
      <xdr:colOff>450290</xdr:colOff>
      <xdr:row>61</xdr:row>
      <xdr:rowOff>159928</xdr:rowOff>
    </xdr:to>
    <xdr:sp macro="" textlink="">
      <xdr:nvSpPr>
        <xdr:cNvPr id="253050" name="Text Box 122" hidden="1">
          <a:extLst>
            <a:ext uri="{FF2B5EF4-FFF2-40B4-BE49-F238E27FC236}">
              <a16:creationId xmlns:a16="http://schemas.microsoft.com/office/drawing/2014/main" id="{392B1328-4CF3-44DC-9809-EC9B0B7563D2}"/>
            </a:ext>
          </a:extLst>
        </xdr:cNvPr>
        <xdr:cNvSpPr txBox="1">
          <a:spLocks noChangeArrowheads="1"/>
        </xdr:cNvSpPr>
      </xdr:nvSpPr>
      <xdr:spPr bwMode="auto">
        <a:xfrm>
          <a:off x="17589500" y="9131300"/>
          <a:ext cx="1257300" cy="464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14</xdr:row>
      <xdr:rowOff>161449</xdr:rowOff>
    </xdr:from>
    <xdr:to>
      <xdr:col>2</xdr:col>
      <xdr:colOff>629770</xdr:colOff>
      <xdr:row>18</xdr:row>
      <xdr:rowOff>30335</xdr:rowOff>
    </xdr:to>
    <xdr:sp macro="" textlink="">
      <xdr:nvSpPr>
        <xdr:cNvPr id="253049" name="Text Box 121" hidden="1">
          <a:extLst>
            <a:ext uri="{FF2B5EF4-FFF2-40B4-BE49-F238E27FC236}">
              <a16:creationId xmlns:a16="http://schemas.microsoft.com/office/drawing/2014/main" id="{274AE0F9-E5E5-4673-8C73-CC8097C80D0B}"/>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16</xdr:row>
      <xdr:rowOff>124760</xdr:rowOff>
    </xdr:from>
    <xdr:to>
      <xdr:col>2</xdr:col>
      <xdr:colOff>629770</xdr:colOff>
      <xdr:row>20</xdr:row>
      <xdr:rowOff>8047</xdr:rowOff>
    </xdr:to>
    <xdr:sp macro="" textlink="">
      <xdr:nvSpPr>
        <xdr:cNvPr id="253048" name="Text Box 120" hidden="1">
          <a:extLst>
            <a:ext uri="{FF2B5EF4-FFF2-40B4-BE49-F238E27FC236}">
              <a16:creationId xmlns:a16="http://schemas.microsoft.com/office/drawing/2014/main" id="{F7719A29-F845-4949-8319-0AC8B2C679F5}"/>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39</xdr:row>
      <xdr:rowOff>1048857</xdr:rowOff>
    </xdr:from>
    <xdr:to>
      <xdr:col>2</xdr:col>
      <xdr:colOff>639295</xdr:colOff>
      <xdr:row>44</xdr:row>
      <xdr:rowOff>25756</xdr:rowOff>
    </xdr:to>
    <xdr:sp macro="" textlink="">
      <xdr:nvSpPr>
        <xdr:cNvPr id="253047" name="Text Box 119" hidden="1">
          <a:extLst>
            <a:ext uri="{FF2B5EF4-FFF2-40B4-BE49-F238E27FC236}">
              <a16:creationId xmlns:a16="http://schemas.microsoft.com/office/drawing/2014/main" id="{D69275A5-81BF-4F14-A166-44F9BE377285}"/>
            </a:ext>
          </a:extLst>
        </xdr:cNvPr>
        <xdr:cNvSpPr txBox="1">
          <a:spLocks noChangeArrowheads="1"/>
        </xdr:cNvSpPr>
      </xdr:nvSpPr>
      <xdr:spPr bwMode="auto">
        <a:xfrm>
          <a:off x="4864100" y="9277350"/>
          <a:ext cx="14287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752850</xdr:colOff>
      <xdr:row>44</xdr:row>
      <xdr:rowOff>107405</xdr:rowOff>
    </xdr:from>
    <xdr:to>
      <xdr:col>19</xdr:col>
      <xdr:colOff>6911</xdr:colOff>
      <xdr:row>48</xdr:row>
      <xdr:rowOff>73301</xdr:rowOff>
    </xdr:to>
    <xdr:sp macro="" textlink="">
      <xdr:nvSpPr>
        <xdr:cNvPr id="253046" name="Text Box 118" hidden="1">
          <a:extLst>
            <a:ext uri="{FF2B5EF4-FFF2-40B4-BE49-F238E27FC236}">
              <a16:creationId xmlns:a16="http://schemas.microsoft.com/office/drawing/2014/main" id="{58CFB2C4-55EC-40BB-942B-F165E1FB1660}"/>
            </a:ext>
          </a:extLst>
        </xdr:cNvPr>
        <xdr:cNvSpPr txBox="1">
          <a:spLocks noChangeArrowheads="1"/>
        </xdr:cNvSpPr>
      </xdr:nvSpPr>
      <xdr:spPr bwMode="auto">
        <a:xfrm>
          <a:off x="17608550" y="10299700"/>
          <a:ext cx="14351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71</xdr:row>
      <xdr:rowOff>133252</xdr:rowOff>
    </xdr:from>
    <xdr:to>
      <xdr:col>40</xdr:col>
      <xdr:colOff>647000</xdr:colOff>
      <xdr:row>76</xdr:row>
      <xdr:rowOff>77598</xdr:rowOff>
    </xdr:to>
    <xdr:sp macro="" textlink="">
      <xdr:nvSpPr>
        <xdr:cNvPr id="253071" name="Text Box 143" hidden="1">
          <a:extLst>
            <a:ext uri="{FF2B5EF4-FFF2-40B4-BE49-F238E27FC236}">
              <a16:creationId xmlns:a16="http://schemas.microsoft.com/office/drawing/2014/main" id="{11B2A42F-F9AB-4D32-B39C-71A6080AE1D5}"/>
            </a:ext>
          </a:extLst>
        </xdr:cNvPr>
        <xdr:cNvSpPr txBox="1">
          <a:spLocks noChangeArrowheads="1"/>
        </xdr:cNvSpPr>
      </xdr:nvSpPr>
      <xdr:spPr bwMode="auto">
        <a:xfrm>
          <a:off x="33845500" y="15417800"/>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74</xdr:row>
      <xdr:rowOff>152366</xdr:rowOff>
    </xdr:from>
    <xdr:to>
      <xdr:col>40</xdr:col>
      <xdr:colOff>502631</xdr:colOff>
      <xdr:row>104</xdr:row>
      <xdr:rowOff>159742</xdr:rowOff>
    </xdr:to>
    <xdr:sp macro="" textlink="">
      <xdr:nvSpPr>
        <xdr:cNvPr id="253070" name="Text Box 142" hidden="1">
          <a:extLst>
            <a:ext uri="{FF2B5EF4-FFF2-40B4-BE49-F238E27FC236}">
              <a16:creationId xmlns:a16="http://schemas.microsoft.com/office/drawing/2014/main" id="{FD459720-10DB-4A19-919C-9AFA447EDC20}"/>
            </a:ext>
          </a:extLst>
        </xdr:cNvPr>
        <xdr:cNvSpPr txBox="1">
          <a:spLocks noChangeArrowheads="1"/>
        </xdr:cNvSpPr>
      </xdr:nvSpPr>
      <xdr:spPr bwMode="auto">
        <a:xfrm>
          <a:off x="33807400" y="15957550"/>
          <a:ext cx="914400" cy="581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70</xdr:row>
      <xdr:rowOff>27702</xdr:rowOff>
    </xdr:from>
    <xdr:to>
      <xdr:col>37</xdr:col>
      <xdr:colOff>278280</xdr:colOff>
      <xdr:row>72</xdr:row>
      <xdr:rowOff>27787</xdr:rowOff>
    </xdr:to>
    <xdr:sp macro="" textlink="">
      <xdr:nvSpPr>
        <xdr:cNvPr id="253069" name="Text Box 141" hidden="1">
          <a:extLst>
            <a:ext uri="{FF2B5EF4-FFF2-40B4-BE49-F238E27FC236}">
              <a16:creationId xmlns:a16="http://schemas.microsoft.com/office/drawing/2014/main" id="{6AA9A03B-955D-4CA1-B080-56A38C0F2A8A}"/>
            </a:ext>
          </a:extLst>
        </xdr:cNvPr>
        <xdr:cNvSpPr txBox="1">
          <a:spLocks noChangeArrowheads="1"/>
        </xdr:cNvSpPr>
      </xdr:nvSpPr>
      <xdr:spPr bwMode="auto">
        <a:xfrm>
          <a:off x="31057850" y="15087600"/>
          <a:ext cx="89535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70</xdr:row>
      <xdr:rowOff>27702</xdr:rowOff>
    </xdr:from>
    <xdr:to>
      <xdr:col>37</xdr:col>
      <xdr:colOff>373530</xdr:colOff>
      <xdr:row>72</xdr:row>
      <xdr:rowOff>27787</xdr:rowOff>
    </xdr:to>
    <xdr:sp macro="" textlink="">
      <xdr:nvSpPr>
        <xdr:cNvPr id="253068" name="Text Box 140" hidden="1">
          <a:extLst>
            <a:ext uri="{FF2B5EF4-FFF2-40B4-BE49-F238E27FC236}">
              <a16:creationId xmlns:a16="http://schemas.microsoft.com/office/drawing/2014/main" id="{B55155B4-61FD-4BC7-9073-000C8F522C71}"/>
            </a:ext>
          </a:extLst>
        </xdr:cNvPr>
        <xdr:cNvSpPr txBox="1">
          <a:spLocks noChangeArrowheads="1"/>
        </xdr:cNvSpPr>
      </xdr:nvSpPr>
      <xdr:spPr bwMode="auto">
        <a:xfrm>
          <a:off x="31134050" y="15087600"/>
          <a:ext cx="91440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74</xdr:row>
      <xdr:rowOff>152366</xdr:rowOff>
    </xdr:from>
    <xdr:to>
      <xdr:col>40</xdr:col>
      <xdr:colOff>502631</xdr:colOff>
      <xdr:row>82</xdr:row>
      <xdr:rowOff>68867</xdr:rowOff>
    </xdr:to>
    <xdr:sp macro="" textlink="">
      <xdr:nvSpPr>
        <xdr:cNvPr id="253067" name="Text Box 139" hidden="1">
          <a:extLst>
            <a:ext uri="{FF2B5EF4-FFF2-40B4-BE49-F238E27FC236}">
              <a16:creationId xmlns:a16="http://schemas.microsoft.com/office/drawing/2014/main" id="{5E323352-189A-4886-A3CF-9C762B1A1430}"/>
            </a:ext>
          </a:extLst>
        </xdr:cNvPr>
        <xdr:cNvSpPr txBox="1">
          <a:spLocks noChangeArrowheads="1"/>
        </xdr:cNvSpPr>
      </xdr:nvSpPr>
      <xdr:spPr bwMode="auto">
        <a:xfrm>
          <a:off x="33807400" y="15957550"/>
          <a:ext cx="9144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37</xdr:row>
      <xdr:rowOff>84792</xdr:rowOff>
    </xdr:from>
    <xdr:to>
      <xdr:col>2</xdr:col>
      <xdr:colOff>629770</xdr:colOff>
      <xdr:row>39</xdr:row>
      <xdr:rowOff>429068</xdr:rowOff>
    </xdr:to>
    <xdr:sp macro="" textlink="">
      <xdr:nvSpPr>
        <xdr:cNvPr id="253066" name="Text Box 138" hidden="1">
          <a:extLst>
            <a:ext uri="{FF2B5EF4-FFF2-40B4-BE49-F238E27FC236}">
              <a16:creationId xmlns:a16="http://schemas.microsoft.com/office/drawing/2014/main" id="{98755DA0-57E3-4EDF-AD72-1E1F62D6D4BF}"/>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065" name="Text Box 137" hidden="1">
          <a:extLst>
            <a:ext uri="{FF2B5EF4-FFF2-40B4-BE49-F238E27FC236}">
              <a16:creationId xmlns:a16="http://schemas.microsoft.com/office/drawing/2014/main" id="{292F3461-6F88-464E-8394-53B8297D6729}"/>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38283</xdr:rowOff>
    </xdr:to>
    <xdr:sp macro="" textlink="">
      <xdr:nvSpPr>
        <xdr:cNvPr id="253064" name="Text Box 136" hidden="1">
          <a:extLst>
            <a:ext uri="{FF2B5EF4-FFF2-40B4-BE49-F238E27FC236}">
              <a16:creationId xmlns:a16="http://schemas.microsoft.com/office/drawing/2014/main" id="{5E9E05DA-6F52-4484-92ED-CE558F643CE6}"/>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39</xdr:row>
      <xdr:rowOff>845015</xdr:rowOff>
    </xdr:from>
    <xdr:to>
      <xdr:col>18</xdr:col>
      <xdr:colOff>450290</xdr:colOff>
      <xdr:row>62</xdr:row>
      <xdr:rowOff>57</xdr:rowOff>
    </xdr:to>
    <xdr:sp macro="" textlink="">
      <xdr:nvSpPr>
        <xdr:cNvPr id="253063" name="Text Box 135" hidden="1">
          <a:extLst>
            <a:ext uri="{FF2B5EF4-FFF2-40B4-BE49-F238E27FC236}">
              <a16:creationId xmlns:a16="http://schemas.microsoft.com/office/drawing/2014/main" id="{390637DD-B8CC-423A-8E04-0FB27D7F99B5}"/>
            </a:ext>
          </a:extLst>
        </xdr:cNvPr>
        <xdr:cNvSpPr txBox="1">
          <a:spLocks noChangeArrowheads="1"/>
        </xdr:cNvSpPr>
      </xdr:nvSpPr>
      <xdr:spPr bwMode="auto">
        <a:xfrm>
          <a:off x="17589500" y="9131300"/>
          <a:ext cx="1257300" cy="464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14</xdr:row>
      <xdr:rowOff>161449</xdr:rowOff>
    </xdr:from>
    <xdr:to>
      <xdr:col>2</xdr:col>
      <xdr:colOff>629770</xdr:colOff>
      <xdr:row>18</xdr:row>
      <xdr:rowOff>30335</xdr:rowOff>
    </xdr:to>
    <xdr:sp macro="" textlink="">
      <xdr:nvSpPr>
        <xdr:cNvPr id="253062" name="Text Box 134" hidden="1">
          <a:extLst>
            <a:ext uri="{FF2B5EF4-FFF2-40B4-BE49-F238E27FC236}">
              <a16:creationId xmlns:a16="http://schemas.microsoft.com/office/drawing/2014/main" id="{E9CCED1F-A550-48B6-B194-F52EBD2AC0AC}"/>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16</xdr:row>
      <xdr:rowOff>124760</xdr:rowOff>
    </xdr:from>
    <xdr:to>
      <xdr:col>2</xdr:col>
      <xdr:colOff>629770</xdr:colOff>
      <xdr:row>20</xdr:row>
      <xdr:rowOff>8047</xdr:rowOff>
    </xdr:to>
    <xdr:sp macro="" textlink="">
      <xdr:nvSpPr>
        <xdr:cNvPr id="253061" name="Text Box 133" hidden="1">
          <a:extLst>
            <a:ext uri="{FF2B5EF4-FFF2-40B4-BE49-F238E27FC236}">
              <a16:creationId xmlns:a16="http://schemas.microsoft.com/office/drawing/2014/main" id="{73153123-E303-4E51-8A97-26A4879C72C2}"/>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53</xdr:row>
      <xdr:rowOff>69387</xdr:rowOff>
    </xdr:from>
    <xdr:to>
      <xdr:col>40</xdr:col>
      <xdr:colOff>647000</xdr:colOff>
      <xdr:row>60</xdr:row>
      <xdr:rowOff>106062</xdr:rowOff>
    </xdr:to>
    <xdr:sp macro="" textlink="">
      <xdr:nvSpPr>
        <xdr:cNvPr id="253082" name="Text Box 154" hidden="1">
          <a:extLst>
            <a:ext uri="{FF2B5EF4-FFF2-40B4-BE49-F238E27FC236}">
              <a16:creationId xmlns:a16="http://schemas.microsoft.com/office/drawing/2014/main" id="{F0809122-ECDC-49B6-955C-C33B71E18B32}"/>
            </a:ext>
          </a:extLst>
        </xdr:cNvPr>
        <xdr:cNvSpPr txBox="1">
          <a:spLocks noChangeArrowheads="1"/>
        </xdr:cNvSpPr>
      </xdr:nvSpPr>
      <xdr:spPr bwMode="auto">
        <a:xfrm>
          <a:off x="33855660" y="12024360"/>
          <a:ext cx="1021080" cy="143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53</xdr:row>
      <xdr:rowOff>140310</xdr:rowOff>
    </xdr:from>
    <xdr:to>
      <xdr:col>40</xdr:col>
      <xdr:colOff>502631</xdr:colOff>
      <xdr:row>83</xdr:row>
      <xdr:rowOff>107023</xdr:rowOff>
    </xdr:to>
    <xdr:sp macro="" textlink="">
      <xdr:nvSpPr>
        <xdr:cNvPr id="253081" name="Text Box 153" hidden="1">
          <a:extLst>
            <a:ext uri="{FF2B5EF4-FFF2-40B4-BE49-F238E27FC236}">
              <a16:creationId xmlns:a16="http://schemas.microsoft.com/office/drawing/2014/main" id="{FAAA09FF-3BB3-4890-9467-373B2ED31FCF}"/>
            </a:ext>
          </a:extLst>
        </xdr:cNvPr>
        <xdr:cNvSpPr txBox="1">
          <a:spLocks noChangeArrowheads="1"/>
        </xdr:cNvSpPr>
      </xdr:nvSpPr>
      <xdr:spPr bwMode="auto">
        <a:xfrm>
          <a:off x="33817560" y="1212342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200300</xdr:rowOff>
    </xdr:from>
    <xdr:to>
      <xdr:col>37</xdr:col>
      <xdr:colOff>259230</xdr:colOff>
      <xdr:row>54</xdr:row>
      <xdr:rowOff>58838</xdr:rowOff>
    </xdr:to>
    <xdr:sp macro="" textlink="">
      <xdr:nvSpPr>
        <xdr:cNvPr id="253080" name="Text Box 152" hidden="1">
          <a:extLst>
            <a:ext uri="{FF2B5EF4-FFF2-40B4-BE49-F238E27FC236}">
              <a16:creationId xmlns:a16="http://schemas.microsoft.com/office/drawing/2014/main" id="{3BFF550E-E7AD-4813-95C5-C8351F467628}"/>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200300</xdr:rowOff>
    </xdr:from>
    <xdr:to>
      <xdr:col>37</xdr:col>
      <xdr:colOff>373530</xdr:colOff>
      <xdr:row>54</xdr:row>
      <xdr:rowOff>58838</xdr:rowOff>
    </xdr:to>
    <xdr:sp macro="" textlink="">
      <xdr:nvSpPr>
        <xdr:cNvPr id="253079" name="Text Box 151" hidden="1">
          <a:extLst>
            <a:ext uri="{FF2B5EF4-FFF2-40B4-BE49-F238E27FC236}">
              <a16:creationId xmlns:a16="http://schemas.microsoft.com/office/drawing/2014/main" id="{28BB212E-EA18-4A12-B0C7-62857A890B39}"/>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53</xdr:row>
      <xdr:rowOff>140310</xdr:rowOff>
    </xdr:from>
    <xdr:to>
      <xdr:col>40</xdr:col>
      <xdr:colOff>502631</xdr:colOff>
      <xdr:row>60</xdr:row>
      <xdr:rowOff>3111</xdr:rowOff>
    </xdr:to>
    <xdr:sp macro="" textlink="">
      <xdr:nvSpPr>
        <xdr:cNvPr id="253078" name="Text Box 150" hidden="1">
          <a:extLst>
            <a:ext uri="{FF2B5EF4-FFF2-40B4-BE49-F238E27FC236}">
              <a16:creationId xmlns:a16="http://schemas.microsoft.com/office/drawing/2014/main" id="{08CAB2D8-39C4-4542-94AC-3140AC5B2033}"/>
            </a:ext>
          </a:extLst>
        </xdr:cNvPr>
        <xdr:cNvSpPr txBox="1">
          <a:spLocks noChangeArrowheads="1"/>
        </xdr:cNvSpPr>
      </xdr:nvSpPr>
      <xdr:spPr bwMode="auto">
        <a:xfrm>
          <a:off x="33817560" y="12123420"/>
          <a:ext cx="944880" cy="1234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11268</xdr:rowOff>
    </xdr:from>
    <xdr:to>
      <xdr:col>2</xdr:col>
      <xdr:colOff>629770</xdr:colOff>
      <xdr:row>32</xdr:row>
      <xdr:rowOff>162636</xdr:rowOff>
    </xdr:to>
    <xdr:sp macro="" textlink="">
      <xdr:nvSpPr>
        <xdr:cNvPr id="253077" name="Text Box 149" hidden="1">
          <a:extLst>
            <a:ext uri="{FF2B5EF4-FFF2-40B4-BE49-F238E27FC236}">
              <a16:creationId xmlns:a16="http://schemas.microsoft.com/office/drawing/2014/main" id="{F14E10EF-EDAB-44D2-A95F-FBF2C143A849}"/>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076" name="Text Box 148" hidden="1">
          <a:extLst>
            <a:ext uri="{FF2B5EF4-FFF2-40B4-BE49-F238E27FC236}">
              <a16:creationId xmlns:a16="http://schemas.microsoft.com/office/drawing/2014/main" id="{B04770AB-3CE4-4406-941E-3528E90A7E34}"/>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164319</xdr:rowOff>
    </xdr:to>
    <xdr:sp macro="" textlink="">
      <xdr:nvSpPr>
        <xdr:cNvPr id="253075" name="Text Box 147" hidden="1">
          <a:extLst>
            <a:ext uri="{FF2B5EF4-FFF2-40B4-BE49-F238E27FC236}">
              <a16:creationId xmlns:a16="http://schemas.microsoft.com/office/drawing/2014/main" id="{6FA99E2C-3494-40CA-8158-D600A98A1804}"/>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220378</xdr:rowOff>
    </xdr:from>
    <xdr:to>
      <xdr:col>18</xdr:col>
      <xdr:colOff>431240</xdr:colOff>
      <xdr:row>55</xdr:row>
      <xdr:rowOff>65804</xdr:rowOff>
    </xdr:to>
    <xdr:sp macro="" textlink="">
      <xdr:nvSpPr>
        <xdr:cNvPr id="253074" name="Text Box 146" hidden="1">
          <a:extLst>
            <a:ext uri="{FF2B5EF4-FFF2-40B4-BE49-F238E27FC236}">
              <a16:creationId xmlns:a16="http://schemas.microsoft.com/office/drawing/2014/main" id="{5999866C-2D22-4DA2-A7DD-76CE65643890}"/>
            </a:ext>
          </a:extLst>
        </xdr:cNvPr>
        <xdr:cNvSpPr txBox="1">
          <a:spLocks noChangeArrowheads="1"/>
        </xdr:cNvSpPr>
      </xdr:nvSpPr>
      <xdr:spPr bwMode="auto">
        <a:xfrm>
          <a:off x="17335500" y="7223760"/>
          <a:ext cx="1219200" cy="5303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53</xdr:row>
      <xdr:rowOff>29806</xdr:rowOff>
    </xdr:from>
    <xdr:to>
      <xdr:col>40</xdr:col>
      <xdr:colOff>647000</xdr:colOff>
      <xdr:row>60</xdr:row>
      <xdr:rowOff>106062</xdr:rowOff>
    </xdr:to>
    <xdr:sp macro="" textlink="">
      <xdr:nvSpPr>
        <xdr:cNvPr id="253091" name="Text Box 163" hidden="1">
          <a:extLst>
            <a:ext uri="{FF2B5EF4-FFF2-40B4-BE49-F238E27FC236}">
              <a16:creationId xmlns:a16="http://schemas.microsoft.com/office/drawing/2014/main" id="{9E6EE3C3-4141-4815-9750-F795C9380695}"/>
            </a:ext>
          </a:extLst>
        </xdr:cNvPr>
        <xdr:cNvSpPr txBox="1">
          <a:spLocks noChangeArrowheads="1"/>
        </xdr:cNvSpPr>
      </xdr:nvSpPr>
      <xdr:spPr bwMode="auto">
        <a:xfrm>
          <a:off x="33909000" y="1206500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53</xdr:row>
      <xdr:rowOff>107290</xdr:rowOff>
    </xdr:from>
    <xdr:to>
      <xdr:col>40</xdr:col>
      <xdr:colOff>502631</xdr:colOff>
      <xdr:row>83</xdr:row>
      <xdr:rowOff>96228</xdr:rowOff>
    </xdr:to>
    <xdr:sp macro="" textlink="">
      <xdr:nvSpPr>
        <xdr:cNvPr id="253090" name="Text Box 162" hidden="1">
          <a:extLst>
            <a:ext uri="{FF2B5EF4-FFF2-40B4-BE49-F238E27FC236}">
              <a16:creationId xmlns:a16="http://schemas.microsoft.com/office/drawing/2014/main" id="{9FCFB1BB-75BB-4066-987A-22F918CFDCCF}"/>
            </a:ext>
          </a:extLst>
        </xdr:cNvPr>
        <xdr:cNvSpPr txBox="1">
          <a:spLocks noChangeArrowheads="1"/>
        </xdr:cNvSpPr>
      </xdr:nvSpPr>
      <xdr:spPr bwMode="auto">
        <a:xfrm>
          <a:off x="33870900" y="121729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200300</xdr:rowOff>
    </xdr:from>
    <xdr:to>
      <xdr:col>37</xdr:col>
      <xdr:colOff>259230</xdr:colOff>
      <xdr:row>54</xdr:row>
      <xdr:rowOff>58838</xdr:rowOff>
    </xdr:to>
    <xdr:sp macro="" textlink="">
      <xdr:nvSpPr>
        <xdr:cNvPr id="253089" name="Text Box 161" hidden="1">
          <a:extLst>
            <a:ext uri="{FF2B5EF4-FFF2-40B4-BE49-F238E27FC236}">
              <a16:creationId xmlns:a16="http://schemas.microsoft.com/office/drawing/2014/main" id="{0BFC1522-4F93-4A18-8FC7-DBC159564227}"/>
            </a:ext>
          </a:extLst>
        </xdr:cNvPr>
        <xdr:cNvSpPr txBox="1">
          <a:spLocks noChangeArrowheads="1"/>
        </xdr:cNvSpPr>
      </xdr:nvSpPr>
      <xdr:spPr bwMode="auto">
        <a:xfrm>
          <a:off x="31115000" y="1180465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200300</xdr:rowOff>
    </xdr:from>
    <xdr:to>
      <xdr:col>37</xdr:col>
      <xdr:colOff>373530</xdr:colOff>
      <xdr:row>54</xdr:row>
      <xdr:rowOff>58838</xdr:rowOff>
    </xdr:to>
    <xdr:sp macro="" textlink="">
      <xdr:nvSpPr>
        <xdr:cNvPr id="253088" name="Text Box 160" hidden="1">
          <a:extLst>
            <a:ext uri="{FF2B5EF4-FFF2-40B4-BE49-F238E27FC236}">
              <a16:creationId xmlns:a16="http://schemas.microsoft.com/office/drawing/2014/main" id="{9A219B01-FC6D-46EA-9AEE-761D36EEF452}"/>
            </a:ext>
          </a:extLst>
        </xdr:cNvPr>
        <xdr:cNvSpPr txBox="1">
          <a:spLocks noChangeArrowheads="1"/>
        </xdr:cNvSpPr>
      </xdr:nvSpPr>
      <xdr:spPr bwMode="auto">
        <a:xfrm>
          <a:off x="31191200" y="1180465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53</xdr:row>
      <xdr:rowOff>107290</xdr:rowOff>
    </xdr:from>
    <xdr:to>
      <xdr:col>40</xdr:col>
      <xdr:colOff>502631</xdr:colOff>
      <xdr:row>60</xdr:row>
      <xdr:rowOff>784</xdr:rowOff>
    </xdr:to>
    <xdr:sp macro="" textlink="">
      <xdr:nvSpPr>
        <xdr:cNvPr id="253087" name="Text Box 159" hidden="1">
          <a:extLst>
            <a:ext uri="{FF2B5EF4-FFF2-40B4-BE49-F238E27FC236}">
              <a16:creationId xmlns:a16="http://schemas.microsoft.com/office/drawing/2014/main" id="{9BF1DBC0-15D0-441E-9EB3-0C4856EDDD11}"/>
            </a:ext>
          </a:extLst>
        </xdr:cNvPr>
        <xdr:cNvSpPr txBox="1">
          <a:spLocks noChangeArrowheads="1"/>
        </xdr:cNvSpPr>
      </xdr:nvSpPr>
      <xdr:spPr bwMode="auto">
        <a:xfrm>
          <a:off x="33870900" y="12172950"/>
          <a:ext cx="91440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11268</xdr:rowOff>
    </xdr:from>
    <xdr:to>
      <xdr:col>2</xdr:col>
      <xdr:colOff>629770</xdr:colOff>
      <xdr:row>32</xdr:row>
      <xdr:rowOff>162636</xdr:rowOff>
    </xdr:to>
    <xdr:sp macro="" textlink="">
      <xdr:nvSpPr>
        <xdr:cNvPr id="253086" name="Text Box 158" hidden="1">
          <a:extLst>
            <a:ext uri="{FF2B5EF4-FFF2-40B4-BE49-F238E27FC236}">
              <a16:creationId xmlns:a16="http://schemas.microsoft.com/office/drawing/2014/main" id="{9C4E3BA8-FE9D-46C1-AFC5-B405635D5BC9}"/>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085" name="Text Box 157" hidden="1">
          <a:extLst>
            <a:ext uri="{FF2B5EF4-FFF2-40B4-BE49-F238E27FC236}">
              <a16:creationId xmlns:a16="http://schemas.microsoft.com/office/drawing/2014/main" id="{2976410A-1F75-4A94-8078-1B41E6A84087}"/>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164319</xdr:rowOff>
    </xdr:to>
    <xdr:sp macro="" textlink="">
      <xdr:nvSpPr>
        <xdr:cNvPr id="253084" name="Text Box 156" hidden="1">
          <a:extLst>
            <a:ext uri="{FF2B5EF4-FFF2-40B4-BE49-F238E27FC236}">
              <a16:creationId xmlns:a16="http://schemas.microsoft.com/office/drawing/2014/main" id="{08238A3A-DED3-4218-B4C3-11052905909D}"/>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220378</xdr:rowOff>
    </xdr:from>
    <xdr:to>
      <xdr:col>18</xdr:col>
      <xdr:colOff>431240</xdr:colOff>
      <xdr:row>55</xdr:row>
      <xdr:rowOff>86759</xdr:rowOff>
    </xdr:to>
    <xdr:sp macro="" textlink="">
      <xdr:nvSpPr>
        <xdr:cNvPr id="253083" name="Text Box 155" hidden="1">
          <a:extLst>
            <a:ext uri="{FF2B5EF4-FFF2-40B4-BE49-F238E27FC236}">
              <a16:creationId xmlns:a16="http://schemas.microsoft.com/office/drawing/2014/main" id="{8F3165BF-5269-44BA-8730-CB86B8683097}"/>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53</xdr:row>
      <xdr:rowOff>29806</xdr:rowOff>
    </xdr:from>
    <xdr:to>
      <xdr:col>40</xdr:col>
      <xdr:colOff>647000</xdr:colOff>
      <xdr:row>60</xdr:row>
      <xdr:rowOff>106062</xdr:rowOff>
    </xdr:to>
    <xdr:sp macro="" textlink="">
      <xdr:nvSpPr>
        <xdr:cNvPr id="253100" name="Text Box 172" hidden="1">
          <a:extLst>
            <a:ext uri="{FF2B5EF4-FFF2-40B4-BE49-F238E27FC236}">
              <a16:creationId xmlns:a16="http://schemas.microsoft.com/office/drawing/2014/main" id="{659D2051-9A85-447A-80F9-40C817C99465}"/>
            </a:ext>
          </a:extLst>
        </xdr:cNvPr>
        <xdr:cNvSpPr txBox="1">
          <a:spLocks noChangeArrowheads="1"/>
        </xdr:cNvSpPr>
      </xdr:nvSpPr>
      <xdr:spPr bwMode="auto">
        <a:xfrm>
          <a:off x="33855660" y="1200912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53</xdr:row>
      <xdr:rowOff>107290</xdr:rowOff>
    </xdr:from>
    <xdr:to>
      <xdr:col>40</xdr:col>
      <xdr:colOff>502631</xdr:colOff>
      <xdr:row>83</xdr:row>
      <xdr:rowOff>96228</xdr:rowOff>
    </xdr:to>
    <xdr:sp macro="" textlink="">
      <xdr:nvSpPr>
        <xdr:cNvPr id="253099" name="Text Box 171" hidden="1">
          <a:extLst>
            <a:ext uri="{FF2B5EF4-FFF2-40B4-BE49-F238E27FC236}">
              <a16:creationId xmlns:a16="http://schemas.microsoft.com/office/drawing/2014/main" id="{CF7D7F79-267B-47F9-BBD9-6E84A1110783}"/>
            </a:ext>
          </a:extLst>
        </xdr:cNvPr>
        <xdr:cNvSpPr txBox="1">
          <a:spLocks noChangeArrowheads="1"/>
        </xdr:cNvSpPr>
      </xdr:nvSpPr>
      <xdr:spPr bwMode="auto">
        <a:xfrm>
          <a:off x="33817560" y="121158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200300</xdr:rowOff>
    </xdr:from>
    <xdr:to>
      <xdr:col>37</xdr:col>
      <xdr:colOff>259230</xdr:colOff>
      <xdr:row>54</xdr:row>
      <xdr:rowOff>58838</xdr:rowOff>
    </xdr:to>
    <xdr:sp macro="" textlink="">
      <xdr:nvSpPr>
        <xdr:cNvPr id="253098" name="Text Box 170" hidden="1">
          <a:extLst>
            <a:ext uri="{FF2B5EF4-FFF2-40B4-BE49-F238E27FC236}">
              <a16:creationId xmlns:a16="http://schemas.microsoft.com/office/drawing/2014/main" id="{18556C5C-5B8F-41F9-A842-456E7EB15FFE}"/>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200300</xdr:rowOff>
    </xdr:from>
    <xdr:to>
      <xdr:col>37</xdr:col>
      <xdr:colOff>373530</xdr:colOff>
      <xdr:row>54</xdr:row>
      <xdr:rowOff>58838</xdr:rowOff>
    </xdr:to>
    <xdr:sp macro="" textlink="">
      <xdr:nvSpPr>
        <xdr:cNvPr id="253097" name="Text Box 169" hidden="1">
          <a:extLst>
            <a:ext uri="{FF2B5EF4-FFF2-40B4-BE49-F238E27FC236}">
              <a16:creationId xmlns:a16="http://schemas.microsoft.com/office/drawing/2014/main" id="{BEAB1565-5551-47A4-A297-A02ACD543B51}"/>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53</xdr:row>
      <xdr:rowOff>107290</xdr:rowOff>
    </xdr:from>
    <xdr:to>
      <xdr:col>40</xdr:col>
      <xdr:colOff>502631</xdr:colOff>
      <xdr:row>60</xdr:row>
      <xdr:rowOff>784</xdr:rowOff>
    </xdr:to>
    <xdr:sp macro="" textlink="">
      <xdr:nvSpPr>
        <xdr:cNvPr id="253096" name="Text Box 168" hidden="1">
          <a:extLst>
            <a:ext uri="{FF2B5EF4-FFF2-40B4-BE49-F238E27FC236}">
              <a16:creationId xmlns:a16="http://schemas.microsoft.com/office/drawing/2014/main" id="{B1C372B5-0CD4-475C-81C7-C172F148F2A9}"/>
            </a:ext>
          </a:extLst>
        </xdr:cNvPr>
        <xdr:cNvSpPr txBox="1">
          <a:spLocks noChangeArrowheads="1"/>
        </xdr:cNvSpPr>
      </xdr:nvSpPr>
      <xdr:spPr bwMode="auto">
        <a:xfrm>
          <a:off x="33817560" y="12115800"/>
          <a:ext cx="944880" cy="1226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11268</xdr:rowOff>
    </xdr:from>
    <xdr:to>
      <xdr:col>2</xdr:col>
      <xdr:colOff>629770</xdr:colOff>
      <xdr:row>32</xdr:row>
      <xdr:rowOff>162636</xdr:rowOff>
    </xdr:to>
    <xdr:sp macro="" textlink="">
      <xdr:nvSpPr>
        <xdr:cNvPr id="253095" name="Text Box 167" hidden="1">
          <a:extLst>
            <a:ext uri="{FF2B5EF4-FFF2-40B4-BE49-F238E27FC236}">
              <a16:creationId xmlns:a16="http://schemas.microsoft.com/office/drawing/2014/main" id="{69C0E314-B3F6-4AFD-81E5-4D861DCB5403}"/>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094" name="Text Box 166" hidden="1">
          <a:extLst>
            <a:ext uri="{FF2B5EF4-FFF2-40B4-BE49-F238E27FC236}">
              <a16:creationId xmlns:a16="http://schemas.microsoft.com/office/drawing/2014/main" id="{3A208F38-D05A-4464-8979-C301EDE6C28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164319</xdr:rowOff>
    </xdr:to>
    <xdr:sp macro="" textlink="">
      <xdr:nvSpPr>
        <xdr:cNvPr id="253093" name="Text Box 165" hidden="1">
          <a:extLst>
            <a:ext uri="{FF2B5EF4-FFF2-40B4-BE49-F238E27FC236}">
              <a16:creationId xmlns:a16="http://schemas.microsoft.com/office/drawing/2014/main" id="{BFDDAB80-C2D4-43BC-9A08-FB089943A0D0}"/>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220378</xdr:rowOff>
    </xdr:from>
    <xdr:to>
      <xdr:col>18</xdr:col>
      <xdr:colOff>431240</xdr:colOff>
      <xdr:row>55</xdr:row>
      <xdr:rowOff>86759</xdr:rowOff>
    </xdr:to>
    <xdr:sp macro="" textlink="">
      <xdr:nvSpPr>
        <xdr:cNvPr id="253092" name="Text Box 164" hidden="1">
          <a:extLst>
            <a:ext uri="{FF2B5EF4-FFF2-40B4-BE49-F238E27FC236}">
              <a16:creationId xmlns:a16="http://schemas.microsoft.com/office/drawing/2014/main" id="{2DE82EA5-B6B3-41D0-84A2-550EB9078CE0}"/>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60</xdr:row>
      <xdr:rowOff>134871</xdr:rowOff>
    </xdr:from>
    <xdr:to>
      <xdr:col>40</xdr:col>
      <xdr:colOff>647000</xdr:colOff>
      <xdr:row>69</xdr:row>
      <xdr:rowOff>36728</xdr:rowOff>
    </xdr:to>
    <xdr:sp macro="" textlink="">
      <xdr:nvSpPr>
        <xdr:cNvPr id="253130" name="Text Box 202" hidden="1">
          <a:extLst>
            <a:ext uri="{FF2B5EF4-FFF2-40B4-BE49-F238E27FC236}">
              <a16:creationId xmlns:a16="http://schemas.microsoft.com/office/drawing/2014/main" id="{1FEC7AC2-AA7F-4E58-87EF-5F173535AAA0}"/>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61</xdr:row>
      <xdr:rowOff>6664</xdr:rowOff>
    </xdr:from>
    <xdr:to>
      <xdr:col>40</xdr:col>
      <xdr:colOff>502631</xdr:colOff>
      <xdr:row>90</xdr:row>
      <xdr:rowOff>94922</xdr:rowOff>
    </xdr:to>
    <xdr:sp macro="" textlink="">
      <xdr:nvSpPr>
        <xdr:cNvPr id="253129" name="Text Box 201" hidden="1">
          <a:extLst>
            <a:ext uri="{FF2B5EF4-FFF2-40B4-BE49-F238E27FC236}">
              <a16:creationId xmlns:a16="http://schemas.microsoft.com/office/drawing/2014/main" id="{31AAD6E5-A8CC-4E70-A35E-0574F6C39FD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49713</xdr:rowOff>
    </xdr:from>
    <xdr:to>
      <xdr:col>37</xdr:col>
      <xdr:colOff>259230</xdr:colOff>
      <xdr:row>61</xdr:row>
      <xdr:rowOff>160115</xdr:rowOff>
    </xdr:to>
    <xdr:sp macro="" textlink="">
      <xdr:nvSpPr>
        <xdr:cNvPr id="253128" name="Text Box 200" hidden="1">
          <a:extLst>
            <a:ext uri="{FF2B5EF4-FFF2-40B4-BE49-F238E27FC236}">
              <a16:creationId xmlns:a16="http://schemas.microsoft.com/office/drawing/2014/main" id="{A4472E78-F41E-4056-B743-7B4180C1320B}"/>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49713</xdr:rowOff>
    </xdr:from>
    <xdr:to>
      <xdr:col>37</xdr:col>
      <xdr:colOff>373530</xdr:colOff>
      <xdr:row>61</xdr:row>
      <xdr:rowOff>160115</xdr:rowOff>
    </xdr:to>
    <xdr:sp macro="" textlink="">
      <xdr:nvSpPr>
        <xdr:cNvPr id="253127" name="Text Box 199" hidden="1">
          <a:extLst>
            <a:ext uri="{FF2B5EF4-FFF2-40B4-BE49-F238E27FC236}">
              <a16:creationId xmlns:a16="http://schemas.microsoft.com/office/drawing/2014/main" id="{5C0739CE-6A2A-41B3-A2EE-55D5253446E5}"/>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61</xdr:row>
      <xdr:rowOff>6664</xdr:rowOff>
    </xdr:from>
    <xdr:to>
      <xdr:col>40</xdr:col>
      <xdr:colOff>502631</xdr:colOff>
      <xdr:row>68</xdr:row>
      <xdr:rowOff>58293</xdr:rowOff>
    </xdr:to>
    <xdr:sp macro="" textlink="">
      <xdr:nvSpPr>
        <xdr:cNvPr id="253126" name="Text Box 198" hidden="1">
          <a:extLst>
            <a:ext uri="{FF2B5EF4-FFF2-40B4-BE49-F238E27FC236}">
              <a16:creationId xmlns:a16="http://schemas.microsoft.com/office/drawing/2014/main" id="{8AFB553C-E46D-4A9D-B808-BAF6E230C73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11268</xdr:rowOff>
    </xdr:from>
    <xdr:to>
      <xdr:col>2</xdr:col>
      <xdr:colOff>629770</xdr:colOff>
      <xdr:row>32</xdr:row>
      <xdr:rowOff>162636</xdr:rowOff>
    </xdr:to>
    <xdr:sp macro="" textlink="">
      <xdr:nvSpPr>
        <xdr:cNvPr id="253125" name="Text Box 197" hidden="1">
          <a:extLst>
            <a:ext uri="{FF2B5EF4-FFF2-40B4-BE49-F238E27FC236}">
              <a16:creationId xmlns:a16="http://schemas.microsoft.com/office/drawing/2014/main" id="{707E112C-ED2E-46F2-8130-4CA248F4B4DC}"/>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124" name="Text Box 196" hidden="1">
          <a:extLst>
            <a:ext uri="{FF2B5EF4-FFF2-40B4-BE49-F238E27FC236}">
              <a16:creationId xmlns:a16="http://schemas.microsoft.com/office/drawing/2014/main" id="{027D20A0-3010-4244-9491-0D00FD3D088E}"/>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164319</xdr:rowOff>
    </xdr:to>
    <xdr:sp macro="" textlink="">
      <xdr:nvSpPr>
        <xdr:cNvPr id="253123" name="Text Box 195" hidden="1">
          <a:extLst>
            <a:ext uri="{FF2B5EF4-FFF2-40B4-BE49-F238E27FC236}">
              <a16:creationId xmlns:a16="http://schemas.microsoft.com/office/drawing/2014/main" id="{3E6A3329-BE30-45E9-9724-530A7B60C2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220378</xdr:rowOff>
    </xdr:from>
    <xdr:to>
      <xdr:col>18</xdr:col>
      <xdr:colOff>431240</xdr:colOff>
      <xdr:row>55</xdr:row>
      <xdr:rowOff>87320</xdr:rowOff>
    </xdr:to>
    <xdr:sp macro="" textlink="">
      <xdr:nvSpPr>
        <xdr:cNvPr id="253122" name="Text Box 194" hidden="1">
          <a:extLst>
            <a:ext uri="{FF2B5EF4-FFF2-40B4-BE49-F238E27FC236}">
              <a16:creationId xmlns:a16="http://schemas.microsoft.com/office/drawing/2014/main" id="{D3C9047B-4C5C-4273-92A0-4058937CCA34}"/>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37</xdr:row>
      <xdr:rowOff>18080</xdr:rowOff>
    </xdr:from>
    <xdr:to>
      <xdr:col>18</xdr:col>
      <xdr:colOff>476960</xdr:colOff>
      <xdr:row>39</xdr:row>
      <xdr:rowOff>466022</xdr:rowOff>
    </xdr:to>
    <xdr:sp macro="" textlink="">
      <xdr:nvSpPr>
        <xdr:cNvPr id="253121" name="Text Box 193" hidden="1">
          <a:extLst>
            <a:ext uri="{FF2B5EF4-FFF2-40B4-BE49-F238E27FC236}">
              <a16:creationId xmlns:a16="http://schemas.microsoft.com/office/drawing/2014/main" id="{EF5BEDAB-EB3E-43E9-9868-F5CD05EF9AB1}"/>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60</xdr:row>
      <xdr:rowOff>134871</xdr:rowOff>
    </xdr:from>
    <xdr:to>
      <xdr:col>40</xdr:col>
      <xdr:colOff>647000</xdr:colOff>
      <xdr:row>69</xdr:row>
      <xdr:rowOff>36728</xdr:rowOff>
    </xdr:to>
    <xdr:sp macro="" textlink="">
      <xdr:nvSpPr>
        <xdr:cNvPr id="253120" name="Text Box 192" hidden="1">
          <a:extLst>
            <a:ext uri="{FF2B5EF4-FFF2-40B4-BE49-F238E27FC236}">
              <a16:creationId xmlns:a16="http://schemas.microsoft.com/office/drawing/2014/main" id="{0B33580F-F5C9-44C3-9546-C48931E0DE2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61</xdr:row>
      <xdr:rowOff>6664</xdr:rowOff>
    </xdr:from>
    <xdr:to>
      <xdr:col>40</xdr:col>
      <xdr:colOff>502631</xdr:colOff>
      <xdr:row>90</xdr:row>
      <xdr:rowOff>94922</xdr:rowOff>
    </xdr:to>
    <xdr:sp macro="" textlink="">
      <xdr:nvSpPr>
        <xdr:cNvPr id="253119" name="Text Box 191" hidden="1">
          <a:extLst>
            <a:ext uri="{FF2B5EF4-FFF2-40B4-BE49-F238E27FC236}">
              <a16:creationId xmlns:a16="http://schemas.microsoft.com/office/drawing/2014/main" id="{B3B07E77-0F23-486F-9517-5848F70B6C12}"/>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49713</xdr:rowOff>
    </xdr:from>
    <xdr:to>
      <xdr:col>37</xdr:col>
      <xdr:colOff>259230</xdr:colOff>
      <xdr:row>61</xdr:row>
      <xdr:rowOff>160115</xdr:rowOff>
    </xdr:to>
    <xdr:sp macro="" textlink="">
      <xdr:nvSpPr>
        <xdr:cNvPr id="253118" name="Text Box 190" hidden="1">
          <a:extLst>
            <a:ext uri="{FF2B5EF4-FFF2-40B4-BE49-F238E27FC236}">
              <a16:creationId xmlns:a16="http://schemas.microsoft.com/office/drawing/2014/main" id="{C97ED2FB-805D-4B5C-868E-E5E2483DDC41}"/>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49713</xdr:rowOff>
    </xdr:from>
    <xdr:to>
      <xdr:col>37</xdr:col>
      <xdr:colOff>373530</xdr:colOff>
      <xdr:row>61</xdr:row>
      <xdr:rowOff>160115</xdr:rowOff>
    </xdr:to>
    <xdr:sp macro="" textlink="">
      <xdr:nvSpPr>
        <xdr:cNvPr id="253117" name="Text Box 189" hidden="1">
          <a:extLst>
            <a:ext uri="{FF2B5EF4-FFF2-40B4-BE49-F238E27FC236}">
              <a16:creationId xmlns:a16="http://schemas.microsoft.com/office/drawing/2014/main" id="{1D7561C3-BEF1-4CD5-8E72-74545A645BF0}"/>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61</xdr:row>
      <xdr:rowOff>6664</xdr:rowOff>
    </xdr:from>
    <xdr:to>
      <xdr:col>40</xdr:col>
      <xdr:colOff>502631</xdr:colOff>
      <xdr:row>68</xdr:row>
      <xdr:rowOff>58293</xdr:rowOff>
    </xdr:to>
    <xdr:sp macro="" textlink="">
      <xdr:nvSpPr>
        <xdr:cNvPr id="253116" name="Text Box 188" hidden="1">
          <a:extLst>
            <a:ext uri="{FF2B5EF4-FFF2-40B4-BE49-F238E27FC236}">
              <a16:creationId xmlns:a16="http://schemas.microsoft.com/office/drawing/2014/main" id="{2667CD60-16A0-4AB9-8A49-3ECA63DE12EE}"/>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11268</xdr:rowOff>
    </xdr:from>
    <xdr:to>
      <xdr:col>2</xdr:col>
      <xdr:colOff>629770</xdr:colOff>
      <xdr:row>32</xdr:row>
      <xdr:rowOff>162636</xdr:rowOff>
    </xdr:to>
    <xdr:sp macro="" textlink="">
      <xdr:nvSpPr>
        <xdr:cNvPr id="253115" name="Text Box 187" hidden="1">
          <a:extLst>
            <a:ext uri="{FF2B5EF4-FFF2-40B4-BE49-F238E27FC236}">
              <a16:creationId xmlns:a16="http://schemas.microsoft.com/office/drawing/2014/main" id="{A559114E-C7C4-45F6-85A3-D2A4A0DE879D}"/>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114" name="Text Box 186" hidden="1">
          <a:extLst>
            <a:ext uri="{FF2B5EF4-FFF2-40B4-BE49-F238E27FC236}">
              <a16:creationId xmlns:a16="http://schemas.microsoft.com/office/drawing/2014/main" id="{7E2E7B8F-E98D-47F8-A4DF-169F2961E642}"/>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164319</xdr:rowOff>
    </xdr:to>
    <xdr:sp macro="" textlink="">
      <xdr:nvSpPr>
        <xdr:cNvPr id="253113" name="Text Box 185" hidden="1">
          <a:extLst>
            <a:ext uri="{FF2B5EF4-FFF2-40B4-BE49-F238E27FC236}">
              <a16:creationId xmlns:a16="http://schemas.microsoft.com/office/drawing/2014/main" id="{BD57456C-68C1-4BE2-AE77-97CC71158B71}"/>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220378</xdr:rowOff>
    </xdr:from>
    <xdr:to>
      <xdr:col>18</xdr:col>
      <xdr:colOff>431240</xdr:colOff>
      <xdr:row>55</xdr:row>
      <xdr:rowOff>87320</xdr:rowOff>
    </xdr:to>
    <xdr:sp macro="" textlink="">
      <xdr:nvSpPr>
        <xdr:cNvPr id="253112" name="Text Box 184" hidden="1">
          <a:extLst>
            <a:ext uri="{FF2B5EF4-FFF2-40B4-BE49-F238E27FC236}">
              <a16:creationId xmlns:a16="http://schemas.microsoft.com/office/drawing/2014/main" id="{8F1DD425-B185-4A8E-9F62-9F857D81BD01}"/>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37</xdr:row>
      <xdr:rowOff>18080</xdr:rowOff>
    </xdr:from>
    <xdr:to>
      <xdr:col>18</xdr:col>
      <xdr:colOff>476960</xdr:colOff>
      <xdr:row>39</xdr:row>
      <xdr:rowOff>466022</xdr:rowOff>
    </xdr:to>
    <xdr:sp macro="" textlink="">
      <xdr:nvSpPr>
        <xdr:cNvPr id="253111" name="Text Box 183" hidden="1">
          <a:extLst>
            <a:ext uri="{FF2B5EF4-FFF2-40B4-BE49-F238E27FC236}">
              <a16:creationId xmlns:a16="http://schemas.microsoft.com/office/drawing/2014/main" id="{FA808DA1-A24F-4AE5-9403-001DE8D60218}"/>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60</xdr:row>
      <xdr:rowOff>134871</xdr:rowOff>
    </xdr:from>
    <xdr:to>
      <xdr:col>40</xdr:col>
      <xdr:colOff>647000</xdr:colOff>
      <xdr:row>69</xdr:row>
      <xdr:rowOff>36728</xdr:rowOff>
    </xdr:to>
    <xdr:sp macro="" textlink="">
      <xdr:nvSpPr>
        <xdr:cNvPr id="253109" name="Text Box 181" hidden="1">
          <a:extLst>
            <a:ext uri="{FF2B5EF4-FFF2-40B4-BE49-F238E27FC236}">
              <a16:creationId xmlns:a16="http://schemas.microsoft.com/office/drawing/2014/main" id="{468C5C95-2660-4A59-9B0B-B97C1BFDAA0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61</xdr:row>
      <xdr:rowOff>6664</xdr:rowOff>
    </xdr:from>
    <xdr:to>
      <xdr:col>40</xdr:col>
      <xdr:colOff>502631</xdr:colOff>
      <xdr:row>90</xdr:row>
      <xdr:rowOff>94922</xdr:rowOff>
    </xdr:to>
    <xdr:sp macro="" textlink="">
      <xdr:nvSpPr>
        <xdr:cNvPr id="253108" name="Text Box 180" hidden="1">
          <a:extLst>
            <a:ext uri="{FF2B5EF4-FFF2-40B4-BE49-F238E27FC236}">
              <a16:creationId xmlns:a16="http://schemas.microsoft.com/office/drawing/2014/main" id="{ADFE3912-60B9-4219-AB60-F406E19BBB64}"/>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49713</xdr:rowOff>
    </xdr:from>
    <xdr:to>
      <xdr:col>37</xdr:col>
      <xdr:colOff>259230</xdr:colOff>
      <xdr:row>61</xdr:row>
      <xdr:rowOff>160115</xdr:rowOff>
    </xdr:to>
    <xdr:sp macro="" textlink="">
      <xdr:nvSpPr>
        <xdr:cNvPr id="253107" name="Text Box 179" hidden="1">
          <a:extLst>
            <a:ext uri="{FF2B5EF4-FFF2-40B4-BE49-F238E27FC236}">
              <a16:creationId xmlns:a16="http://schemas.microsoft.com/office/drawing/2014/main" id="{5EDC3ACD-B499-41F3-A3F9-78687BE82C9C}"/>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49713</xdr:rowOff>
    </xdr:from>
    <xdr:to>
      <xdr:col>37</xdr:col>
      <xdr:colOff>373530</xdr:colOff>
      <xdr:row>61</xdr:row>
      <xdr:rowOff>160115</xdr:rowOff>
    </xdr:to>
    <xdr:sp macro="" textlink="">
      <xdr:nvSpPr>
        <xdr:cNvPr id="253106" name="Text Box 178" hidden="1">
          <a:extLst>
            <a:ext uri="{FF2B5EF4-FFF2-40B4-BE49-F238E27FC236}">
              <a16:creationId xmlns:a16="http://schemas.microsoft.com/office/drawing/2014/main" id="{06EA7145-9A86-4630-A8F9-3303C1C572C9}"/>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61</xdr:row>
      <xdr:rowOff>6664</xdr:rowOff>
    </xdr:from>
    <xdr:to>
      <xdr:col>40</xdr:col>
      <xdr:colOff>502631</xdr:colOff>
      <xdr:row>68</xdr:row>
      <xdr:rowOff>58293</xdr:rowOff>
    </xdr:to>
    <xdr:sp macro="" textlink="">
      <xdr:nvSpPr>
        <xdr:cNvPr id="253105" name="Text Box 177" hidden="1">
          <a:extLst>
            <a:ext uri="{FF2B5EF4-FFF2-40B4-BE49-F238E27FC236}">
              <a16:creationId xmlns:a16="http://schemas.microsoft.com/office/drawing/2014/main" id="{1ED555BA-167A-4AD7-A2AC-60C3C21A591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11268</xdr:rowOff>
    </xdr:from>
    <xdr:to>
      <xdr:col>2</xdr:col>
      <xdr:colOff>629770</xdr:colOff>
      <xdr:row>32</xdr:row>
      <xdr:rowOff>162636</xdr:rowOff>
    </xdr:to>
    <xdr:sp macro="" textlink="">
      <xdr:nvSpPr>
        <xdr:cNvPr id="253104" name="Text Box 176" hidden="1">
          <a:extLst>
            <a:ext uri="{FF2B5EF4-FFF2-40B4-BE49-F238E27FC236}">
              <a16:creationId xmlns:a16="http://schemas.microsoft.com/office/drawing/2014/main" id="{CE988748-F005-47B7-A24C-81264C07BA72}"/>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103" name="Text Box 175" hidden="1">
          <a:extLst>
            <a:ext uri="{FF2B5EF4-FFF2-40B4-BE49-F238E27FC236}">
              <a16:creationId xmlns:a16="http://schemas.microsoft.com/office/drawing/2014/main" id="{A1125812-655F-4536-BAA7-A75A28858B9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164319</xdr:rowOff>
    </xdr:to>
    <xdr:sp macro="" textlink="">
      <xdr:nvSpPr>
        <xdr:cNvPr id="253102" name="Text Box 174" hidden="1">
          <a:extLst>
            <a:ext uri="{FF2B5EF4-FFF2-40B4-BE49-F238E27FC236}">
              <a16:creationId xmlns:a16="http://schemas.microsoft.com/office/drawing/2014/main" id="{BB090F40-4FDA-4D3D-8545-C743909523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220378</xdr:rowOff>
    </xdr:from>
    <xdr:to>
      <xdr:col>18</xdr:col>
      <xdr:colOff>431240</xdr:colOff>
      <xdr:row>55</xdr:row>
      <xdr:rowOff>87320</xdr:rowOff>
    </xdr:to>
    <xdr:sp macro="" textlink="">
      <xdr:nvSpPr>
        <xdr:cNvPr id="253101" name="Text Box 173" hidden="1">
          <a:extLst>
            <a:ext uri="{FF2B5EF4-FFF2-40B4-BE49-F238E27FC236}">
              <a16:creationId xmlns:a16="http://schemas.microsoft.com/office/drawing/2014/main" id="{3A307065-8054-415B-95CC-223BA5EF925C}"/>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37</xdr:row>
      <xdr:rowOff>18080</xdr:rowOff>
    </xdr:from>
    <xdr:to>
      <xdr:col>18</xdr:col>
      <xdr:colOff>476960</xdr:colOff>
      <xdr:row>39</xdr:row>
      <xdr:rowOff>466022</xdr:rowOff>
    </xdr:to>
    <xdr:sp macro="" textlink="">
      <xdr:nvSpPr>
        <xdr:cNvPr id="253110" name="Text Box 182" hidden="1">
          <a:extLst>
            <a:ext uri="{FF2B5EF4-FFF2-40B4-BE49-F238E27FC236}">
              <a16:creationId xmlns:a16="http://schemas.microsoft.com/office/drawing/2014/main" id="{C1F5530E-42DC-4515-B688-916EFF1C45E6}"/>
            </a:ext>
          </a:extLst>
        </xdr:cNvPr>
        <xdr:cNvSpPr txBox="1">
          <a:spLocks noChangeArrowheads="1"/>
        </xdr:cNvSpPr>
      </xdr:nvSpPr>
      <xdr:spPr bwMode="auto">
        <a:xfrm>
          <a:off x="17335500" y="7924800"/>
          <a:ext cx="126492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60</xdr:row>
      <xdr:rowOff>134871</xdr:rowOff>
    </xdr:from>
    <xdr:to>
      <xdr:col>40</xdr:col>
      <xdr:colOff>647000</xdr:colOff>
      <xdr:row>69</xdr:row>
      <xdr:rowOff>36728</xdr:rowOff>
    </xdr:to>
    <xdr:sp macro="" textlink="">
      <xdr:nvSpPr>
        <xdr:cNvPr id="253160" name="Text Box 232" hidden="1">
          <a:extLst>
            <a:ext uri="{FF2B5EF4-FFF2-40B4-BE49-F238E27FC236}">
              <a16:creationId xmlns:a16="http://schemas.microsoft.com/office/drawing/2014/main" id="{82295DDD-46A3-4C35-BDA9-B28032D28EE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61</xdr:row>
      <xdr:rowOff>6664</xdr:rowOff>
    </xdr:from>
    <xdr:to>
      <xdr:col>40</xdr:col>
      <xdr:colOff>502631</xdr:colOff>
      <xdr:row>90</xdr:row>
      <xdr:rowOff>94922</xdr:rowOff>
    </xdr:to>
    <xdr:sp macro="" textlink="">
      <xdr:nvSpPr>
        <xdr:cNvPr id="253159" name="Text Box 231" hidden="1">
          <a:extLst>
            <a:ext uri="{FF2B5EF4-FFF2-40B4-BE49-F238E27FC236}">
              <a16:creationId xmlns:a16="http://schemas.microsoft.com/office/drawing/2014/main" id="{2BC42326-28C1-46D1-A92D-44231208F06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49713</xdr:rowOff>
    </xdr:from>
    <xdr:to>
      <xdr:col>37</xdr:col>
      <xdr:colOff>259230</xdr:colOff>
      <xdr:row>61</xdr:row>
      <xdr:rowOff>160115</xdr:rowOff>
    </xdr:to>
    <xdr:sp macro="" textlink="">
      <xdr:nvSpPr>
        <xdr:cNvPr id="253158" name="Text Box 230" hidden="1">
          <a:extLst>
            <a:ext uri="{FF2B5EF4-FFF2-40B4-BE49-F238E27FC236}">
              <a16:creationId xmlns:a16="http://schemas.microsoft.com/office/drawing/2014/main" id="{AF88F8EF-4C29-4CB6-B168-FA52430597F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49713</xdr:rowOff>
    </xdr:from>
    <xdr:to>
      <xdr:col>37</xdr:col>
      <xdr:colOff>373530</xdr:colOff>
      <xdr:row>61</xdr:row>
      <xdr:rowOff>160115</xdr:rowOff>
    </xdr:to>
    <xdr:sp macro="" textlink="">
      <xdr:nvSpPr>
        <xdr:cNvPr id="253157" name="Text Box 229" hidden="1">
          <a:extLst>
            <a:ext uri="{FF2B5EF4-FFF2-40B4-BE49-F238E27FC236}">
              <a16:creationId xmlns:a16="http://schemas.microsoft.com/office/drawing/2014/main" id="{0075B0B2-249C-4A27-8AB8-359B42700628}"/>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61</xdr:row>
      <xdr:rowOff>6664</xdr:rowOff>
    </xdr:from>
    <xdr:to>
      <xdr:col>40</xdr:col>
      <xdr:colOff>502631</xdr:colOff>
      <xdr:row>68</xdr:row>
      <xdr:rowOff>37973</xdr:rowOff>
    </xdr:to>
    <xdr:sp macro="" textlink="">
      <xdr:nvSpPr>
        <xdr:cNvPr id="253156" name="Text Box 228" hidden="1">
          <a:extLst>
            <a:ext uri="{FF2B5EF4-FFF2-40B4-BE49-F238E27FC236}">
              <a16:creationId xmlns:a16="http://schemas.microsoft.com/office/drawing/2014/main" id="{8D08E321-21CD-47C9-AEBE-2E87FE57E022}"/>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11268</xdr:rowOff>
    </xdr:from>
    <xdr:to>
      <xdr:col>2</xdr:col>
      <xdr:colOff>629770</xdr:colOff>
      <xdr:row>32</xdr:row>
      <xdr:rowOff>162636</xdr:rowOff>
    </xdr:to>
    <xdr:sp macro="" textlink="">
      <xdr:nvSpPr>
        <xdr:cNvPr id="253155" name="Text Box 227" hidden="1">
          <a:extLst>
            <a:ext uri="{FF2B5EF4-FFF2-40B4-BE49-F238E27FC236}">
              <a16:creationId xmlns:a16="http://schemas.microsoft.com/office/drawing/2014/main" id="{F03B5C2D-7CED-4455-A33B-585EE2671D37}"/>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154" name="Text Box 226" hidden="1">
          <a:extLst>
            <a:ext uri="{FF2B5EF4-FFF2-40B4-BE49-F238E27FC236}">
              <a16:creationId xmlns:a16="http://schemas.microsoft.com/office/drawing/2014/main" id="{77797685-BC37-45D0-B945-DA84F3725811}"/>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164319</xdr:rowOff>
    </xdr:to>
    <xdr:sp macro="" textlink="">
      <xdr:nvSpPr>
        <xdr:cNvPr id="253153" name="Text Box 225" hidden="1">
          <a:extLst>
            <a:ext uri="{FF2B5EF4-FFF2-40B4-BE49-F238E27FC236}">
              <a16:creationId xmlns:a16="http://schemas.microsoft.com/office/drawing/2014/main" id="{7BCEF910-E5A6-44AE-91CC-45AA86E1F4DA}"/>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220378</xdr:rowOff>
    </xdr:from>
    <xdr:to>
      <xdr:col>18</xdr:col>
      <xdr:colOff>431240</xdr:colOff>
      <xdr:row>55</xdr:row>
      <xdr:rowOff>87320</xdr:rowOff>
    </xdr:to>
    <xdr:sp macro="" textlink="">
      <xdr:nvSpPr>
        <xdr:cNvPr id="253152" name="Text Box 224" hidden="1">
          <a:extLst>
            <a:ext uri="{FF2B5EF4-FFF2-40B4-BE49-F238E27FC236}">
              <a16:creationId xmlns:a16="http://schemas.microsoft.com/office/drawing/2014/main" id="{C6BB1D42-AF69-4DD1-BE5E-572AADCB581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37</xdr:row>
      <xdr:rowOff>16810</xdr:rowOff>
    </xdr:from>
    <xdr:to>
      <xdr:col>18</xdr:col>
      <xdr:colOff>469340</xdr:colOff>
      <xdr:row>39</xdr:row>
      <xdr:rowOff>466022</xdr:rowOff>
    </xdr:to>
    <xdr:sp macro="" textlink="">
      <xdr:nvSpPr>
        <xdr:cNvPr id="253151" name="Text Box 223" hidden="1">
          <a:extLst>
            <a:ext uri="{FF2B5EF4-FFF2-40B4-BE49-F238E27FC236}">
              <a16:creationId xmlns:a16="http://schemas.microsoft.com/office/drawing/2014/main" id="{AC59E01E-43E7-4A80-87D5-81AD8FF2EE62}"/>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60</xdr:row>
      <xdr:rowOff>134871</xdr:rowOff>
    </xdr:from>
    <xdr:to>
      <xdr:col>40</xdr:col>
      <xdr:colOff>647000</xdr:colOff>
      <xdr:row>69</xdr:row>
      <xdr:rowOff>36728</xdr:rowOff>
    </xdr:to>
    <xdr:sp macro="" textlink="">
      <xdr:nvSpPr>
        <xdr:cNvPr id="253150" name="Text Box 222" hidden="1">
          <a:extLst>
            <a:ext uri="{FF2B5EF4-FFF2-40B4-BE49-F238E27FC236}">
              <a16:creationId xmlns:a16="http://schemas.microsoft.com/office/drawing/2014/main" id="{25ED747B-3DF0-4A8E-90C9-E71ABAD0D48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61</xdr:row>
      <xdr:rowOff>6664</xdr:rowOff>
    </xdr:from>
    <xdr:to>
      <xdr:col>40</xdr:col>
      <xdr:colOff>502631</xdr:colOff>
      <xdr:row>90</xdr:row>
      <xdr:rowOff>94922</xdr:rowOff>
    </xdr:to>
    <xdr:sp macro="" textlink="">
      <xdr:nvSpPr>
        <xdr:cNvPr id="253149" name="Text Box 221" hidden="1">
          <a:extLst>
            <a:ext uri="{FF2B5EF4-FFF2-40B4-BE49-F238E27FC236}">
              <a16:creationId xmlns:a16="http://schemas.microsoft.com/office/drawing/2014/main" id="{BEE37C05-4E3E-491A-BEE1-79A9E4E076A9}"/>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49713</xdr:rowOff>
    </xdr:from>
    <xdr:to>
      <xdr:col>37</xdr:col>
      <xdr:colOff>259230</xdr:colOff>
      <xdr:row>61</xdr:row>
      <xdr:rowOff>160115</xdr:rowOff>
    </xdr:to>
    <xdr:sp macro="" textlink="">
      <xdr:nvSpPr>
        <xdr:cNvPr id="253148" name="Text Box 220" hidden="1">
          <a:extLst>
            <a:ext uri="{FF2B5EF4-FFF2-40B4-BE49-F238E27FC236}">
              <a16:creationId xmlns:a16="http://schemas.microsoft.com/office/drawing/2014/main" id="{E933B412-F4D1-4F34-B105-C00DF441446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49713</xdr:rowOff>
    </xdr:from>
    <xdr:to>
      <xdr:col>37</xdr:col>
      <xdr:colOff>373530</xdr:colOff>
      <xdr:row>61</xdr:row>
      <xdr:rowOff>160115</xdr:rowOff>
    </xdr:to>
    <xdr:sp macro="" textlink="">
      <xdr:nvSpPr>
        <xdr:cNvPr id="253147" name="Text Box 219" hidden="1">
          <a:extLst>
            <a:ext uri="{FF2B5EF4-FFF2-40B4-BE49-F238E27FC236}">
              <a16:creationId xmlns:a16="http://schemas.microsoft.com/office/drawing/2014/main" id="{968C9F7D-CA77-495D-A697-ADA9CD120E62}"/>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61</xdr:row>
      <xdr:rowOff>6664</xdr:rowOff>
    </xdr:from>
    <xdr:to>
      <xdr:col>40</xdr:col>
      <xdr:colOff>502631</xdr:colOff>
      <xdr:row>68</xdr:row>
      <xdr:rowOff>37973</xdr:rowOff>
    </xdr:to>
    <xdr:sp macro="" textlink="">
      <xdr:nvSpPr>
        <xdr:cNvPr id="253146" name="Text Box 218" hidden="1">
          <a:extLst>
            <a:ext uri="{FF2B5EF4-FFF2-40B4-BE49-F238E27FC236}">
              <a16:creationId xmlns:a16="http://schemas.microsoft.com/office/drawing/2014/main" id="{FA27E1B1-2BAE-4CA0-ACAF-7E433C88DE14}"/>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11268</xdr:rowOff>
    </xdr:from>
    <xdr:to>
      <xdr:col>2</xdr:col>
      <xdr:colOff>629770</xdr:colOff>
      <xdr:row>32</xdr:row>
      <xdr:rowOff>162636</xdr:rowOff>
    </xdr:to>
    <xdr:sp macro="" textlink="">
      <xdr:nvSpPr>
        <xdr:cNvPr id="253145" name="Text Box 217" hidden="1">
          <a:extLst>
            <a:ext uri="{FF2B5EF4-FFF2-40B4-BE49-F238E27FC236}">
              <a16:creationId xmlns:a16="http://schemas.microsoft.com/office/drawing/2014/main" id="{FD36B24C-8BDF-4538-BDB6-1C69DAD5DEF1}"/>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144" name="Text Box 216" hidden="1">
          <a:extLst>
            <a:ext uri="{FF2B5EF4-FFF2-40B4-BE49-F238E27FC236}">
              <a16:creationId xmlns:a16="http://schemas.microsoft.com/office/drawing/2014/main" id="{A786583A-F9CF-43BC-8A57-C11F451C6EF0}"/>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164319</xdr:rowOff>
    </xdr:to>
    <xdr:sp macro="" textlink="">
      <xdr:nvSpPr>
        <xdr:cNvPr id="253143" name="Text Box 215" hidden="1">
          <a:extLst>
            <a:ext uri="{FF2B5EF4-FFF2-40B4-BE49-F238E27FC236}">
              <a16:creationId xmlns:a16="http://schemas.microsoft.com/office/drawing/2014/main" id="{EC0A7227-A9EB-4077-8196-D2EFEB136382}"/>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220378</xdr:rowOff>
    </xdr:from>
    <xdr:to>
      <xdr:col>18</xdr:col>
      <xdr:colOff>431240</xdr:colOff>
      <xdr:row>55</xdr:row>
      <xdr:rowOff>87320</xdr:rowOff>
    </xdr:to>
    <xdr:sp macro="" textlink="">
      <xdr:nvSpPr>
        <xdr:cNvPr id="253142" name="Text Box 214" hidden="1">
          <a:extLst>
            <a:ext uri="{FF2B5EF4-FFF2-40B4-BE49-F238E27FC236}">
              <a16:creationId xmlns:a16="http://schemas.microsoft.com/office/drawing/2014/main" id="{537CBDE0-33D1-4EDE-AC0E-9747AF97DEB9}"/>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37</xdr:row>
      <xdr:rowOff>16810</xdr:rowOff>
    </xdr:from>
    <xdr:to>
      <xdr:col>18</xdr:col>
      <xdr:colOff>469340</xdr:colOff>
      <xdr:row>39</xdr:row>
      <xdr:rowOff>466022</xdr:rowOff>
    </xdr:to>
    <xdr:sp macro="" textlink="">
      <xdr:nvSpPr>
        <xdr:cNvPr id="253141" name="Text Box 213" hidden="1">
          <a:extLst>
            <a:ext uri="{FF2B5EF4-FFF2-40B4-BE49-F238E27FC236}">
              <a16:creationId xmlns:a16="http://schemas.microsoft.com/office/drawing/2014/main" id="{2E4E53AE-8E96-41A8-AEBC-D2A9E74D182A}"/>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60</xdr:row>
      <xdr:rowOff>134871</xdr:rowOff>
    </xdr:from>
    <xdr:to>
      <xdr:col>40</xdr:col>
      <xdr:colOff>647000</xdr:colOff>
      <xdr:row>69</xdr:row>
      <xdr:rowOff>36728</xdr:rowOff>
    </xdr:to>
    <xdr:sp macro="" textlink="">
      <xdr:nvSpPr>
        <xdr:cNvPr id="253140" name="Text Box 212" hidden="1">
          <a:extLst>
            <a:ext uri="{FF2B5EF4-FFF2-40B4-BE49-F238E27FC236}">
              <a16:creationId xmlns:a16="http://schemas.microsoft.com/office/drawing/2014/main" id="{F07BB82F-870D-43C8-B945-DDF46D3B1A95}"/>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61</xdr:row>
      <xdr:rowOff>6664</xdr:rowOff>
    </xdr:from>
    <xdr:to>
      <xdr:col>40</xdr:col>
      <xdr:colOff>502631</xdr:colOff>
      <xdr:row>90</xdr:row>
      <xdr:rowOff>94922</xdr:rowOff>
    </xdr:to>
    <xdr:sp macro="" textlink="">
      <xdr:nvSpPr>
        <xdr:cNvPr id="253139" name="Text Box 211" hidden="1">
          <a:extLst>
            <a:ext uri="{FF2B5EF4-FFF2-40B4-BE49-F238E27FC236}">
              <a16:creationId xmlns:a16="http://schemas.microsoft.com/office/drawing/2014/main" id="{12652035-B09F-4E07-98B7-33DB0F1BA477}"/>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49713</xdr:rowOff>
    </xdr:from>
    <xdr:to>
      <xdr:col>37</xdr:col>
      <xdr:colOff>259230</xdr:colOff>
      <xdr:row>61</xdr:row>
      <xdr:rowOff>160115</xdr:rowOff>
    </xdr:to>
    <xdr:sp macro="" textlink="">
      <xdr:nvSpPr>
        <xdr:cNvPr id="253138" name="Text Box 210" hidden="1">
          <a:extLst>
            <a:ext uri="{FF2B5EF4-FFF2-40B4-BE49-F238E27FC236}">
              <a16:creationId xmlns:a16="http://schemas.microsoft.com/office/drawing/2014/main" id="{E4EE5BC4-4A5E-48BE-90C8-07B1FDCB7F35}"/>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49713</xdr:rowOff>
    </xdr:from>
    <xdr:to>
      <xdr:col>37</xdr:col>
      <xdr:colOff>373530</xdr:colOff>
      <xdr:row>61</xdr:row>
      <xdr:rowOff>160115</xdr:rowOff>
    </xdr:to>
    <xdr:sp macro="" textlink="">
      <xdr:nvSpPr>
        <xdr:cNvPr id="253137" name="Text Box 209" hidden="1">
          <a:extLst>
            <a:ext uri="{FF2B5EF4-FFF2-40B4-BE49-F238E27FC236}">
              <a16:creationId xmlns:a16="http://schemas.microsoft.com/office/drawing/2014/main" id="{61982B12-8289-497D-B60E-70910EB6499E}"/>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61</xdr:row>
      <xdr:rowOff>6664</xdr:rowOff>
    </xdr:from>
    <xdr:to>
      <xdr:col>40</xdr:col>
      <xdr:colOff>502631</xdr:colOff>
      <xdr:row>68</xdr:row>
      <xdr:rowOff>37973</xdr:rowOff>
    </xdr:to>
    <xdr:sp macro="" textlink="">
      <xdr:nvSpPr>
        <xdr:cNvPr id="253136" name="Text Box 208" hidden="1">
          <a:extLst>
            <a:ext uri="{FF2B5EF4-FFF2-40B4-BE49-F238E27FC236}">
              <a16:creationId xmlns:a16="http://schemas.microsoft.com/office/drawing/2014/main" id="{6FC3FB93-7211-4E62-A5C4-F1BB97363B2E}"/>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11268</xdr:rowOff>
    </xdr:from>
    <xdr:to>
      <xdr:col>2</xdr:col>
      <xdr:colOff>629770</xdr:colOff>
      <xdr:row>32</xdr:row>
      <xdr:rowOff>162636</xdr:rowOff>
    </xdr:to>
    <xdr:sp macro="" textlink="">
      <xdr:nvSpPr>
        <xdr:cNvPr id="253135" name="Text Box 207" hidden="1">
          <a:extLst>
            <a:ext uri="{FF2B5EF4-FFF2-40B4-BE49-F238E27FC236}">
              <a16:creationId xmlns:a16="http://schemas.microsoft.com/office/drawing/2014/main" id="{3FD39C4E-55B3-47A3-A11A-EE6085117100}"/>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134" name="Text Box 206" hidden="1">
          <a:extLst>
            <a:ext uri="{FF2B5EF4-FFF2-40B4-BE49-F238E27FC236}">
              <a16:creationId xmlns:a16="http://schemas.microsoft.com/office/drawing/2014/main" id="{A11F7B18-9D08-43F2-B6EC-0631E220B04B}"/>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164319</xdr:rowOff>
    </xdr:to>
    <xdr:sp macro="" textlink="">
      <xdr:nvSpPr>
        <xdr:cNvPr id="253133" name="Text Box 205" hidden="1">
          <a:extLst>
            <a:ext uri="{FF2B5EF4-FFF2-40B4-BE49-F238E27FC236}">
              <a16:creationId xmlns:a16="http://schemas.microsoft.com/office/drawing/2014/main" id="{F791543A-8F01-435A-8C47-2A3C97F5B5E5}"/>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220378</xdr:rowOff>
    </xdr:from>
    <xdr:to>
      <xdr:col>18</xdr:col>
      <xdr:colOff>431240</xdr:colOff>
      <xdr:row>55</xdr:row>
      <xdr:rowOff>87320</xdr:rowOff>
    </xdr:to>
    <xdr:sp macro="" textlink="">
      <xdr:nvSpPr>
        <xdr:cNvPr id="253132" name="Text Box 204" hidden="1">
          <a:extLst>
            <a:ext uri="{FF2B5EF4-FFF2-40B4-BE49-F238E27FC236}">
              <a16:creationId xmlns:a16="http://schemas.microsoft.com/office/drawing/2014/main" id="{1B7F1782-0FC3-4143-B182-274706343E7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37</xdr:row>
      <xdr:rowOff>16810</xdr:rowOff>
    </xdr:from>
    <xdr:to>
      <xdr:col>18</xdr:col>
      <xdr:colOff>469340</xdr:colOff>
      <xdr:row>39</xdr:row>
      <xdr:rowOff>466022</xdr:rowOff>
    </xdr:to>
    <xdr:sp macro="" textlink="">
      <xdr:nvSpPr>
        <xdr:cNvPr id="253131" name="Text Box 203" hidden="1">
          <a:extLst>
            <a:ext uri="{FF2B5EF4-FFF2-40B4-BE49-F238E27FC236}">
              <a16:creationId xmlns:a16="http://schemas.microsoft.com/office/drawing/2014/main" id="{5F1C737C-46A5-4B09-AAE7-D94222E8F1E1}"/>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60</xdr:row>
      <xdr:rowOff>134871</xdr:rowOff>
    </xdr:from>
    <xdr:to>
      <xdr:col>40</xdr:col>
      <xdr:colOff>647000</xdr:colOff>
      <xdr:row>69</xdr:row>
      <xdr:rowOff>36728</xdr:rowOff>
    </xdr:to>
    <xdr:sp macro="" textlink="">
      <xdr:nvSpPr>
        <xdr:cNvPr id="253170" name="Text Box 242" hidden="1">
          <a:extLst>
            <a:ext uri="{FF2B5EF4-FFF2-40B4-BE49-F238E27FC236}">
              <a16:creationId xmlns:a16="http://schemas.microsoft.com/office/drawing/2014/main" id="{457245CD-6E82-4132-BD0D-1EBEC61F88E3}"/>
            </a:ext>
          </a:extLst>
        </xdr:cNvPr>
        <xdr:cNvSpPr txBox="1">
          <a:spLocks noChangeArrowheads="1"/>
        </xdr:cNvSpPr>
      </xdr:nvSpPr>
      <xdr:spPr bwMode="auto">
        <a:xfrm>
          <a:off x="32785050" y="137636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61</xdr:row>
      <xdr:rowOff>6664</xdr:rowOff>
    </xdr:from>
    <xdr:to>
      <xdr:col>40</xdr:col>
      <xdr:colOff>502631</xdr:colOff>
      <xdr:row>90</xdr:row>
      <xdr:rowOff>94922</xdr:rowOff>
    </xdr:to>
    <xdr:sp macro="" textlink="">
      <xdr:nvSpPr>
        <xdr:cNvPr id="253169" name="Text Box 241" hidden="1">
          <a:extLst>
            <a:ext uri="{FF2B5EF4-FFF2-40B4-BE49-F238E27FC236}">
              <a16:creationId xmlns:a16="http://schemas.microsoft.com/office/drawing/2014/main" id="{497B83E8-2A1E-478D-8616-86C0BB5AC46B}"/>
            </a:ext>
          </a:extLst>
        </xdr:cNvPr>
        <xdr:cNvSpPr txBox="1">
          <a:spLocks noChangeArrowheads="1"/>
        </xdr:cNvSpPr>
      </xdr:nvSpPr>
      <xdr:spPr bwMode="auto">
        <a:xfrm>
          <a:off x="32746950" y="138779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49713</xdr:rowOff>
    </xdr:from>
    <xdr:to>
      <xdr:col>37</xdr:col>
      <xdr:colOff>259230</xdr:colOff>
      <xdr:row>61</xdr:row>
      <xdr:rowOff>160115</xdr:rowOff>
    </xdr:to>
    <xdr:sp macro="" textlink="">
      <xdr:nvSpPr>
        <xdr:cNvPr id="253168" name="Text Box 240" hidden="1">
          <a:extLst>
            <a:ext uri="{FF2B5EF4-FFF2-40B4-BE49-F238E27FC236}">
              <a16:creationId xmlns:a16="http://schemas.microsoft.com/office/drawing/2014/main" id="{B2C22265-F1A7-4025-BA46-1C7EA72737DF}"/>
            </a:ext>
          </a:extLst>
        </xdr:cNvPr>
        <xdr:cNvSpPr txBox="1">
          <a:spLocks noChangeArrowheads="1"/>
        </xdr:cNvSpPr>
      </xdr:nvSpPr>
      <xdr:spPr bwMode="auto">
        <a:xfrm>
          <a:off x="30099000" y="134969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49713</xdr:rowOff>
    </xdr:from>
    <xdr:to>
      <xdr:col>37</xdr:col>
      <xdr:colOff>373530</xdr:colOff>
      <xdr:row>61</xdr:row>
      <xdr:rowOff>160115</xdr:rowOff>
    </xdr:to>
    <xdr:sp macro="" textlink="">
      <xdr:nvSpPr>
        <xdr:cNvPr id="253167" name="Text Box 239" hidden="1">
          <a:extLst>
            <a:ext uri="{FF2B5EF4-FFF2-40B4-BE49-F238E27FC236}">
              <a16:creationId xmlns:a16="http://schemas.microsoft.com/office/drawing/2014/main" id="{561B88B7-D978-4C89-A37E-CE2D200B2FA8}"/>
            </a:ext>
          </a:extLst>
        </xdr:cNvPr>
        <xdr:cNvSpPr txBox="1">
          <a:spLocks noChangeArrowheads="1"/>
        </xdr:cNvSpPr>
      </xdr:nvSpPr>
      <xdr:spPr bwMode="auto">
        <a:xfrm>
          <a:off x="30175200" y="134969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61</xdr:row>
      <xdr:rowOff>6664</xdr:rowOff>
    </xdr:from>
    <xdr:to>
      <xdr:col>40</xdr:col>
      <xdr:colOff>502631</xdr:colOff>
      <xdr:row>68</xdr:row>
      <xdr:rowOff>37973</xdr:rowOff>
    </xdr:to>
    <xdr:sp macro="" textlink="">
      <xdr:nvSpPr>
        <xdr:cNvPr id="253166" name="Text Box 238" hidden="1">
          <a:extLst>
            <a:ext uri="{FF2B5EF4-FFF2-40B4-BE49-F238E27FC236}">
              <a16:creationId xmlns:a16="http://schemas.microsoft.com/office/drawing/2014/main" id="{D2BF2C0C-6636-4FBC-AD12-495680F7B1DF}"/>
            </a:ext>
          </a:extLst>
        </xdr:cNvPr>
        <xdr:cNvSpPr txBox="1">
          <a:spLocks noChangeArrowheads="1"/>
        </xdr:cNvSpPr>
      </xdr:nvSpPr>
      <xdr:spPr bwMode="auto">
        <a:xfrm>
          <a:off x="32746950" y="138779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11268</xdr:rowOff>
    </xdr:from>
    <xdr:to>
      <xdr:col>2</xdr:col>
      <xdr:colOff>629770</xdr:colOff>
      <xdr:row>32</xdr:row>
      <xdr:rowOff>162636</xdr:rowOff>
    </xdr:to>
    <xdr:sp macro="" textlink="">
      <xdr:nvSpPr>
        <xdr:cNvPr id="253165" name="Text Box 237" hidden="1">
          <a:extLst>
            <a:ext uri="{FF2B5EF4-FFF2-40B4-BE49-F238E27FC236}">
              <a16:creationId xmlns:a16="http://schemas.microsoft.com/office/drawing/2014/main" id="{4781A7F9-103D-4990-8227-00CD0FCBE537}"/>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164" name="Text Box 236" hidden="1">
          <a:extLst>
            <a:ext uri="{FF2B5EF4-FFF2-40B4-BE49-F238E27FC236}">
              <a16:creationId xmlns:a16="http://schemas.microsoft.com/office/drawing/2014/main" id="{2C72DB8E-5F91-441B-94AE-24BDDE61753E}"/>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164319</xdr:rowOff>
    </xdr:to>
    <xdr:sp macro="" textlink="">
      <xdr:nvSpPr>
        <xdr:cNvPr id="253163" name="Text Box 235" hidden="1">
          <a:extLst>
            <a:ext uri="{FF2B5EF4-FFF2-40B4-BE49-F238E27FC236}">
              <a16:creationId xmlns:a16="http://schemas.microsoft.com/office/drawing/2014/main" id="{995CB0AB-4F3D-4F0D-874A-A3CF9A0D8CD4}"/>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220378</xdr:rowOff>
    </xdr:from>
    <xdr:to>
      <xdr:col>18</xdr:col>
      <xdr:colOff>431240</xdr:colOff>
      <xdr:row>55</xdr:row>
      <xdr:rowOff>87320</xdr:rowOff>
    </xdr:to>
    <xdr:sp macro="" textlink="">
      <xdr:nvSpPr>
        <xdr:cNvPr id="253162" name="Text Box 234" hidden="1">
          <a:extLst>
            <a:ext uri="{FF2B5EF4-FFF2-40B4-BE49-F238E27FC236}">
              <a16:creationId xmlns:a16="http://schemas.microsoft.com/office/drawing/2014/main" id="{B6A0B7B5-B476-4DF0-BADC-05141172FE69}"/>
            </a:ext>
          </a:extLst>
        </xdr:cNvPr>
        <xdr:cNvSpPr txBox="1">
          <a:spLocks noChangeArrowheads="1"/>
        </xdr:cNvSpPr>
      </xdr:nvSpPr>
      <xdr:spPr bwMode="auto">
        <a:xfrm>
          <a:off x="16859250" y="7391400"/>
          <a:ext cx="11811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37</xdr:row>
      <xdr:rowOff>16810</xdr:rowOff>
    </xdr:from>
    <xdr:to>
      <xdr:col>18</xdr:col>
      <xdr:colOff>469340</xdr:colOff>
      <xdr:row>39</xdr:row>
      <xdr:rowOff>466022</xdr:rowOff>
    </xdr:to>
    <xdr:sp macro="" textlink="">
      <xdr:nvSpPr>
        <xdr:cNvPr id="253161" name="Text Box 233" hidden="1">
          <a:extLst>
            <a:ext uri="{FF2B5EF4-FFF2-40B4-BE49-F238E27FC236}">
              <a16:creationId xmlns:a16="http://schemas.microsoft.com/office/drawing/2014/main" id="{FCD2E3FC-5684-4C0E-970B-39E9BCEA4AAF}"/>
            </a:ext>
          </a:extLst>
        </xdr:cNvPr>
        <xdr:cNvSpPr txBox="1">
          <a:spLocks noChangeArrowheads="1"/>
        </xdr:cNvSpPr>
      </xdr:nvSpPr>
      <xdr:spPr bwMode="auto">
        <a:xfrm>
          <a:off x="16859250" y="8105775"/>
          <a:ext cx="12192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53</xdr:row>
      <xdr:rowOff>50350</xdr:rowOff>
    </xdr:from>
    <xdr:to>
      <xdr:col>40</xdr:col>
      <xdr:colOff>647000</xdr:colOff>
      <xdr:row>60</xdr:row>
      <xdr:rowOff>143798</xdr:rowOff>
    </xdr:to>
    <xdr:sp macro="" textlink="">
      <xdr:nvSpPr>
        <xdr:cNvPr id="253180" name="Text Box 252" hidden="1">
          <a:extLst>
            <a:ext uri="{FF2B5EF4-FFF2-40B4-BE49-F238E27FC236}">
              <a16:creationId xmlns:a16="http://schemas.microsoft.com/office/drawing/2014/main" id="{BD9EE5FB-5F4E-426D-9994-D42FF71FC6F2}"/>
            </a:ext>
          </a:extLst>
        </xdr:cNvPr>
        <xdr:cNvSpPr txBox="1">
          <a:spLocks noChangeArrowheads="1"/>
        </xdr:cNvSpPr>
      </xdr:nvSpPr>
      <xdr:spPr bwMode="auto">
        <a:xfrm>
          <a:off x="33817560" y="12039600"/>
          <a:ext cx="1021080" cy="1455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53</xdr:row>
      <xdr:rowOff>105609</xdr:rowOff>
    </xdr:from>
    <xdr:to>
      <xdr:col>40</xdr:col>
      <xdr:colOff>502631</xdr:colOff>
      <xdr:row>83</xdr:row>
      <xdr:rowOff>76431</xdr:rowOff>
    </xdr:to>
    <xdr:sp macro="" textlink="">
      <xdr:nvSpPr>
        <xdr:cNvPr id="253179" name="Text Box 251" hidden="1">
          <a:extLst>
            <a:ext uri="{FF2B5EF4-FFF2-40B4-BE49-F238E27FC236}">
              <a16:creationId xmlns:a16="http://schemas.microsoft.com/office/drawing/2014/main" id="{E1418A71-DF5F-4180-9904-34E60B4B2625}"/>
            </a:ext>
          </a:extLst>
        </xdr:cNvPr>
        <xdr:cNvSpPr txBox="1">
          <a:spLocks noChangeArrowheads="1"/>
        </xdr:cNvSpPr>
      </xdr:nvSpPr>
      <xdr:spPr bwMode="auto">
        <a:xfrm>
          <a:off x="33779460" y="121539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311248</xdr:rowOff>
    </xdr:from>
    <xdr:to>
      <xdr:col>37</xdr:col>
      <xdr:colOff>259230</xdr:colOff>
      <xdr:row>55</xdr:row>
      <xdr:rowOff>536</xdr:rowOff>
    </xdr:to>
    <xdr:sp macro="" textlink="">
      <xdr:nvSpPr>
        <xdr:cNvPr id="253178" name="Text Box 250" hidden="1">
          <a:extLst>
            <a:ext uri="{FF2B5EF4-FFF2-40B4-BE49-F238E27FC236}">
              <a16:creationId xmlns:a16="http://schemas.microsoft.com/office/drawing/2014/main" id="{298586F4-9668-441D-8E66-91A5B45C01C4}"/>
            </a:ext>
          </a:extLst>
        </xdr:cNvPr>
        <xdr:cNvSpPr txBox="1">
          <a:spLocks noChangeArrowheads="1"/>
        </xdr:cNvSpPr>
      </xdr:nvSpPr>
      <xdr:spPr bwMode="auto">
        <a:xfrm>
          <a:off x="31043880" y="11932920"/>
          <a:ext cx="9067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311248</xdr:rowOff>
    </xdr:from>
    <xdr:to>
      <xdr:col>37</xdr:col>
      <xdr:colOff>373530</xdr:colOff>
      <xdr:row>55</xdr:row>
      <xdr:rowOff>536</xdr:rowOff>
    </xdr:to>
    <xdr:sp macro="" textlink="">
      <xdr:nvSpPr>
        <xdr:cNvPr id="253177" name="Text Box 249" hidden="1">
          <a:extLst>
            <a:ext uri="{FF2B5EF4-FFF2-40B4-BE49-F238E27FC236}">
              <a16:creationId xmlns:a16="http://schemas.microsoft.com/office/drawing/2014/main" id="{AC6A6AE7-7DAC-433E-B14D-C123E88BCFCC}"/>
            </a:ext>
          </a:extLst>
        </xdr:cNvPr>
        <xdr:cNvSpPr txBox="1">
          <a:spLocks noChangeArrowheads="1"/>
        </xdr:cNvSpPr>
      </xdr:nvSpPr>
      <xdr:spPr bwMode="auto">
        <a:xfrm>
          <a:off x="31120080" y="11932920"/>
          <a:ext cx="9448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53</xdr:row>
      <xdr:rowOff>105609</xdr:rowOff>
    </xdr:from>
    <xdr:to>
      <xdr:col>40</xdr:col>
      <xdr:colOff>502631</xdr:colOff>
      <xdr:row>59</xdr:row>
      <xdr:rowOff>124895</xdr:rowOff>
    </xdr:to>
    <xdr:sp macro="" textlink="">
      <xdr:nvSpPr>
        <xdr:cNvPr id="253176" name="Text Box 248" hidden="1">
          <a:extLst>
            <a:ext uri="{FF2B5EF4-FFF2-40B4-BE49-F238E27FC236}">
              <a16:creationId xmlns:a16="http://schemas.microsoft.com/office/drawing/2014/main" id="{490268C5-2700-4D09-8BE5-612C5E2584A6}"/>
            </a:ext>
          </a:extLst>
        </xdr:cNvPr>
        <xdr:cNvSpPr txBox="1">
          <a:spLocks noChangeArrowheads="1"/>
        </xdr:cNvSpPr>
      </xdr:nvSpPr>
      <xdr:spPr bwMode="auto">
        <a:xfrm>
          <a:off x="33779460" y="12153900"/>
          <a:ext cx="9448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11268</xdr:rowOff>
    </xdr:from>
    <xdr:to>
      <xdr:col>2</xdr:col>
      <xdr:colOff>629770</xdr:colOff>
      <xdr:row>32</xdr:row>
      <xdr:rowOff>162636</xdr:rowOff>
    </xdr:to>
    <xdr:sp macro="" textlink="">
      <xdr:nvSpPr>
        <xdr:cNvPr id="253175" name="Text Box 247" hidden="1">
          <a:extLst>
            <a:ext uri="{FF2B5EF4-FFF2-40B4-BE49-F238E27FC236}">
              <a16:creationId xmlns:a16="http://schemas.microsoft.com/office/drawing/2014/main" id="{DA197B18-C69F-4056-B159-E53A96E96288}"/>
            </a:ext>
          </a:extLst>
        </xdr:cNvPr>
        <xdr:cNvSpPr txBox="1">
          <a:spLocks noChangeArrowheads="1"/>
        </xdr:cNvSpPr>
      </xdr:nvSpPr>
      <xdr:spPr bwMode="auto">
        <a:xfrm>
          <a:off x="483108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174" name="Text Box 246" hidden="1">
          <a:extLst>
            <a:ext uri="{FF2B5EF4-FFF2-40B4-BE49-F238E27FC236}">
              <a16:creationId xmlns:a16="http://schemas.microsoft.com/office/drawing/2014/main" id="{502B1F80-38F8-42AD-B376-03C58EC42078}"/>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164319</xdr:rowOff>
    </xdr:to>
    <xdr:sp macro="" textlink="">
      <xdr:nvSpPr>
        <xdr:cNvPr id="253173" name="Text Box 245" hidden="1">
          <a:extLst>
            <a:ext uri="{FF2B5EF4-FFF2-40B4-BE49-F238E27FC236}">
              <a16:creationId xmlns:a16="http://schemas.microsoft.com/office/drawing/2014/main" id="{76CC597E-032D-42D6-8922-C3A4B2EC951C}"/>
            </a:ext>
          </a:extLst>
        </xdr:cNvPr>
        <xdr:cNvSpPr txBox="1">
          <a:spLocks noChangeArrowheads="1"/>
        </xdr:cNvSpPr>
      </xdr:nvSpPr>
      <xdr:spPr bwMode="auto">
        <a:xfrm>
          <a:off x="479298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220378</xdr:rowOff>
    </xdr:from>
    <xdr:to>
      <xdr:col>18</xdr:col>
      <xdr:colOff>431240</xdr:colOff>
      <xdr:row>55</xdr:row>
      <xdr:rowOff>67448</xdr:rowOff>
    </xdr:to>
    <xdr:sp macro="" textlink="">
      <xdr:nvSpPr>
        <xdr:cNvPr id="253172" name="Text Box 244" hidden="1">
          <a:extLst>
            <a:ext uri="{FF2B5EF4-FFF2-40B4-BE49-F238E27FC236}">
              <a16:creationId xmlns:a16="http://schemas.microsoft.com/office/drawing/2014/main" id="{30488D17-4EE6-41A0-8179-B3FD57B48342}"/>
            </a:ext>
          </a:extLst>
        </xdr:cNvPr>
        <xdr:cNvSpPr txBox="1">
          <a:spLocks noChangeArrowheads="1"/>
        </xdr:cNvSpPr>
      </xdr:nvSpPr>
      <xdr:spPr bwMode="auto">
        <a:xfrm>
          <a:off x="17358360" y="7223760"/>
          <a:ext cx="1211580" cy="531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53</xdr:row>
      <xdr:rowOff>50350</xdr:rowOff>
    </xdr:from>
    <xdr:to>
      <xdr:col>40</xdr:col>
      <xdr:colOff>647000</xdr:colOff>
      <xdr:row>60</xdr:row>
      <xdr:rowOff>106809</xdr:rowOff>
    </xdr:to>
    <xdr:sp macro="" textlink="">
      <xdr:nvSpPr>
        <xdr:cNvPr id="253189" name="Text Box 261" hidden="1">
          <a:extLst>
            <a:ext uri="{FF2B5EF4-FFF2-40B4-BE49-F238E27FC236}">
              <a16:creationId xmlns:a16="http://schemas.microsoft.com/office/drawing/2014/main" id="{A5C0B1D5-C297-47FE-87DB-C9948C892B99}"/>
            </a:ext>
          </a:extLst>
        </xdr:cNvPr>
        <xdr:cNvSpPr txBox="1">
          <a:spLocks noChangeArrowheads="1"/>
        </xdr:cNvSpPr>
      </xdr:nvSpPr>
      <xdr:spPr bwMode="auto">
        <a:xfrm>
          <a:off x="32785050"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53</xdr:row>
      <xdr:rowOff>105609</xdr:rowOff>
    </xdr:from>
    <xdr:to>
      <xdr:col>40</xdr:col>
      <xdr:colOff>502631</xdr:colOff>
      <xdr:row>83</xdr:row>
      <xdr:rowOff>76431</xdr:rowOff>
    </xdr:to>
    <xdr:sp macro="" textlink="">
      <xdr:nvSpPr>
        <xdr:cNvPr id="253188" name="Text Box 260" hidden="1">
          <a:extLst>
            <a:ext uri="{FF2B5EF4-FFF2-40B4-BE49-F238E27FC236}">
              <a16:creationId xmlns:a16="http://schemas.microsoft.com/office/drawing/2014/main" id="{8FE3A703-C8CC-4475-8F24-D0061ED52E2B}"/>
            </a:ext>
          </a:extLst>
        </xdr:cNvPr>
        <xdr:cNvSpPr txBox="1">
          <a:spLocks noChangeArrowheads="1"/>
        </xdr:cNvSpPr>
      </xdr:nvSpPr>
      <xdr:spPr bwMode="auto">
        <a:xfrm>
          <a:off x="32746950"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311248</xdr:rowOff>
    </xdr:from>
    <xdr:to>
      <xdr:col>37</xdr:col>
      <xdr:colOff>259230</xdr:colOff>
      <xdr:row>54</xdr:row>
      <xdr:rowOff>173891</xdr:rowOff>
    </xdr:to>
    <xdr:sp macro="" textlink="">
      <xdr:nvSpPr>
        <xdr:cNvPr id="253187" name="Text Box 259" hidden="1">
          <a:extLst>
            <a:ext uri="{FF2B5EF4-FFF2-40B4-BE49-F238E27FC236}">
              <a16:creationId xmlns:a16="http://schemas.microsoft.com/office/drawing/2014/main" id="{EB823068-0649-406B-972D-43ACE9F5F17E}"/>
            </a:ext>
          </a:extLst>
        </xdr:cNvPr>
        <xdr:cNvSpPr txBox="1">
          <a:spLocks noChangeArrowheads="1"/>
        </xdr:cNvSpPr>
      </xdr:nvSpPr>
      <xdr:spPr bwMode="auto">
        <a:xfrm>
          <a:off x="300990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311248</xdr:rowOff>
    </xdr:from>
    <xdr:to>
      <xdr:col>37</xdr:col>
      <xdr:colOff>373530</xdr:colOff>
      <xdr:row>54</xdr:row>
      <xdr:rowOff>173891</xdr:rowOff>
    </xdr:to>
    <xdr:sp macro="" textlink="">
      <xdr:nvSpPr>
        <xdr:cNvPr id="253186" name="Text Box 258" hidden="1">
          <a:extLst>
            <a:ext uri="{FF2B5EF4-FFF2-40B4-BE49-F238E27FC236}">
              <a16:creationId xmlns:a16="http://schemas.microsoft.com/office/drawing/2014/main" id="{36EE7CB8-5442-4802-8607-41EB1E6BD7C9}"/>
            </a:ext>
          </a:extLst>
        </xdr:cNvPr>
        <xdr:cNvSpPr txBox="1">
          <a:spLocks noChangeArrowheads="1"/>
        </xdr:cNvSpPr>
      </xdr:nvSpPr>
      <xdr:spPr bwMode="auto">
        <a:xfrm>
          <a:off x="301752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53</xdr:row>
      <xdr:rowOff>105609</xdr:rowOff>
    </xdr:from>
    <xdr:to>
      <xdr:col>40</xdr:col>
      <xdr:colOff>502631</xdr:colOff>
      <xdr:row>59</xdr:row>
      <xdr:rowOff>155375</xdr:rowOff>
    </xdr:to>
    <xdr:sp macro="" textlink="">
      <xdr:nvSpPr>
        <xdr:cNvPr id="253185" name="Text Box 257" hidden="1">
          <a:extLst>
            <a:ext uri="{FF2B5EF4-FFF2-40B4-BE49-F238E27FC236}">
              <a16:creationId xmlns:a16="http://schemas.microsoft.com/office/drawing/2014/main" id="{72FC47EE-5D2E-4532-A25A-18D949C4502B}"/>
            </a:ext>
          </a:extLst>
        </xdr:cNvPr>
        <xdr:cNvSpPr txBox="1">
          <a:spLocks noChangeArrowheads="1"/>
        </xdr:cNvSpPr>
      </xdr:nvSpPr>
      <xdr:spPr bwMode="auto">
        <a:xfrm>
          <a:off x="32746950"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11268</xdr:rowOff>
    </xdr:from>
    <xdr:to>
      <xdr:col>2</xdr:col>
      <xdr:colOff>629770</xdr:colOff>
      <xdr:row>32</xdr:row>
      <xdr:rowOff>162636</xdr:rowOff>
    </xdr:to>
    <xdr:sp macro="" textlink="">
      <xdr:nvSpPr>
        <xdr:cNvPr id="253184" name="Text Box 256" hidden="1">
          <a:extLst>
            <a:ext uri="{FF2B5EF4-FFF2-40B4-BE49-F238E27FC236}">
              <a16:creationId xmlns:a16="http://schemas.microsoft.com/office/drawing/2014/main" id="{F77F1D95-F328-4230-9B4C-0BF4DCEEECDF}"/>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183" name="Text Box 255" hidden="1">
          <a:extLst>
            <a:ext uri="{FF2B5EF4-FFF2-40B4-BE49-F238E27FC236}">
              <a16:creationId xmlns:a16="http://schemas.microsoft.com/office/drawing/2014/main" id="{A7CBDF0F-1F45-4F10-B6D0-A68BF440A04D}"/>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164319</xdr:rowOff>
    </xdr:to>
    <xdr:sp macro="" textlink="">
      <xdr:nvSpPr>
        <xdr:cNvPr id="253182" name="Text Box 254" hidden="1">
          <a:extLst>
            <a:ext uri="{FF2B5EF4-FFF2-40B4-BE49-F238E27FC236}">
              <a16:creationId xmlns:a16="http://schemas.microsoft.com/office/drawing/2014/main" id="{787521F7-02A6-4D1C-B23F-EFEC7525132F}"/>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220378</xdr:rowOff>
    </xdr:from>
    <xdr:to>
      <xdr:col>18</xdr:col>
      <xdr:colOff>431240</xdr:colOff>
      <xdr:row>55</xdr:row>
      <xdr:rowOff>58651</xdr:rowOff>
    </xdr:to>
    <xdr:sp macro="" textlink="">
      <xdr:nvSpPr>
        <xdr:cNvPr id="253181" name="Text Box 253" hidden="1">
          <a:extLst>
            <a:ext uri="{FF2B5EF4-FFF2-40B4-BE49-F238E27FC236}">
              <a16:creationId xmlns:a16="http://schemas.microsoft.com/office/drawing/2014/main" id="{79368CBC-A27B-4000-B6B6-2B9A953104D4}"/>
            </a:ext>
          </a:extLst>
        </xdr:cNvPr>
        <xdr:cNvSpPr txBox="1">
          <a:spLocks noChangeArrowheads="1"/>
        </xdr:cNvSpPr>
      </xdr:nvSpPr>
      <xdr:spPr bwMode="auto">
        <a:xfrm>
          <a:off x="16859250" y="7391400"/>
          <a:ext cx="1181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53</xdr:row>
      <xdr:rowOff>50350</xdr:rowOff>
    </xdr:from>
    <xdr:to>
      <xdr:col>40</xdr:col>
      <xdr:colOff>647000</xdr:colOff>
      <xdr:row>60</xdr:row>
      <xdr:rowOff>106809</xdr:rowOff>
    </xdr:to>
    <xdr:sp macro="" textlink="">
      <xdr:nvSpPr>
        <xdr:cNvPr id="253198" name="Text Box 270" hidden="1">
          <a:extLst>
            <a:ext uri="{FF2B5EF4-FFF2-40B4-BE49-F238E27FC236}">
              <a16:creationId xmlns:a16="http://schemas.microsoft.com/office/drawing/2014/main" id="{0ECFAEBE-FC68-4F2D-B16F-7998D3F78F3F}"/>
            </a:ext>
          </a:extLst>
        </xdr:cNvPr>
        <xdr:cNvSpPr txBox="1">
          <a:spLocks noChangeArrowheads="1"/>
        </xdr:cNvSpPr>
      </xdr:nvSpPr>
      <xdr:spPr bwMode="auto">
        <a:xfrm>
          <a:off x="33909000" y="1209675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53</xdr:row>
      <xdr:rowOff>105609</xdr:rowOff>
    </xdr:from>
    <xdr:to>
      <xdr:col>40</xdr:col>
      <xdr:colOff>502631</xdr:colOff>
      <xdr:row>83</xdr:row>
      <xdr:rowOff>76431</xdr:rowOff>
    </xdr:to>
    <xdr:sp macro="" textlink="">
      <xdr:nvSpPr>
        <xdr:cNvPr id="253197" name="Text Box 269" hidden="1">
          <a:extLst>
            <a:ext uri="{FF2B5EF4-FFF2-40B4-BE49-F238E27FC236}">
              <a16:creationId xmlns:a16="http://schemas.microsoft.com/office/drawing/2014/main" id="{06773AEF-6A3E-4E93-8627-35C94CA8D58F}"/>
            </a:ext>
          </a:extLst>
        </xdr:cNvPr>
        <xdr:cNvSpPr txBox="1">
          <a:spLocks noChangeArrowheads="1"/>
        </xdr:cNvSpPr>
      </xdr:nvSpPr>
      <xdr:spPr bwMode="auto">
        <a:xfrm>
          <a:off x="33870900" y="122110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311248</xdr:rowOff>
    </xdr:from>
    <xdr:to>
      <xdr:col>37</xdr:col>
      <xdr:colOff>259230</xdr:colOff>
      <xdr:row>54</xdr:row>
      <xdr:rowOff>173891</xdr:rowOff>
    </xdr:to>
    <xdr:sp macro="" textlink="">
      <xdr:nvSpPr>
        <xdr:cNvPr id="253196" name="Text Box 268" hidden="1">
          <a:extLst>
            <a:ext uri="{FF2B5EF4-FFF2-40B4-BE49-F238E27FC236}">
              <a16:creationId xmlns:a16="http://schemas.microsoft.com/office/drawing/2014/main" id="{62F2B20D-4B1A-4188-9657-92CE1D0899EE}"/>
            </a:ext>
          </a:extLst>
        </xdr:cNvPr>
        <xdr:cNvSpPr txBox="1">
          <a:spLocks noChangeArrowheads="1"/>
        </xdr:cNvSpPr>
      </xdr:nvSpPr>
      <xdr:spPr bwMode="auto">
        <a:xfrm>
          <a:off x="31115000" y="1198880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311248</xdr:rowOff>
    </xdr:from>
    <xdr:to>
      <xdr:col>37</xdr:col>
      <xdr:colOff>373530</xdr:colOff>
      <xdr:row>54</xdr:row>
      <xdr:rowOff>173891</xdr:rowOff>
    </xdr:to>
    <xdr:sp macro="" textlink="">
      <xdr:nvSpPr>
        <xdr:cNvPr id="253195" name="Text Box 267" hidden="1">
          <a:extLst>
            <a:ext uri="{FF2B5EF4-FFF2-40B4-BE49-F238E27FC236}">
              <a16:creationId xmlns:a16="http://schemas.microsoft.com/office/drawing/2014/main" id="{BEED1DBC-F7FA-4AA7-A5BB-025C51D5F19C}"/>
            </a:ext>
          </a:extLst>
        </xdr:cNvPr>
        <xdr:cNvSpPr txBox="1">
          <a:spLocks noChangeArrowheads="1"/>
        </xdr:cNvSpPr>
      </xdr:nvSpPr>
      <xdr:spPr bwMode="auto">
        <a:xfrm>
          <a:off x="31191200" y="1198880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53</xdr:row>
      <xdr:rowOff>105609</xdr:rowOff>
    </xdr:from>
    <xdr:to>
      <xdr:col>40</xdr:col>
      <xdr:colOff>502631</xdr:colOff>
      <xdr:row>59</xdr:row>
      <xdr:rowOff>155375</xdr:rowOff>
    </xdr:to>
    <xdr:sp macro="" textlink="">
      <xdr:nvSpPr>
        <xdr:cNvPr id="253194" name="Text Box 266" hidden="1">
          <a:extLst>
            <a:ext uri="{FF2B5EF4-FFF2-40B4-BE49-F238E27FC236}">
              <a16:creationId xmlns:a16="http://schemas.microsoft.com/office/drawing/2014/main" id="{0858A9BD-1D2D-44B6-8C08-6E2426FBBB30}"/>
            </a:ext>
          </a:extLst>
        </xdr:cNvPr>
        <xdr:cNvSpPr txBox="1">
          <a:spLocks noChangeArrowheads="1"/>
        </xdr:cNvSpPr>
      </xdr:nvSpPr>
      <xdr:spPr bwMode="auto">
        <a:xfrm>
          <a:off x="33870900" y="12211050"/>
          <a:ext cx="914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11268</xdr:rowOff>
    </xdr:from>
    <xdr:to>
      <xdr:col>2</xdr:col>
      <xdr:colOff>629770</xdr:colOff>
      <xdr:row>32</xdr:row>
      <xdr:rowOff>162636</xdr:rowOff>
    </xdr:to>
    <xdr:sp macro="" textlink="">
      <xdr:nvSpPr>
        <xdr:cNvPr id="253193" name="Text Box 265" hidden="1">
          <a:extLst>
            <a:ext uri="{FF2B5EF4-FFF2-40B4-BE49-F238E27FC236}">
              <a16:creationId xmlns:a16="http://schemas.microsoft.com/office/drawing/2014/main" id="{5C89436A-B89B-4FAF-B7FA-1F5396F18C1B}"/>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192" name="Text Box 264" hidden="1">
          <a:extLst>
            <a:ext uri="{FF2B5EF4-FFF2-40B4-BE49-F238E27FC236}">
              <a16:creationId xmlns:a16="http://schemas.microsoft.com/office/drawing/2014/main" id="{8604793B-E7B5-419C-B497-1920A24BD19D}"/>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164319</xdr:rowOff>
    </xdr:to>
    <xdr:sp macro="" textlink="">
      <xdr:nvSpPr>
        <xdr:cNvPr id="253191" name="Text Box 263" hidden="1">
          <a:extLst>
            <a:ext uri="{FF2B5EF4-FFF2-40B4-BE49-F238E27FC236}">
              <a16:creationId xmlns:a16="http://schemas.microsoft.com/office/drawing/2014/main" id="{39D515FB-47B9-472C-8E80-EFAB6FE4CF0E}"/>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220378</xdr:rowOff>
    </xdr:from>
    <xdr:to>
      <xdr:col>18</xdr:col>
      <xdr:colOff>431240</xdr:colOff>
      <xdr:row>55</xdr:row>
      <xdr:rowOff>58651</xdr:rowOff>
    </xdr:to>
    <xdr:sp macro="" textlink="">
      <xdr:nvSpPr>
        <xdr:cNvPr id="253190" name="Text Box 262" hidden="1">
          <a:extLst>
            <a:ext uri="{FF2B5EF4-FFF2-40B4-BE49-F238E27FC236}">
              <a16:creationId xmlns:a16="http://schemas.microsoft.com/office/drawing/2014/main" id="{80BFCBB9-DF0B-4B0B-8EA3-1298137EFE08}"/>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391506</xdr:colOff>
      <xdr:row>53</xdr:row>
      <xdr:rowOff>50350</xdr:rowOff>
    </xdr:from>
    <xdr:to>
      <xdr:col>40</xdr:col>
      <xdr:colOff>647000</xdr:colOff>
      <xdr:row>60</xdr:row>
      <xdr:rowOff>106809</xdr:rowOff>
    </xdr:to>
    <xdr:sp macro="" textlink="">
      <xdr:nvSpPr>
        <xdr:cNvPr id="253207" name="Text Box 279" hidden="1">
          <a:extLst>
            <a:ext uri="{FF2B5EF4-FFF2-40B4-BE49-F238E27FC236}">
              <a16:creationId xmlns:a16="http://schemas.microsoft.com/office/drawing/2014/main" id="{204EECD9-FCC8-451F-966F-08BEF902D822}"/>
            </a:ext>
          </a:extLst>
        </xdr:cNvPr>
        <xdr:cNvSpPr txBox="1">
          <a:spLocks noChangeArrowheads="1"/>
        </xdr:cNvSpPr>
      </xdr:nvSpPr>
      <xdr:spPr bwMode="auto">
        <a:xfrm>
          <a:off x="32832675"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53</xdr:row>
      <xdr:rowOff>105609</xdr:rowOff>
    </xdr:from>
    <xdr:to>
      <xdr:col>40</xdr:col>
      <xdr:colOff>502631</xdr:colOff>
      <xdr:row>83</xdr:row>
      <xdr:rowOff>76431</xdr:rowOff>
    </xdr:to>
    <xdr:sp macro="" textlink="">
      <xdr:nvSpPr>
        <xdr:cNvPr id="253206" name="Text Box 278" hidden="1">
          <a:extLst>
            <a:ext uri="{FF2B5EF4-FFF2-40B4-BE49-F238E27FC236}">
              <a16:creationId xmlns:a16="http://schemas.microsoft.com/office/drawing/2014/main" id="{846057D0-3165-4A7E-9225-226F0A3E903F}"/>
            </a:ext>
          </a:extLst>
        </xdr:cNvPr>
        <xdr:cNvSpPr txBox="1">
          <a:spLocks noChangeArrowheads="1"/>
        </xdr:cNvSpPr>
      </xdr:nvSpPr>
      <xdr:spPr bwMode="auto">
        <a:xfrm>
          <a:off x="32794575"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311248</xdr:rowOff>
    </xdr:from>
    <xdr:to>
      <xdr:col>37</xdr:col>
      <xdr:colOff>259230</xdr:colOff>
      <xdr:row>54</xdr:row>
      <xdr:rowOff>173891</xdr:rowOff>
    </xdr:to>
    <xdr:sp macro="" textlink="">
      <xdr:nvSpPr>
        <xdr:cNvPr id="253205" name="Text Box 277" hidden="1">
          <a:extLst>
            <a:ext uri="{FF2B5EF4-FFF2-40B4-BE49-F238E27FC236}">
              <a16:creationId xmlns:a16="http://schemas.microsoft.com/office/drawing/2014/main" id="{8E767E15-98AE-4157-A677-3E62D56B4A0C}"/>
            </a:ext>
          </a:extLst>
        </xdr:cNvPr>
        <xdr:cNvSpPr txBox="1">
          <a:spLocks noChangeArrowheads="1"/>
        </xdr:cNvSpPr>
      </xdr:nvSpPr>
      <xdr:spPr bwMode="auto">
        <a:xfrm>
          <a:off x="301371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311248</xdr:rowOff>
    </xdr:from>
    <xdr:to>
      <xdr:col>37</xdr:col>
      <xdr:colOff>373530</xdr:colOff>
      <xdr:row>54</xdr:row>
      <xdr:rowOff>173891</xdr:rowOff>
    </xdr:to>
    <xdr:sp macro="" textlink="">
      <xdr:nvSpPr>
        <xdr:cNvPr id="253204" name="Text Box 276" hidden="1">
          <a:extLst>
            <a:ext uri="{FF2B5EF4-FFF2-40B4-BE49-F238E27FC236}">
              <a16:creationId xmlns:a16="http://schemas.microsoft.com/office/drawing/2014/main" id="{5261697D-415E-45FF-8E59-658CC27E30F8}"/>
            </a:ext>
          </a:extLst>
        </xdr:cNvPr>
        <xdr:cNvSpPr txBox="1">
          <a:spLocks noChangeArrowheads="1"/>
        </xdr:cNvSpPr>
      </xdr:nvSpPr>
      <xdr:spPr bwMode="auto">
        <a:xfrm>
          <a:off x="302133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353406</xdr:colOff>
      <xdr:row>53</xdr:row>
      <xdr:rowOff>105609</xdr:rowOff>
    </xdr:from>
    <xdr:to>
      <xdr:col>40</xdr:col>
      <xdr:colOff>502631</xdr:colOff>
      <xdr:row>59</xdr:row>
      <xdr:rowOff>155375</xdr:rowOff>
    </xdr:to>
    <xdr:sp macro="" textlink="">
      <xdr:nvSpPr>
        <xdr:cNvPr id="253203" name="Text Box 275" hidden="1">
          <a:extLst>
            <a:ext uri="{FF2B5EF4-FFF2-40B4-BE49-F238E27FC236}">
              <a16:creationId xmlns:a16="http://schemas.microsoft.com/office/drawing/2014/main" id="{8063E1FE-0ACA-4552-8E4E-BAC166E9290A}"/>
            </a:ext>
          </a:extLst>
        </xdr:cNvPr>
        <xdr:cNvSpPr txBox="1">
          <a:spLocks noChangeArrowheads="1"/>
        </xdr:cNvSpPr>
      </xdr:nvSpPr>
      <xdr:spPr bwMode="auto">
        <a:xfrm>
          <a:off x="32794575"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11268</xdr:rowOff>
    </xdr:from>
    <xdr:to>
      <xdr:col>2</xdr:col>
      <xdr:colOff>629770</xdr:colOff>
      <xdr:row>32</xdr:row>
      <xdr:rowOff>162636</xdr:rowOff>
    </xdr:to>
    <xdr:sp macro="" textlink="">
      <xdr:nvSpPr>
        <xdr:cNvPr id="253202" name="Text Box 274" hidden="1">
          <a:extLst>
            <a:ext uri="{FF2B5EF4-FFF2-40B4-BE49-F238E27FC236}">
              <a16:creationId xmlns:a16="http://schemas.microsoft.com/office/drawing/2014/main" id="{DC73A306-9439-4F31-AA0D-3D667928139C}"/>
            </a:ext>
          </a:extLst>
        </xdr:cNvPr>
        <xdr:cNvSpPr txBox="1">
          <a:spLocks noChangeArrowheads="1"/>
        </xdr:cNvSpPr>
      </xdr:nvSpPr>
      <xdr:spPr bwMode="auto">
        <a:xfrm>
          <a:off x="4705350"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201" name="Text Box 273" hidden="1">
          <a:extLst>
            <a:ext uri="{FF2B5EF4-FFF2-40B4-BE49-F238E27FC236}">
              <a16:creationId xmlns:a16="http://schemas.microsoft.com/office/drawing/2014/main" id="{F073B93A-15D0-4314-A1C2-F0D1BEC0AE0B}"/>
            </a:ext>
          </a:extLst>
        </xdr:cNvPr>
        <xdr:cNvSpPr txBox="1">
          <a:spLocks noChangeArrowheads="1"/>
        </xdr:cNvSpPr>
      </xdr:nvSpPr>
      <xdr:spPr bwMode="auto">
        <a:xfrm>
          <a:off x="4667250"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164319</xdr:rowOff>
    </xdr:to>
    <xdr:sp macro="" textlink="">
      <xdr:nvSpPr>
        <xdr:cNvPr id="253200" name="Text Box 272" hidden="1">
          <a:extLst>
            <a:ext uri="{FF2B5EF4-FFF2-40B4-BE49-F238E27FC236}">
              <a16:creationId xmlns:a16="http://schemas.microsoft.com/office/drawing/2014/main" id="{91EC9F70-7A16-4A54-9F18-4000D3EBFA32}"/>
            </a:ext>
          </a:extLst>
        </xdr:cNvPr>
        <xdr:cNvSpPr txBox="1">
          <a:spLocks noChangeArrowheads="1"/>
        </xdr:cNvSpPr>
      </xdr:nvSpPr>
      <xdr:spPr bwMode="auto">
        <a:xfrm>
          <a:off x="4667250"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220378</xdr:rowOff>
    </xdr:from>
    <xdr:to>
      <xdr:col>18</xdr:col>
      <xdr:colOff>431240</xdr:colOff>
      <xdr:row>55</xdr:row>
      <xdr:rowOff>58651</xdr:rowOff>
    </xdr:to>
    <xdr:sp macro="" textlink="">
      <xdr:nvSpPr>
        <xdr:cNvPr id="253199" name="Text Box 271" hidden="1">
          <a:extLst>
            <a:ext uri="{FF2B5EF4-FFF2-40B4-BE49-F238E27FC236}">
              <a16:creationId xmlns:a16="http://schemas.microsoft.com/office/drawing/2014/main" id="{E801D4CE-4922-4FB9-BB6F-2D1AA001AA74}"/>
            </a:ext>
          </a:extLst>
        </xdr:cNvPr>
        <xdr:cNvSpPr txBox="1">
          <a:spLocks noChangeArrowheads="1"/>
        </xdr:cNvSpPr>
      </xdr:nvSpPr>
      <xdr:spPr bwMode="auto">
        <a:xfrm>
          <a:off x="16830675" y="7391400"/>
          <a:ext cx="1190625" cy="538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19</xdr:row>
      <xdr:rowOff>75762</xdr:rowOff>
    </xdr:from>
    <xdr:to>
      <xdr:col>2</xdr:col>
      <xdr:colOff>629770</xdr:colOff>
      <xdr:row>24</xdr:row>
      <xdr:rowOff>25898</xdr:rowOff>
    </xdr:to>
    <xdr:sp macro="" textlink="">
      <xdr:nvSpPr>
        <xdr:cNvPr id="253211" name="Text Box 283" hidden="1">
          <a:extLst>
            <a:ext uri="{FF2B5EF4-FFF2-40B4-BE49-F238E27FC236}">
              <a16:creationId xmlns:a16="http://schemas.microsoft.com/office/drawing/2014/main" id="{C2858B69-B81D-44E5-B2A4-66CC9A194BAE}"/>
            </a:ext>
          </a:extLst>
        </xdr:cNvPr>
        <xdr:cNvSpPr txBox="1">
          <a:spLocks noChangeArrowheads="1"/>
        </xdr:cNvSpPr>
      </xdr:nvSpPr>
      <xdr:spPr bwMode="auto">
        <a:xfrm>
          <a:off x="4705350" y="4171950"/>
          <a:ext cx="13525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53210" name="Text Box 282" hidden="1">
          <a:extLst>
            <a:ext uri="{FF2B5EF4-FFF2-40B4-BE49-F238E27FC236}">
              <a16:creationId xmlns:a16="http://schemas.microsoft.com/office/drawing/2014/main" id="{ADB0D776-E19D-4A32-B34D-1EF15B347DFC}"/>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9</xdr:row>
      <xdr:rowOff>152400</xdr:rowOff>
    </xdr:from>
    <xdr:to>
      <xdr:col>2</xdr:col>
      <xdr:colOff>477370</xdr:colOff>
      <xdr:row>12</xdr:row>
      <xdr:rowOff>161937</xdr:rowOff>
    </xdr:to>
    <xdr:sp macro="" textlink="">
      <xdr:nvSpPr>
        <xdr:cNvPr id="253209" name="Text Box 281" hidden="1">
          <a:extLst>
            <a:ext uri="{FF2B5EF4-FFF2-40B4-BE49-F238E27FC236}">
              <a16:creationId xmlns:a16="http://schemas.microsoft.com/office/drawing/2014/main" id="{7485237A-3C38-4295-80CF-67E3E6FFE268}"/>
            </a:ext>
          </a:extLst>
        </xdr:cNvPr>
        <xdr:cNvSpPr txBox="1">
          <a:spLocks noChangeArrowheads="1"/>
        </xdr:cNvSpPr>
      </xdr:nvSpPr>
      <xdr:spPr bwMode="auto">
        <a:xfrm>
          <a:off x="4667250" y="201930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23</xdr:row>
      <xdr:rowOff>12461</xdr:rowOff>
    </xdr:from>
    <xdr:to>
      <xdr:col>18</xdr:col>
      <xdr:colOff>431240</xdr:colOff>
      <xdr:row>47</xdr:row>
      <xdr:rowOff>45160</xdr:rowOff>
    </xdr:to>
    <xdr:sp macro="" textlink="">
      <xdr:nvSpPr>
        <xdr:cNvPr id="253208" name="Text Box 280" hidden="1">
          <a:extLst>
            <a:ext uri="{FF2B5EF4-FFF2-40B4-BE49-F238E27FC236}">
              <a16:creationId xmlns:a16="http://schemas.microsoft.com/office/drawing/2014/main" id="{D50D1EFF-D955-4137-9C29-C4763C1F1FF4}"/>
            </a:ext>
          </a:extLst>
        </xdr:cNvPr>
        <xdr:cNvSpPr txBox="1">
          <a:spLocks noChangeArrowheads="1"/>
        </xdr:cNvSpPr>
      </xdr:nvSpPr>
      <xdr:spPr bwMode="auto">
        <a:xfrm>
          <a:off x="16830675" y="4972050"/>
          <a:ext cx="1190625" cy="6124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3628277</xdr:colOff>
      <xdr:row>20</xdr:row>
      <xdr:rowOff>125457</xdr:rowOff>
    </xdr:from>
    <xdr:to>
      <xdr:col>2</xdr:col>
      <xdr:colOff>496420</xdr:colOff>
      <xdr:row>24</xdr:row>
      <xdr:rowOff>6848</xdr:rowOff>
    </xdr:to>
    <xdr:sp macro="" textlink="">
      <xdr:nvSpPr>
        <xdr:cNvPr id="253217" name="Text Box 289" hidden="1">
          <a:extLst>
            <a:ext uri="{FF2B5EF4-FFF2-40B4-BE49-F238E27FC236}">
              <a16:creationId xmlns:a16="http://schemas.microsoft.com/office/drawing/2014/main" id="{5BB536FA-B380-4A1C-A823-6B36ABAA95AC}"/>
            </a:ext>
          </a:extLst>
        </xdr:cNvPr>
        <xdr:cNvSpPr txBox="1">
          <a:spLocks noChangeArrowheads="1"/>
        </xdr:cNvSpPr>
      </xdr:nvSpPr>
      <xdr:spPr bwMode="auto">
        <a:xfrm>
          <a:off x="4648200" y="44005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124601</xdr:rowOff>
    </xdr:from>
    <xdr:to>
      <xdr:col>2</xdr:col>
      <xdr:colOff>629770</xdr:colOff>
      <xdr:row>22</xdr:row>
      <xdr:rowOff>144973</xdr:rowOff>
    </xdr:to>
    <xdr:sp macro="" textlink="">
      <xdr:nvSpPr>
        <xdr:cNvPr id="294917" name="Text Box 5" hidden="1">
          <a:extLst>
            <a:ext uri="{FF2B5EF4-FFF2-40B4-BE49-F238E27FC236}">
              <a16:creationId xmlns:a16="http://schemas.microsoft.com/office/drawing/2014/main" id="{F6214994-29C3-43E6-AECD-4CB9824ACA7B}"/>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94916" name="Text Box 4" hidden="1">
          <a:extLst>
            <a:ext uri="{FF2B5EF4-FFF2-40B4-BE49-F238E27FC236}">
              <a16:creationId xmlns:a16="http://schemas.microsoft.com/office/drawing/2014/main" id="{D6C14F77-D215-434B-8351-EA159A9F7E1F}"/>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174457</xdr:rowOff>
    </xdr:to>
    <xdr:sp macro="" textlink="">
      <xdr:nvSpPr>
        <xdr:cNvPr id="294915" name="Text Box 3" hidden="1">
          <a:extLst>
            <a:ext uri="{FF2B5EF4-FFF2-40B4-BE49-F238E27FC236}">
              <a16:creationId xmlns:a16="http://schemas.microsoft.com/office/drawing/2014/main" id="{945E6265-FFEA-4654-8F07-2316CDB4CB3E}"/>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124601</xdr:rowOff>
    </xdr:from>
    <xdr:to>
      <xdr:col>2</xdr:col>
      <xdr:colOff>629770</xdr:colOff>
      <xdr:row>22</xdr:row>
      <xdr:rowOff>144973</xdr:rowOff>
    </xdr:to>
    <xdr:sp macro="" textlink="">
      <xdr:nvSpPr>
        <xdr:cNvPr id="294920" name="Text Box 8" hidden="1">
          <a:extLst>
            <a:ext uri="{FF2B5EF4-FFF2-40B4-BE49-F238E27FC236}">
              <a16:creationId xmlns:a16="http://schemas.microsoft.com/office/drawing/2014/main" id="{2EA07351-4EC7-45C7-8D74-E6E27A42AD12}"/>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94919" name="Text Box 7" hidden="1">
          <a:extLst>
            <a:ext uri="{FF2B5EF4-FFF2-40B4-BE49-F238E27FC236}">
              <a16:creationId xmlns:a16="http://schemas.microsoft.com/office/drawing/2014/main" id="{6460D63A-9B5C-412A-AD24-918D0A351E36}"/>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174457</xdr:rowOff>
    </xdr:to>
    <xdr:sp macro="" textlink="">
      <xdr:nvSpPr>
        <xdr:cNvPr id="294918" name="Text Box 6" hidden="1">
          <a:extLst>
            <a:ext uri="{FF2B5EF4-FFF2-40B4-BE49-F238E27FC236}">
              <a16:creationId xmlns:a16="http://schemas.microsoft.com/office/drawing/2014/main" id="{EEE5F740-5718-4725-87BB-2B42945F22F9}"/>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152554</xdr:rowOff>
    </xdr:from>
    <xdr:to>
      <xdr:col>2</xdr:col>
      <xdr:colOff>629770</xdr:colOff>
      <xdr:row>22</xdr:row>
      <xdr:rowOff>144973</xdr:rowOff>
    </xdr:to>
    <xdr:sp macro="" textlink="">
      <xdr:nvSpPr>
        <xdr:cNvPr id="294923" name="Text Box 11" hidden="1">
          <a:extLst>
            <a:ext uri="{FF2B5EF4-FFF2-40B4-BE49-F238E27FC236}">
              <a16:creationId xmlns:a16="http://schemas.microsoft.com/office/drawing/2014/main" id="{BEB61B7E-2017-497F-81A9-3D3D3A1603DE}"/>
            </a:ext>
          </a:extLst>
        </xdr:cNvPr>
        <xdr:cNvSpPr txBox="1">
          <a:spLocks noChangeArrowheads="1"/>
        </xdr:cNvSpPr>
      </xdr:nvSpPr>
      <xdr:spPr bwMode="auto">
        <a:xfrm>
          <a:off x="4883150" y="3733800"/>
          <a:ext cx="1409700"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94922" name="Text Box 10" hidden="1">
          <a:extLst>
            <a:ext uri="{FF2B5EF4-FFF2-40B4-BE49-F238E27FC236}">
              <a16:creationId xmlns:a16="http://schemas.microsoft.com/office/drawing/2014/main" id="{0B85C91A-4ABB-4EDF-9609-85F1FE8A171B}"/>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174457</xdr:rowOff>
    </xdr:to>
    <xdr:sp macro="" textlink="">
      <xdr:nvSpPr>
        <xdr:cNvPr id="294921" name="Text Box 9" hidden="1">
          <a:extLst>
            <a:ext uri="{FF2B5EF4-FFF2-40B4-BE49-F238E27FC236}">
              <a16:creationId xmlns:a16="http://schemas.microsoft.com/office/drawing/2014/main" id="{6F865B28-D451-49FE-9B01-840A72BE11D2}"/>
            </a:ext>
          </a:extLst>
        </xdr:cNvPr>
        <xdr:cNvSpPr txBox="1">
          <a:spLocks noChangeArrowheads="1"/>
        </xdr:cNvSpPr>
      </xdr:nvSpPr>
      <xdr:spPr bwMode="auto">
        <a:xfrm>
          <a:off x="4845050" y="1778000"/>
          <a:ext cx="12954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130329</xdr:rowOff>
    </xdr:from>
    <xdr:to>
      <xdr:col>2</xdr:col>
      <xdr:colOff>629770</xdr:colOff>
      <xdr:row>22</xdr:row>
      <xdr:rowOff>144973</xdr:rowOff>
    </xdr:to>
    <xdr:sp macro="" textlink="">
      <xdr:nvSpPr>
        <xdr:cNvPr id="294926" name="Text Box 14" hidden="1">
          <a:extLst>
            <a:ext uri="{FF2B5EF4-FFF2-40B4-BE49-F238E27FC236}">
              <a16:creationId xmlns:a16="http://schemas.microsoft.com/office/drawing/2014/main" id="{C73BB9B6-4A60-4EA6-8F01-4058F3ED5275}"/>
            </a:ext>
          </a:extLst>
        </xdr:cNvPr>
        <xdr:cNvSpPr txBox="1">
          <a:spLocks noChangeArrowheads="1"/>
        </xdr:cNvSpPr>
      </xdr:nvSpPr>
      <xdr:spPr bwMode="auto">
        <a:xfrm>
          <a:off x="4883150" y="3708400"/>
          <a:ext cx="1409700" cy="1035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94925" name="Text Box 13" hidden="1">
          <a:extLst>
            <a:ext uri="{FF2B5EF4-FFF2-40B4-BE49-F238E27FC236}">
              <a16:creationId xmlns:a16="http://schemas.microsoft.com/office/drawing/2014/main" id="{79301E6B-CD70-4EC5-A7E6-FD11A47BBCB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122641</xdr:rowOff>
    </xdr:to>
    <xdr:sp macro="" textlink="">
      <xdr:nvSpPr>
        <xdr:cNvPr id="294924" name="Text Box 12" hidden="1">
          <a:extLst>
            <a:ext uri="{FF2B5EF4-FFF2-40B4-BE49-F238E27FC236}">
              <a16:creationId xmlns:a16="http://schemas.microsoft.com/office/drawing/2014/main" id="{9908C924-ED19-43BC-94A1-368015AC7D13}"/>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17</xdr:row>
      <xdr:rowOff>130329</xdr:rowOff>
    </xdr:from>
    <xdr:to>
      <xdr:col>2</xdr:col>
      <xdr:colOff>629770</xdr:colOff>
      <xdr:row>22</xdr:row>
      <xdr:rowOff>144973</xdr:rowOff>
    </xdr:to>
    <xdr:sp macro="" textlink="">
      <xdr:nvSpPr>
        <xdr:cNvPr id="294929" name="Text Box 17" hidden="1">
          <a:extLst>
            <a:ext uri="{FF2B5EF4-FFF2-40B4-BE49-F238E27FC236}">
              <a16:creationId xmlns:a16="http://schemas.microsoft.com/office/drawing/2014/main" id="{690273E6-B75A-4995-9080-F24C2AC96EA3}"/>
            </a:ext>
          </a:extLst>
        </xdr:cNvPr>
        <xdr:cNvSpPr txBox="1">
          <a:spLocks noChangeArrowheads="1"/>
        </xdr:cNvSpPr>
      </xdr:nvSpPr>
      <xdr:spPr bwMode="auto">
        <a:xfrm>
          <a:off x="4705350" y="3762375"/>
          <a:ext cx="13525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294928" name="Text Box 16" hidden="1">
          <a:extLst>
            <a:ext uri="{FF2B5EF4-FFF2-40B4-BE49-F238E27FC236}">
              <a16:creationId xmlns:a16="http://schemas.microsoft.com/office/drawing/2014/main" id="{1C872A5B-1C3F-4DE2-9848-EED7B1F2A855}"/>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122641</xdr:rowOff>
    </xdr:to>
    <xdr:sp macro="" textlink="">
      <xdr:nvSpPr>
        <xdr:cNvPr id="294927" name="Text Box 15" hidden="1">
          <a:extLst>
            <a:ext uri="{FF2B5EF4-FFF2-40B4-BE49-F238E27FC236}">
              <a16:creationId xmlns:a16="http://schemas.microsoft.com/office/drawing/2014/main" id="{BDA0B2AE-4C1A-4584-AEB3-2D65D287A02C}"/>
            </a:ext>
          </a:extLst>
        </xdr:cNvPr>
        <xdr:cNvSpPr txBox="1">
          <a:spLocks noChangeArrowheads="1"/>
        </xdr:cNvSpPr>
      </xdr:nvSpPr>
      <xdr:spPr bwMode="auto">
        <a:xfrm>
          <a:off x="4667250" y="1790700"/>
          <a:ext cx="123825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397249</xdr:colOff>
      <xdr:row>22</xdr:row>
      <xdr:rowOff>269263</xdr:rowOff>
    </xdr:from>
    <xdr:to>
      <xdr:col>21</xdr:col>
      <xdr:colOff>492498</xdr:colOff>
      <xdr:row>27</xdr:row>
      <xdr:rowOff>9298</xdr:rowOff>
    </xdr:to>
    <xdr:sp macro="" textlink="">
      <xdr:nvSpPr>
        <xdr:cNvPr id="294930" name="Text Box 18" hidden="1">
          <a:extLst>
            <a:ext uri="{FF2B5EF4-FFF2-40B4-BE49-F238E27FC236}">
              <a16:creationId xmlns:a16="http://schemas.microsoft.com/office/drawing/2014/main" id="{303752F7-E448-43D4-8E64-04B8F8350845}"/>
            </a:ext>
          </a:extLst>
        </xdr:cNvPr>
        <xdr:cNvSpPr txBox="1">
          <a:spLocks noChangeArrowheads="1"/>
        </xdr:cNvSpPr>
      </xdr:nvSpPr>
      <xdr:spPr bwMode="auto">
        <a:xfrm>
          <a:off x="18592800" y="49625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29</xdr:row>
      <xdr:rowOff>123218</xdr:rowOff>
    </xdr:from>
    <xdr:to>
      <xdr:col>2</xdr:col>
      <xdr:colOff>629770</xdr:colOff>
      <xdr:row>34</xdr:row>
      <xdr:rowOff>159306</xdr:rowOff>
    </xdr:to>
    <xdr:sp macro="" textlink="">
      <xdr:nvSpPr>
        <xdr:cNvPr id="307204" name="Text Box 4" hidden="1">
          <a:extLst>
            <a:ext uri="{FF2B5EF4-FFF2-40B4-BE49-F238E27FC236}">
              <a16:creationId xmlns:a16="http://schemas.microsoft.com/office/drawing/2014/main" id="{14ABE6F4-8B15-4120-A66E-9978A9EE884D}"/>
            </a:ext>
          </a:extLst>
        </xdr:cNvPr>
        <xdr:cNvSpPr txBox="1">
          <a:spLocks noChangeArrowheads="1"/>
        </xdr:cNvSpPr>
      </xdr:nvSpPr>
      <xdr:spPr bwMode="auto">
        <a:xfrm>
          <a:off x="4883150" y="6102350"/>
          <a:ext cx="1409700" cy="139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307203" name="Text Box 3" hidden="1">
          <a:extLst>
            <a:ext uri="{FF2B5EF4-FFF2-40B4-BE49-F238E27FC236}">
              <a16:creationId xmlns:a16="http://schemas.microsoft.com/office/drawing/2014/main" id="{9A777E9A-15B7-42DB-B9B4-BCC37131456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122641</xdr:rowOff>
    </xdr:to>
    <xdr:sp macro="" textlink="">
      <xdr:nvSpPr>
        <xdr:cNvPr id="307202" name="Text Box 2" hidden="1">
          <a:extLst>
            <a:ext uri="{FF2B5EF4-FFF2-40B4-BE49-F238E27FC236}">
              <a16:creationId xmlns:a16="http://schemas.microsoft.com/office/drawing/2014/main" id="{31CC5B5C-8024-4455-AE6A-1941E0AD85CC}"/>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12422</xdr:rowOff>
    </xdr:from>
    <xdr:to>
      <xdr:col>21</xdr:col>
      <xdr:colOff>492498</xdr:colOff>
      <xdr:row>44</xdr:row>
      <xdr:rowOff>46254</xdr:rowOff>
    </xdr:to>
    <xdr:sp macro="" textlink="">
      <xdr:nvSpPr>
        <xdr:cNvPr id="307201" name="Text Box 1" hidden="1">
          <a:extLst>
            <a:ext uri="{FF2B5EF4-FFF2-40B4-BE49-F238E27FC236}">
              <a16:creationId xmlns:a16="http://schemas.microsoft.com/office/drawing/2014/main" id="{78DAB7F2-90A5-499B-A8AB-2F339EF00D68}"/>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29</xdr:row>
      <xdr:rowOff>123218</xdr:rowOff>
    </xdr:from>
    <xdr:to>
      <xdr:col>2</xdr:col>
      <xdr:colOff>629770</xdr:colOff>
      <xdr:row>34</xdr:row>
      <xdr:rowOff>140256</xdr:rowOff>
    </xdr:to>
    <xdr:sp macro="" textlink="">
      <xdr:nvSpPr>
        <xdr:cNvPr id="307208" name="Text Box 8" hidden="1">
          <a:extLst>
            <a:ext uri="{FF2B5EF4-FFF2-40B4-BE49-F238E27FC236}">
              <a16:creationId xmlns:a16="http://schemas.microsoft.com/office/drawing/2014/main" id="{5A063AC6-E433-4E9F-9853-454DFC85857A}"/>
            </a:ext>
          </a:extLst>
        </xdr:cNvPr>
        <xdr:cNvSpPr txBox="1">
          <a:spLocks noChangeArrowheads="1"/>
        </xdr:cNvSpPr>
      </xdr:nvSpPr>
      <xdr:spPr bwMode="auto">
        <a:xfrm>
          <a:off x="4883150" y="6102350"/>
          <a:ext cx="1409700" cy="137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307207" name="Text Box 7" hidden="1">
          <a:extLst>
            <a:ext uri="{FF2B5EF4-FFF2-40B4-BE49-F238E27FC236}">
              <a16:creationId xmlns:a16="http://schemas.microsoft.com/office/drawing/2014/main" id="{C6F3BBA6-2670-47FA-BCE7-9527E47A010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122641</xdr:rowOff>
    </xdr:to>
    <xdr:sp macro="" textlink="">
      <xdr:nvSpPr>
        <xdr:cNvPr id="307206" name="Text Box 6" hidden="1">
          <a:extLst>
            <a:ext uri="{FF2B5EF4-FFF2-40B4-BE49-F238E27FC236}">
              <a16:creationId xmlns:a16="http://schemas.microsoft.com/office/drawing/2014/main" id="{C42F15F9-5BC7-48B4-BB14-23B01189ECD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12422</xdr:rowOff>
    </xdr:from>
    <xdr:to>
      <xdr:col>21</xdr:col>
      <xdr:colOff>492498</xdr:colOff>
      <xdr:row>44</xdr:row>
      <xdr:rowOff>46254</xdr:rowOff>
    </xdr:to>
    <xdr:sp macro="" textlink="">
      <xdr:nvSpPr>
        <xdr:cNvPr id="307205" name="Text Box 5" hidden="1">
          <a:extLst>
            <a:ext uri="{FF2B5EF4-FFF2-40B4-BE49-F238E27FC236}">
              <a16:creationId xmlns:a16="http://schemas.microsoft.com/office/drawing/2014/main" id="{95A65CE9-F040-4925-988B-0ACE451110DB}"/>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202950</xdr:rowOff>
    </xdr:from>
    <xdr:to>
      <xdr:col>2</xdr:col>
      <xdr:colOff>639295</xdr:colOff>
      <xdr:row>23</xdr:row>
      <xdr:rowOff>104573</xdr:rowOff>
    </xdr:to>
    <xdr:sp macro="" textlink="">
      <xdr:nvSpPr>
        <xdr:cNvPr id="307212" name="Text Box 12" hidden="1">
          <a:extLst>
            <a:ext uri="{FF2B5EF4-FFF2-40B4-BE49-F238E27FC236}">
              <a16:creationId xmlns:a16="http://schemas.microsoft.com/office/drawing/2014/main" id="{48DCDDE3-4A1A-76B2-9F65-6A634D5C9486}"/>
            </a:ext>
          </a:extLst>
        </xdr:cNvPr>
        <xdr:cNvSpPr txBox="1">
          <a:spLocks noChangeArrowheads="1"/>
        </xdr:cNvSpPr>
      </xdr:nvSpPr>
      <xdr:spPr bwMode="auto">
        <a:xfrm>
          <a:off x="4883150" y="3575050"/>
          <a:ext cx="141605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307211" name="Text Box 11" hidden="1">
          <a:extLst>
            <a:ext uri="{FF2B5EF4-FFF2-40B4-BE49-F238E27FC236}">
              <a16:creationId xmlns:a16="http://schemas.microsoft.com/office/drawing/2014/main" id="{F33C7AF0-BA80-9F09-D6CA-D38DF6EEA60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122641</xdr:rowOff>
    </xdr:to>
    <xdr:sp macro="" textlink="">
      <xdr:nvSpPr>
        <xdr:cNvPr id="307210" name="Text Box 10" hidden="1">
          <a:extLst>
            <a:ext uri="{FF2B5EF4-FFF2-40B4-BE49-F238E27FC236}">
              <a16:creationId xmlns:a16="http://schemas.microsoft.com/office/drawing/2014/main" id="{16F07FCE-B210-1268-409D-DB732BC8338F}"/>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59739</xdr:rowOff>
    </xdr:from>
    <xdr:to>
      <xdr:col>21</xdr:col>
      <xdr:colOff>492498</xdr:colOff>
      <xdr:row>39</xdr:row>
      <xdr:rowOff>750123</xdr:rowOff>
    </xdr:to>
    <xdr:sp macro="" textlink="">
      <xdr:nvSpPr>
        <xdr:cNvPr id="307209" name="Text Box 9" hidden="1">
          <a:extLst>
            <a:ext uri="{FF2B5EF4-FFF2-40B4-BE49-F238E27FC236}">
              <a16:creationId xmlns:a16="http://schemas.microsoft.com/office/drawing/2014/main" id="{6D2CDE95-DA3A-4066-97DF-358D7C2EBC59}"/>
            </a:ext>
          </a:extLst>
        </xdr:cNvPr>
        <xdr:cNvSpPr txBox="1">
          <a:spLocks noChangeArrowheads="1"/>
        </xdr:cNvSpPr>
      </xdr:nvSpPr>
      <xdr:spPr bwMode="auto">
        <a:xfrm>
          <a:off x="19424650" y="570865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142875</xdr:rowOff>
    </xdr:from>
    <xdr:to>
      <xdr:col>24</xdr:col>
      <xdr:colOff>473449</xdr:colOff>
      <xdr:row>13</xdr:row>
      <xdr:rowOff>25742</xdr:rowOff>
    </xdr:to>
    <xdr:sp macro="" textlink="">
      <xdr:nvSpPr>
        <xdr:cNvPr id="307213" name="Text Box 13" hidden="1">
          <a:extLst>
            <a:ext uri="{FF2B5EF4-FFF2-40B4-BE49-F238E27FC236}">
              <a16:creationId xmlns:a16="http://schemas.microsoft.com/office/drawing/2014/main" id="{D274BCFA-647C-F29B-FB51-58AF5243FE5C}"/>
            </a:ext>
          </a:extLst>
        </xdr:cNvPr>
        <xdr:cNvSpPr txBox="1">
          <a:spLocks noChangeArrowheads="1"/>
        </xdr:cNvSpPr>
      </xdr:nvSpPr>
      <xdr:spPr bwMode="auto">
        <a:xfrm>
          <a:off x="21291550" y="199390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202950</xdr:rowOff>
    </xdr:from>
    <xdr:to>
      <xdr:col>2</xdr:col>
      <xdr:colOff>629770</xdr:colOff>
      <xdr:row>23</xdr:row>
      <xdr:rowOff>104573</xdr:rowOff>
    </xdr:to>
    <xdr:sp macro="" textlink="">
      <xdr:nvSpPr>
        <xdr:cNvPr id="307218" name="Text Box 18" hidden="1">
          <a:extLst>
            <a:ext uri="{FF2B5EF4-FFF2-40B4-BE49-F238E27FC236}">
              <a16:creationId xmlns:a16="http://schemas.microsoft.com/office/drawing/2014/main" id="{3E641CB9-64EA-9CA7-7E07-0902E79F5775}"/>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307217" name="Text Box 17" hidden="1">
          <a:extLst>
            <a:ext uri="{FF2B5EF4-FFF2-40B4-BE49-F238E27FC236}">
              <a16:creationId xmlns:a16="http://schemas.microsoft.com/office/drawing/2014/main" id="{ABA309A4-CC4B-D99D-BB10-3A344208C12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122641</xdr:rowOff>
    </xdr:to>
    <xdr:sp macro="" textlink="">
      <xdr:nvSpPr>
        <xdr:cNvPr id="307216" name="Text Box 16" hidden="1">
          <a:extLst>
            <a:ext uri="{FF2B5EF4-FFF2-40B4-BE49-F238E27FC236}">
              <a16:creationId xmlns:a16="http://schemas.microsoft.com/office/drawing/2014/main" id="{A5527995-E442-2751-F537-770912B3E856}"/>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69264</xdr:rowOff>
    </xdr:from>
    <xdr:to>
      <xdr:col>21</xdr:col>
      <xdr:colOff>492498</xdr:colOff>
      <xdr:row>39</xdr:row>
      <xdr:rowOff>752377</xdr:rowOff>
    </xdr:to>
    <xdr:sp macro="" textlink="">
      <xdr:nvSpPr>
        <xdr:cNvPr id="307215" name="Text Box 15" hidden="1">
          <a:extLst>
            <a:ext uri="{FF2B5EF4-FFF2-40B4-BE49-F238E27FC236}">
              <a16:creationId xmlns:a16="http://schemas.microsoft.com/office/drawing/2014/main" id="{BE01E4E0-F5E8-3EA0-1587-59889AA4454C}"/>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25742</xdr:rowOff>
    </xdr:to>
    <xdr:sp macro="" textlink="">
      <xdr:nvSpPr>
        <xdr:cNvPr id="307214" name="Text Box 14" hidden="1">
          <a:extLst>
            <a:ext uri="{FF2B5EF4-FFF2-40B4-BE49-F238E27FC236}">
              <a16:creationId xmlns:a16="http://schemas.microsoft.com/office/drawing/2014/main" id="{CC450876-16C3-D9F2-B713-2B3E321E03E4}"/>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674781</xdr:colOff>
      <xdr:row>9</xdr:row>
      <xdr:rowOff>152400</xdr:rowOff>
    </xdr:from>
    <xdr:to>
      <xdr:col>30</xdr:col>
      <xdr:colOff>485961</xdr:colOff>
      <xdr:row>13</xdr:row>
      <xdr:rowOff>25742</xdr:rowOff>
    </xdr:to>
    <xdr:sp macro="" textlink="">
      <xdr:nvSpPr>
        <xdr:cNvPr id="307219" name="Text Box 19" hidden="1">
          <a:extLst>
            <a:ext uri="{FF2B5EF4-FFF2-40B4-BE49-F238E27FC236}">
              <a16:creationId xmlns:a16="http://schemas.microsoft.com/office/drawing/2014/main" id="{936232DD-E64E-924F-7948-CABBB4F68237}"/>
            </a:ext>
          </a:extLst>
        </xdr:cNvPr>
        <xdr:cNvSpPr txBox="1">
          <a:spLocks noChangeArrowheads="1"/>
        </xdr:cNvSpPr>
      </xdr:nvSpPr>
      <xdr:spPr bwMode="auto">
        <a:xfrm>
          <a:off x="25571450" y="2006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10</xdr:row>
      <xdr:rowOff>143934</xdr:rowOff>
    </xdr:from>
    <xdr:to>
      <xdr:col>33</xdr:col>
      <xdr:colOff>485962</xdr:colOff>
      <xdr:row>14</xdr:row>
      <xdr:rowOff>50237</xdr:rowOff>
    </xdr:to>
    <xdr:sp macro="" textlink="">
      <xdr:nvSpPr>
        <xdr:cNvPr id="307220" name="Text Box 20" hidden="1">
          <a:extLst>
            <a:ext uri="{FF2B5EF4-FFF2-40B4-BE49-F238E27FC236}">
              <a16:creationId xmlns:a16="http://schemas.microsoft.com/office/drawing/2014/main" id="{4A8CFFC5-B740-ECBE-7111-806B15784E9E}"/>
            </a:ext>
          </a:extLst>
        </xdr:cNvPr>
        <xdr:cNvSpPr txBox="1">
          <a:spLocks noChangeArrowheads="1"/>
        </xdr:cNvSpPr>
      </xdr:nvSpPr>
      <xdr:spPr bwMode="auto">
        <a:xfrm>
          <a:off x="27857450" y="22225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202950</xdr:rowOff>
    </xdr:from>
    <xdr:to>
      <xdr:col>2</xdr:col>
      <xdr:colOff>629770</xdr:colOff>
      <xdr:row>23</xdr:row>
      <xdr:rowOff>104573</xdr:rowOff>
    </xdr:to>
    <xdr:sp macro="" textlink="">
      <xdr:nvSpPr>
        <xdr:cNvPr id="368654" name="Text Box 14" hidden="1">
          <a:extLst>
            <a:ext uri="{FF2B5EF4-FFF2-40B4-BE49-F238E27FC236}">
              <a16:creationId xmlns:a16="http://schemas.microsoft.com/office/drawing/2014/main" id="{7875A50C-6CAE-BFB0-7E26-6E22611F2A19}"/>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368653" name="Text Box 13" hidden="1">
          <a:extLst>
            <a:ext uri="{FF2B5EF4-FFF2-40B4-BE49-F238E27FC236}">
              <a16:creationId xmlns:a16="http://schemas.microsoft.com/office/drawing/2014/main" id="{8A221C06-530C-32D8-452B-805E2A3AD30F}"/>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122641</xdr:rowOff>
    </xdr:to>
    <xdr:sp macro="" textlink="">
      <xdr:nvSpPr>
        <xdr:cNvPr id="368652" name="Text Box 12" hidden="1">
          <a:extLst>
            <a:ext uri="{FF2B5EF4-FFF2-40B4-BE49-F238E27FC236}">
              <a16:creationId xmlns:a16="http://schemas.microsoft.com/office/drawing/2014/main" id="{01B88762-A60C-2545-BACD-4BF1BB79EC9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69264</xdr:rowOff>
    </xdr:from>
    <xdr:to>
      <xdr:col>21</xdr:col>
      <xdr:colOff>492498</xdr:colOff>
      <xdr:row>39</xdr:row>
      <xdr:rowOff>752377</xdr:rowOff>
    </xdr:to>
    <xdr:sp macro="" textlink="">
      <xdr:nvSpPr>
        <xdr:cNvPr id="368651" name="Text Box 11" hidden="1">
          <a:extLst>
            <a:ext uri="{FF2B5EF4-FFF2-40B4-BE49-F238E27FC236}">
              <a16:creationId xmlns:a16="http://schemas.microsoft.com/office/drawing/2014/main" id="{97BFA0F7-6481-6D41-997C-22670806EACB}"/>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25742</xdr:rowOff>
    </xdr:to>
    <xdr:sp macro="" textlink="">
      <xdr:nvSpPr>
        <xdr:cNvPr id="368650" name="Text Box 10" hidden="1">
          <a:extLst>
            <a:ext uri="{FF2B5EF4-FFF2-40B4-BE49-F238E27FC236}">
              <a16:creationId xmlns:a16="http://schemas.microsoft.com/office/drawing/2014/main" id="{8C20C64A-294E-EE7C-0185-66BF368B3223}"/>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674781</xdr:colOff>
      <xdr:row>9</xdr:row>
      <xdr:rowOff>152400</xdr:rowOff>
    </xdr:from>
    <xdr:to>
      <xdr:col>30</xdr:col>
      <xdr:colOff>485961</xdr:colOff>
      <xdr:row>13</xdr:row>
      <xdr:rowOff>25742</xdr:rowOff>
    </xdr:to>
    <xdr:sp macro="" textlink="">
      <xdr:nvSpPr>
        <xdr:cNvPr id="368649" name="Text Box 9" hidden="1">
          <a:extLst>
            <a:ext uri="{FF2B5EF4-FFF2-40B4-BE49-F238E27FC236}">
              <a16:creationId xmlns:a16="http://schemas.microsoft.com/office/drawing/2014/main" id="{BE2C5B1C-EFB6-BFBC-4BBD-CC53F05FA9DD}"/>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10</xdr:row>
      <xdr:rowOff>143934</xdr:rowOff>
    </xdr:from>
    <xdr:to>
      <xdr:col>33</xdr:col>
      <xdr:colOff>485962</xdr:colOff>
      <xdr:row>14</xdr:row>
      <xdr:rowOff>50237</xdr:rowOff>
    </xdr:to>
    <xdr:sp macro="" textlink="">
      <xdr:nvSpPr>
        <xdr:cNvPr id="368648" name="Text Box 8" hidden="1">
          <a:extLst>
            <a:ext uri="{FF2B5EF4-FFF2-40B4-BE49-F238E27FC236}">
              <a16:creationId xmlns:a16="http://schemas.microsoft.com/office/drawing/2014/main" id="{81EBE5DA-8529-04B1-93C4-6EF0E5058585}"/>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202950</xdr:rowOff>
    </xdr:from>
    <xdr:to>
      <xdr:col>2</xdr:col>
      <xdr:colOff>629770</xdr:colOff>
      <xdr:row>23</xdr:row>
      <xdr:rowOff>104573</xdr:rowOff>
    </xdr:to>
    <xdr:sp macro="" textlink="">
      <xdr:nvSpPr>
        <xdr:cNvPr id="368647" name="Text Box 7" hidden="1">
          <a:extLst>
            <a:ext uri="{FF2B5EF4-FFF2-40B4-BE49-F238E27FC236}">
              <a16:creationId xmlns:a16="http://schemas.microsoft.com/office/drawing/2014/main" id="{8BAC7855-5F86-ED60-8164-001D9E926567}"/>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368646" name="Text Box 6" hidden="1">
          <a:extLst>
            <a:ext uri="{FF2B5EF4-FFF2-40B4-BE49-F238E27FC236}">
              <a16:creationId xmlns:a16="http://schemas.microsoft.com/office/drawing/2014/main" id="{6DE152B4-B558-D056-C3C1-98D4A31A7BEC}"/>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122641</xdr:rowOff>
    </xdr:to>
    <xdr:sp macro="" textlink="">
      <xdr:nvSpPr>
        <xdr:cNvPr id="368645" name="Text Box 5" hidden="1">
          <a:extLst>
            <a:ext uri="{FF2B5EF4-FFF2-40B4-BE49-F238E27FC236}">
              <a16:creationId xmlns:a16="http://schemas.microsoft.com/office/drawing/2014/main" id="{FE8883AD-5210-76ED-6A44-20D2ECF7421A}"/>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69264</xdr:rowOff>
    </xdr:from>
    <xdr:to>
      <xdr:col>21</xdr:col>
      <xdr:colOff>492498</xdr:colOff>
      <xdr:row>39</xdr:row>
      <xdr:rowOff>752377</xdr:rowOff>
    </xdr:to>
    <xdr:sp macro="" textlink="">
      <xdr:nvSpPr>
        <xdr:cNvPr id="368644" name="Text Box 4" hidden="1">
          <a:extLst>
            <a:ext uri="{FF2B5EF4-FFF2-40B4-BE49-F238E27FC236}">
              <a16:creationId xmlns:a16="http://schemas.microsoft.com/office/drawing/2014/main" id="{58F58B2F-2B8C-139B-B776-BB449DB0AF47}"/>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25742</xdr:rowOff>
    </xdr:to>
    <xdr:sp macro="" textlink="">
      <xdr:nvSpPr>
        <xdr:cNvPr id="368643" name="Text Box 3" hidden="1">
          <a:extLst>
            <a:ext uri="{FF2B5EF4-FFF2-40B4-BE49-F238E27FC236}">
              <a16:creationId xmlns:a16="http://schemas.microsoft.com/office/drawing/2014/main" id="{CE391098-514C-D959-3EA3-7773A1655AAE}"/>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674781</xdr:colOff>
      <xdr:row>9</xdr:row>
      <xdr:rowOff>152400</xdr:rowOff>
    </xdr:from>
    <xdr:to>
      <xdr:col>30</xdr:col>
      <xdr:colOff>485961</xdr:colOff>
      <xdr:row>13</xdr:row>
      <xdr:rowOff>25742</xdr:rowOff>
    </xdr:to>
    <xdr:sp macro="" textlink="">
      <xdr:nvSpPr>
        <xdr:cNvPr id="368642" name="Text Box 2" hidden="1">
          <a:extLst>
            <a:ext uri="{FF2B5EF4-FFF2-40B4-BE49-F238E27FC236}">
              <a16:creationId xmlns:a16="http://schemas.microsoft.com/office/drawing/2014/main" id="{D4CA38DD-C872-56F2-B11A-6BE9FE5F8829}"/>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10</xdr:row>
      <xdr:rowOff>143934</xdr:rowOff>
    </xdr:from>
    <xdr:to>
      <xdr:col>33</xdr:col>
      <xdr:colOff>485962</xdr:colOff>
      <xdr:row>14</xdr:row>
      <xdr:rowOff>50237</xdr:rowOff>
    </xdr:to>
    <xdr:sp macro="" textlink="">
      <xdr:nvSpPr>
        <xdr:cNvPr id="368641" name="Text Box 1" hidden="1">
          <a:extLst>
            <a:ext uri="{FF2B5EF4-FFF2-40B4-BE49-F238E27FC236}">
              <a16:creationId xmlns:a16="http://schemas.microsoft.com/office/drawing/2014/main" id="{B33555A6-FA36-1375-1FFB-5C2A37496D21}"/>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202950</xdr:rowOff>
    </xdr:from>
    <xdr:to>
      <xdr:col>2</xdr:col>
      <xdr:colOff>629770</xdr:colOff>
      <xdr:row>23</xdr:row>
      <xdr:rowOff>104573</xdr:rowOff>
    </xdr:to>
    <xdr:sp macro="" textlink="">
      <xdr:nvSpPr>
        <xdr:cNvPr id="368661" name="Text Box 21" hidden="1">
          <a:extLst>
            <a:ext uri="{FF2B5EF4-FFF2-40B4-BE49-F238E27FC236}">
              <a16:creationId xmlns:a16="http://schemas.microsoft.com/office/drawing/2014/main" id="{DBB04708-774A-B935-4DAE-EBE9C347268E}"/>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197090</xdr:rowOff>
    </xdr:to>
    <xdr:sp macro="" textlink="">
      <xdr:nvSpPr>
        <xdr:cNvPr id="368660" name="Text Box 20" hidden="1">
          <a:extLst>
            <a:ext uri="{FF2B5EF4-FFF2-40B4-BE49-F238E27FC236}">
              <a16:creationId xmlns:a16="http://schemas.microsoft.com/office/drawing/2014/main" id="{D8208FF2-B58B-359A-26B7-ED5D293524D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122641</xdr:rowOff>
    </xdr:to>
    <xdr:sp macro="" textlink="">
      <xdr:nvSpPr>
        <xdr:cNvPr id="368659" name="Text Box 19" hidden="1">
          <a:extLst>
            <a:ext uri="{FF2B5EF4-FFF2-40B4-BE49-F238E27FC236}">
              <a16:creationId xmlns:a16="http://schemas.microsoft.com/office/drawing/2014/main" id="{1FD36594-376B-F1E5-FC1C-657BA03E6512}"/>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69264</xdr:rowOff>
    </xdr:from>
    <xdr:to>
      <xdr:col>21</xdr:col>
      <xdr:colOff>492498</xdr:colOff>
      <xdr:row>39</xdr:row>
      <xdr:rowOff>752377</xdr:rowOff>
    </xdr:to>
    <xdr:sp macro="" textlink="">
      <xdr:nvSpPr>
        <xdr:cNvPr id="368658" name="Text Box 18" hidden="1">
          <a:extLst>
            <a:ext uri="{FF2B5EF4-FFF2-40B4-BE49-F238E27FC236}">
              <a16:creationId xmlns:a16="http://schemas.microsoft.com/office/drawing/2014/main" id="{84DEE8A0-2CF9-922A-36D1-4C658F7C66AE}"/>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25742</xdr:rowOff>
    </xdr:to>
    <xdr:sp macro="" textlink="">
      <xdr:nvSpPr>
        <xdr:cNvPr id="368657" name="Text Box 17" hidden="1">
          <a:extLst>
            <a:ext uri="{FF2B5EF4-FFF2-40B4-BE49-F238E27FC236}">
              <a16:creationId xmlns:a16="http://schemas.microsoft.com/office/drawing/2014/main" id="{7A8F84A1-80A7-5F24-425F-24214315FC71}"/>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674781</xdr:colOff>
      <xdr:row>9</xdr:row>
      <xdr:rowOff>152400</xdr:rowOff>
    </xdr:from>
    <xdr:to>
      <xdr:col>30</xdr:col>
      <xdr:colOff>485961</xdr:colOff>
      <xdr:row>13</xdr:row>
      <xdr:rowOff>25742</xdr:rowOff>
    </xdr:to>
    <xdr:sp macro="" textlink="">
      <xdr:nvSpPr>
        <xdr:cNvPr id="368656" name="Text Box 16" hidden="1">
          <a:extLst>
            <a:ext uri="{FF2B5EF4-FFF2-40B4-BE49-F238E27FC236}">
              <a16:creationId xmlns:a16="http://schemas.microsoft.com/office/drawing/2014/main" id="{ECB6F364-6E98-DA93-F23A-49EFDE78E3F2}"/>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10</xdr:row>
      <xdr:rowOff>143934</xdr:rowOff>
    </xdr:from>
    <xdr:to>
      <xdr:col>33</xdr:col>
      <xdr:colOff>485962</xdr:colOff>
      <xdr:row>14</xdr:row>
      <xdr:rowOff>50237</xdr:rowOff>
    </xdr:to>
    <xdr:sp macro="" textlink="">
      <xdr:nvSpPr>
        <xdr:cNvPr id="368655" name="Text Box 15" hidden="1">
          <a:extLst>
            <a:ext uri="{FF2B5EF4-FFF2-40B4-BE49-F238E27FC236}">
              <a16:creationId xmlns:a16="http://schemas.microsoft.com/office/drawing/2014/main" id="{50764A32-3D24-15D5-8903-8AB01105D049}"/>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15</xdr:row>
      <xdr:rowOff>180630</xdr:rowOff>
    </xdr:from>
    <xdr:to>
      <xdr:col>2</xdr:col>
      <xdr:colOff>629770</xdr:colOff>
      <xdr:row>23</xdr:row>
      <xdr:rowOff>65975</xdr:rowOff>
    </xdr:to>
    <xdr:sp macro="" textlink="">
      <xdr:nvSpPr>
        <xdr:cNvPr id="368668" name="Text Box 28" hidden="1">
          <a:extLst>
            <a:ext uri="{FF2B5EF4-FFF2-40B4-BE49-F238E27FC236}">
              <a16:creationId xmlns:a16="http://schemas.microsoft.com/office/drawing/2014/main" id="{53594DD5-EC1B-5F66-F4F8-D6A8B4FA8C6E}"/>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8667" name="Text Box 27" hidden="1">
          <a:extLst>
            <a:ext uri="{FF2B5EF4-FFF2-40B4-BE49-F238E27FC236}">
              <a16:creationId xmlns:a16="http://schemas.microsoft.com/office/drawing/2014/main" id="{3CCBA0CB-3931-3B10-0269-D94322CA8376}"/>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8666" name="Text Box 26" hidden="1">
          <a:extLst>
            <a:ext uri="{FF2B5EF4-FFF2-40B4-BE49-F238E27FC236}">
              <a16:creationId xmlns:a16="http://schemas.microsoft.com/office/drawing/2014/main" id="{DAF46A2F-AF3B-7CBC-6D4F-D8BDDB93189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197939</xdr:rowOff>
    </xdr:to>
    <xdr:sp macro="" textlink="">
      <xdr:nvSpPr>
        <xdr:cNvPr id="368662" name="Text Box 22" hidden="1">
          <a:extLst>
            <a:ext uri="{FF2B5EF4-FFF2-40B4-BE49-F238E27FC236}">
              <a16:creationId xmlns:a16="http://schemas.microsoft.com/office/drawing/2014/main" id="{C949C47B-BA9C-237F-4B0F-4157AA0EA8EF}"/>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25</xdr:row>
      <xdr:rowOff>2001</xdr:rowOff>
    </xdr:from>
    <xdr:to>
      <xdr:col>24</xdr:col>
      <xdr:colOff>473449</xdr:colOff>
      <xdr:row>29</xdr:row>
      <xdr:rowOff>26021</xdr:rowOff>
    </xdr:to>
    <xdr:sp macro="" textlink="">
      <xdr:nvSpPr>
        <xdr:cNvPr id="368669" name="Text Box 29" hidden="1">
          <a:extLst>
            <a:ext uri="{FF2B5EF4-FFF2-40B4-BE49-F238E27FC236}">
              <a16:creationId xmlns:a16="http://schemas.microsoft.com/office/drawing/2014/main" id="{E4C56473-1993-0092-9660-492BB6C9180A}"/>
            </a:ext>
          </a:extLst>
        </xdr:cNvPr>
        <xdr:cNvSpPr txBox="1">
          <a:spLocks noChangeArrowheads="1"/>
        </xdr:cNvSpPr>
      </xdr:nvSpPr>
      <xdr:spPr bwMode="auto">
        <a:xfrm>
          <a:off x="21291550" y="52641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15</xdr:row>
      <xdr:rowOff>180630</xdr:rowOff>
    </xdr:from>
    <xdr:to>
      <xdr:col>2</xdr:col>
      <xdr:colOff>629770</xdr:colOff>
      <xdr:row>23</xdr:row>
      <xdr:rowOff>65975</xdr:rowOff>
    </xdr:to>
    <xdr:sp macro="" textlink="">
      <xdr:nvSpPr>
        <xdr:cNvPr id="368674" name="Text Box 34" hidden="1">
          <a:extLst>
            <a:ext uri="{FF2B5EF4-FFF2-40B4-BE49-F238E27FC236}">
              <a16:creationId xmlns:a16="http://schemas.microsoft.com/office/drawing/2014/main" id="{244BCEB2-14C2-B97F-DA54-3A12F4674A0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8673" name="Text Box 33" hidden="1">
          <a:extLst>
            <a:ext uri="{FF2B5EF4-FFF2-40B4-BE49-F238E27FC236}">
              <a16:creationId xmlns:a16="http://schemas.microsoft.com/office/drawing/2014/main" id="{59566220-809B-CEF1-F23B-C017CD228F6F}"/>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8672" name="Text Box 32" hidden="1">
          <a:extLst>
            <a:ext uri="{FF2B5EF4-FFF2-40B4-BE49-F238E27FC236}">
              <a16:creationId xmlns:a16="http://schemas.microsoft.com/office/drawing/2014/main" id="{5F3C0D9D-2B8F-5BBE-1EF9-0D13624522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197939</xdr:rowOff>
    </xdr:to>
    <xdr:sp macro="" textlink="">
      <xdr:nvSpPr>
        <xdr:cNvPr id="368671" name="Text Box 31" hidden="1">
          <a:extLst>
            <a:ext uri="{FF2B5EF4-FFF2-40B4-BE49-F238E27FC236}">
              <a16:creationId xmlns:a16="http://schemas.microsoft.com/office/drawing/2014/main" id="{03887A45-6D61-8C22-1589-4500077D04D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115045</xdr:rowOff>
    </xdr:from>
    <xdr:to>
      <xdr:col>2</xdr:col>
      <xdr:colOff>629770</xdr:colOff>
      <xdr:row>33</xdr:row>
      <xdr:rowOff>107899</xdr:rowOff>
    </xdr:to>
    <xdr:sp macro="" textlink="">
      <xdr:nvSpPr>
        <xdr:cNvPr id="368675" name="Text Box 35" hidden="1">
          <a:extLst>
            <a:ext uri="{FF2B5EF4-FFF2-40B4-BE49-F238E27FC236}">
              <a16:creationId xmlns:a16="http://schemas.microsoft.com/office/drawing/2014/main" id="{2CD2F85C-4397-13F1-305F-FA2C8EC59E2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15</xdr:row>
      <xdr:rowOff>180630</xdr:rowOff>
    </xdr:from>
    <xdr:to>
      <xdr:col>2</xdr:col>
      <xdr:colOff>629770</xdr:colOff>
      <xdr:row>23</xdr:row>
      <xdr:rowOff>65975</xdr:rowOff>
    </xdr:to>
    <xdr:sp macro="" textlink="">
      <xdr:nvSpPr>
        <xdr:cNvPr id="368680" name="Text Box 40" hidden="1">
          <a:extLst>
            <a:ext uri="{FF2B5EF4-FFF2-40B4-BE49-F238E27FC236}">
              <a16:creationId xmlns:a16="http://schemas.microsoft.com/office/drawing/2014/main" id="{97629537-163A-CA15-A4CC-14F086AD154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8679" name="Text Box 39" hidden="1">
          <a:extLst>
            <a:ext uri="{FF2B5EF4-FFF2-40B4-BE49-F238E27FC236}">
              <a16:creationId xmlns:a16="http://schemas.microsoft.com/office/drawing/2014/main" id="{51FABE43-F573-ED45-AE3D-0E2176C5318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8678" name="Text Box 38" hidden="1">
          <a:extLst>
            <a:ext uri="{FF2B5EF4-FFF2-40B4-BE49-F238E27FC236}">
              <a16:creationId xmlns:a16="http://schemas.microsoft.com/office/drawing/2014/main" id="{93FB1882-EB73-5BF7-9CF0-E8BC63DAED32}"/>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197939</xdr:rowOff>
    </xdr:to>
    <xdr:sp macro="" textlink="">
      <xdr:nvSpPr>
        <xdr:cNvPr id="368677" name="Text Box 37" hidden="1">
          <a:extLst>
            <a:ext uri="{FF2B5EF4-FFF2-40B4-BE49-F238E27FC236}">
              <a16:creationId xmlns:a16="http://schemas.microsoft.com/office/drawing/2014/main" id="{15ADD22C-F758-3EF3-9BD5-AB76EA84431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115045</xdr:rowOff>
    </xdr:from>
    <xdr:to>
      <xdr:col>2</xdr:col>
      <xdr:colOff>629770</xdr:colOff>
      <xdr:row>33</xdr:row>
      <xdr:rowOff>107899</xdr:rowOff>
    </xdr:to>
    <xdr:sp macro="" textlink="">
      <xdr:nvSpPr>
        <xdr:cNvPr id="368676" name="Text Box 36" hidden="1">
          <a:extLst>
            <a:ext uri="{FF2B5EF4-FFF2-40B4-BE49-F238E27FC236}">
              <a16:creationId xmlns:a16="http://schemas.microsoft.com/office/drawing/2014/main" id="{47BB5AC4-5074-BA5B-7C54-ED037804B719}"/>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15</xdr:row>
      <xdr:rowOff>180630</xdr:rowOff>
    </xdr:from>
    <xdr:to>
      <xdr:col>2</xdr:col>
      <xdr:colOff>629770</xdr:colOff>
      <xdr:row>23</xdr:row>
      <xdr:rowOff>65975</xdr:rowOff>
    </xdr:to>
    <xdr:sp macro="" textlink="">
      <xdr:nvSpPr>
        <xdr:cNvPr id="368690" name="Text Box 50" hidden="1">
          <a:extLst>
            <a:ext uri="{FF2B5EF4-FFF2-40B4-BE49-F238E27FC236}">
              <a16:creationId xmlns:a16="http://schemas.microsoft.com/office/drawing/2014/main" id="{7711F25E-6FE6-8319-E37B-DFEA65965AF8}"/>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8689" name="Text Box 49" hidden="1">
          <a:extLst>
            <a:ext uri="{FF2B5EF4-FFF2-40B4-BE49-F238E27FC236}">
              <a16:creationId xmlns:a16="http://schemas.microsoft.com/office/drawing/2014/main" id="{A01E0359-663E-45B1-F8C4-6BF3778BE4C7}"/>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8688" name="Text Box 48" hidden="1">
          <a:extLst>
            <a:ext uri="{FF2B5EF4-FFF2-40B4-BE49-F238E27FC236}">
              <a16:creationId xmlns:a16="http://schemas.microsoft.com/office/drawing/2014/main" id="{03ABED0D-8C5F-AA46-49F4-8686EC3573AD}"/>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197939</xdr:rowOff>
    </xdr:to>
    <xdr:sp macro="" textlink="">
      <xdr:nvSpPr>
        <xdr:cNvPr id="368687" name="Text Box 47" hidden="1">
          <a:extLst>
            <a:ext uri="{FF2B5EF4-FFF2-40B4-BE49-F238E27FC236}">
              <a16:creationId xmlns:a16="http://schemas.microsoft.com/office/drawing/2014/main" id="{A7AE8D2E-AD2B-DE3E-C254-6858EFE1A4D5}"/>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115045</xdr:rowOff>
    </xdr:from>
    <xdr:to>
      <xdr:col>2</xdr:col>
      <xdr:colOff>629770</xdr:colOff>
      <xdr:row>33</xdr:row>
      <xdr:rowOff>107899</xdr:rowOff>
    </xdr:to>
    <xdr:sp macro="" textlink="">
      <xdr:nvSpPr>
        <xdr:cNvPr id="368686" name="Text Box 46" hidden="1">
          <a:extLst>
            <a:ext uri="{FF2B5EF4-FFF2-40B4-BE49-F238E27FC236}">
              <a16:creationId xmlns:a16="http://schemas.microsoft.com/office/drawing/2014/main" id="{2D7BC3FA-B920-C678-1BF9-8135EA98F3CB}"/>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15</xdr:row>
      <xdr:rowOff>180630</xdr:rowOff>
    </xdr:from>
    <xdr:to>
      <xdr:col>2</xdr:col>
      <xdr:colOff>629770</xdr:colOff>
      <xdr:row>23</xdr:row>
      <xdr:rowOff>65975</xdr:rowOff>
    </xdr:to>
    <xdr:sp macro="" textlink="">
      <xdr:nvSpPr>
        <xdr:cNvPr id="368685" name="Text Box 45" hidden="1">
          <a:extLst>
            <a:ext uri="{FF2B5EF4-FFF2-40B4-BE49-F238E27FC236}">
              <a16:creationId xmlns:a16="http://schemas.microsoft.com/office/drawing/2014/main" id="{05E181ED-7B24-4C51-B65D-A59449995E6F}"/>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8684" name="Text Box 44" hidden="1">
          <a:extLst>
            <a:ext uri="{FF2B5EF4-FFF2-40B4-BE49-F238E27FC236}">
              <a16:creationId xmlns:a16="http://schemas.microsoft.com/office/drawing/2014/main" id="{8BA96226-1E32-B521-849D-8EFE22528694}"/>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8683" name="Text Box 43" hidden="1">
          <a:extLst>
            <a:ext uri="{FF2B5EF4-FFF2-40B4-BE49-F238E27FC236}">
              <a16:creationId xmlns:a16="http://schemas.microsoft.com/office/drawing/2014/main" id="{74EC23D4-16E1-C16F-8B6D-B25A38F1F1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197939</xdr:rowOff>
    </xdr:to>
    <xdr:sp macro="" textlink="">
      <xdr:nvSpPr>
        <xdr:cNvPr id="368682" name="Text Box 42" hidden="1">
          <a:extLst>
            <a:ext uri="{FF2B5EF4-FFF2-40B4-BE49-F238E27FC236}">
              <a16:creationId xmlns:a16="http://schemas.microsoft.com/office/drawing/2014/main" id="{B117B868-9615-C78D-F2EB-E018B1CC24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115045</xdr:rowOff>
    </xdr:from>
    <xdr:to>
      <xdr:col>2</xdr:col>
      <xdr:colOff>629770</xdr:colOff>
      <xdr:row>33</xdr:row>
      <xdr:rowOff>107899</xdr:rowOff>
    </xdr:to>
    <xdr:sp macro="" textlink="">
      <xdr:nvSpPr>
        <xdr:cNvPr id="368681" name="Text Box 41" hidden="1">
          <a:extLst>
            <a:ext uri="{FF2B5EF4-FFF2-40B4-BE49-F238E27FC236}">
              <a16:creationId xmlns:a16="http://schemas.microsoft.com/office/drawing/2014/main" id="{F88203FD-3B4F-FF36-E197-ABF3C13FA71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15</xdr:row>
      <xdr:rowOff>180630</xdr:rowOff>
    </xdr:from>
    <xdr:to>
      <xdr:col>2</xdr:col>
      <xdr:colOff>629770</xdr:colOff>
      <xdr:row>23</xdr:row>
      <xdr:rowOff>65975</xdr:rowOff>
    </xdr:to>
    <xdr:sp macro="" textlink="">
      <xdr:nvSpPr>
        <xdr:cNvPr id="368695" name="Text Box 55" hidden="1">
          <a:extLst>
            <a:ext uri="{FF2B5EF4-FFF2-40B4-BE49-F238E27FC236}">
              <a16:creationId xmlns:a16="http://schemas.microsoft.com/office/drawing/2014/main" id="{FDC1E52A-D64C-87B0-EB0F-0D6253E1FC01}"/>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8694" name="Text Box 54" hidden="1">
          <a:extLst>
            <a:ext uri="{FF2B5EF4-FFF2-40B4-BE49-F238E27FC236}">
              <a16:creationId xmlns:a16="http://schemas.microsoft.com/office/drawing/2014/main" id="{814A2A16-56CE-C33D-8F50-7FD28A076214}"/>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8693" name="Text Box 53" hidden="1">
          <a:extLst>
            <a:ext uri="{FF2B5EF4-FFF2-40B4-BE49-F238E27FC236}">
              <a16:creationId xmlns:a16="http://schemas.microsoft.com/office/drawing/2014/main" id="{C0F847CA-881A-93F2-0F76-0580723B2A04}"/>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197939</xdr:rowOff>
    </xdr:to>
    <xdr:sp macro="" textlink="">
      <xdr:nvSpPr>
        <xdr:cNvPr id="368692" name="Text Box 52" hidden="1">
          <a:extLst>
            <a:ext uri="{FF2B5EF4-FFF2-40B4-BE49-F238E27FC236}">
              <a16:creationId xmlns:a16="http://schemas.microsoft.com/office/drawing/2014/main" id="{13277772-6854-AC24-6284-BB93AE7F09D1}"/>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115045</xdr:rowOff>
    </xdr:from>
    <xdr:to>
      <xdr:col>2</xdr:col>
      <xdr:colOff>629770</xdr:colOff>
      <xdr:row>33</xdr:row>
      <xdr:rowOff>107899</xdr:rowOff>
    </xdr:to>
    <xdr:sp macro="" textlink="">
      <xdr:nvSpPr>
        <xdr:cNvPr id="368691" name="Text Box 51" hidden="1">
          <a:extLst>
            <a:ext uri="{FF2B5EF4-FFF2-40B4-BE49-F238E27FC236}">
              <a16:creationId xmlns:a16="http://schemas.microsoft.com/office/drawing/2014/main" id="{C6B3F612-F072-F017-2A4C-044DA74B7C03}"/>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15</xdr:row>
      <xdr:rowOff>180630</xdr:rowOff>
    </xdr:from>
    <xdr:to>
      <xdr:col>2</xdr:col>
      <xdr:colOff>629770</xdr:colOff>
      <xdr:row>23</xdr:row>
      <xdr:rowOff>65975</xdr:rowOff>
    </xdr:to>
    <xdr:sp macro="" textlink="">
      <xdr:nvSpPr>
        <xdr:cNvPr id="368700" name="Text Box 60" hidden="1">
          <a:extLst>
            <a:ext uri="{FF2B5EF4-FFF2-40B4-BE49-F238E27FC236}">
              <a16:creationId xmlns:a16="http://schemas.microsoft.com/office/drawing/2014/main" id="{A9A57CF0-E9A9-9B55-FF16-23F194A8A81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8699" name="Text Box 59" hidden="1">
          <a:extLst>
            <a:ext uri="{FF2B5EF4-FFF2-40B4-BE49-F238E27FC236}">
              <a16:creationId xmlns:a16="http://schemas.microsoft.com/office/drawing/2014/main" id="{24004578-4846-EB7F-0B1B-77916418452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8698" name="Text Box 58" hidden="1">
          <a:extLst>
            <a:ext uri="{FF2B5EF4-FFF2-40B4-BE49-F238E27FC236}">
              <a16:creationId xmlns:a16="http://schemas.microsoft.com/office/drawing/2014/main" id="{00DF482C-BFEE-8AC2-D0E9-00581F96774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197939</xdr:rowOff>
    </xdr:to>
    <xdr:sp macro="" textlink="">
      <xdr:nvSpPr>
        <xdr:cNvPr id="368697" name="Text Box 57" hidden="1">
          <a:extLst>
            <a:ext uri="{FF2B5EF4-FFF2-40B4-BE49-F238E27FC236}">
              <a16:creationId xmlns:a16="http://schemas.microsoft.com/office/drawing/2014/main" id="{9BEC5A8A-18D8-2B7A-B07A-D444F76FA7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115045</xdr:rowOff>
    </xdr:from>
    <xdr:to>
      <xdr:col>2</xdr:col>
      <xdr:colOff>629770</xdr:colOff>
      <xdr:row>33</xdr:row>
      <xdr:rowOff>107899</xdr:rowOff>
    </xdr:to>
    <xdr:sp macro="" textlink="">
      <xdr:nvSpPr>
        <xdr:cNvPr id="368696" name="Text Box 56" hidden="1">
          <a:extLst>
            <a:ext uri="{FF2B5EF4-FFF2-40B4-BE49-F238E27FC236}">
              <a16:creationId xmlns:a16="http://schemas.microsoft.com/office/drawing/2014/main" id="{353E3DC0-EDFD-0EB5-5995-A0F00192898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15</xdr:row>
      <xdr:rowOff>180630</xdr:rowOff>
    </xdr:from>
    <xdr:to>
      <xdr:col>2</xdr:col>
      <xdr:colOff>629770</xdr:colOff>
      <xdr:row>23</xdr:row>
      <xdr:rowOff>65975</xdr:rowOff>
    </xdr:to>
    <xdr:sp macro="" textlink="">
      <xdr:nvSpPr>
        <xdr:cNvPr id="368705" name="Text Box 65" hidden="1">
          <a:extLst>
            <a:ext uri="{FF2B5EF4-FFF2-40B4-BE49-F238E27FC236}">
              <a16:creationId xmlns:a16="http://schemas.microsoft.com/office/drawing/2014/main" id="{BCFF4B25-E5B9-AA5D-5229-68C68656CE8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8704" name="Text Box 64" hidden="1">
          <a:extLst>
            <a:ext uri="{FF2B5EF4-FFF2-40B4-BE49-F238E27FC236}">
              <a16:creationId xmlns:a16="http://schemas.microsoft.com/office/drawing/2014/main" id="{F6DF3629-36EC-B614-EFDF-5ADCBC180F59}"/>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8703" name="Text Box 63" hidden="1">
          <a:extLst>
            <a:ext uri="{FF2B5EF4-FFF2-40B4-BE49-F238E27FC236}">
              <a16:creationId xmlns:a16="http://schemas.microsoft.com/office/drawing/2014/main" id="{0CD58E68-BB3F-D49F-2387-D288C2A83DBB}"/>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197939</xdr:rowOff>
    </xdr:to>
    <xdr:sp macro="" textlink="">
      <xdr:nvSpPr>
        <xdr:cNvPr id="368702" name="Text Box 62" hidden="1">
          <a:extLst>
            <a:ext uri="{FF2B5EF4-FFF2-40B4-BE49-F238E27FC236}">
              <a16:creationId xmlns:a16="http://schemas.microsoft.com/office/drawing/2014/main" id="{FA89114C-2202-074B-7EE1-F85ED577DAC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115045</xdr:rowOff>
    </xdr:from>
    <xdr:to>
      <xdr:col>2</xdr:col>
      <xdr:colOff>629770</xdr:colOff>
      <xdr:row>33</xdr:row>
      <xdr:rowOff>107899</xdr:rowOff>
    </xdr:to>
    <xdr:sp macro="" textlink="">
      <xdr:nvSpPr>
        <xdr:cNvPr id="368701" name="Text Box 61" hidden="1">
          <a:extLst>
            <a:ext uri="{FF2B5EF4-FFF2-40B4-BE49-F238E27FC236}">
              <a16:creationId xmlns:a16="http://schemas.microsoft.com/office/drawing/2014/main" id="{54E42347-F8C2-6406-C389-6C02F904E4FD}"/>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15</xdr:row>
      <xdr:rowOff>180630</xdr:rowOff>
    </xdr:from>
    <xdr:to>
      <xdr:col>2</xdr:col>
      <xdr:colOff>629770</xdr:colOff>
      <xdr:row>23</xdr:row>
      <xdr:rowOff>65975</xdr:rowOff>
    </xdr:to>
    <xdr:sp macro="" textlink="">
      <xdr:nvSpPr>
        <xdr:cNvPr id="368710" name="Text Box 70" hidden="1">
          <a:extLst>
            <a:ext uri="{FF2B5EF4-FFF2-40B4-BE49-F238E27FC236}">
              <a16:creationId xmlns:a16="http://schemas.microsoft.com/office/drawing/2014/main" id="{620D19D9-8941-59E1-21EB-D469DA596E55}"/>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8709" name="Text Box 69" hidden="1">
          <a:extLst>
            <a:ext uri="{FF2B5EF4-FFF2-40B4-BE49-F238E27FC236}">
              <a16:creationId xmlns:a16="http://schemas.microsoft.com/office/drawing/2014/main" id="{E4F97E73-D075-DC68-01AC-D8C07C6B105E}"/>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8708" name="Text Box 68" hidden="1">
          <a:extLst>
            <a:ext uri="{FF2B5EF4-FFF2-40B4-BE49-F238E27FC236}">
              <a16:creationId xmlns:a16="http://schemas.microsoft.com/office/drawing/2014/main" id="{6DD5055D-B86F-5DA6-59A7-11BE0FB6E3C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197939</xdr:rowOff>
    </xdr:to>
    <xdr:sp macro="" textlink="">
      <xdr:nvSpPr>
        <xdr:cNvPr id="368707" name="Text Box 67" hidden="1">
          <a:extLst>
            <a:ext uri="{FF2B5EF4-FFF2-40B4-BE49-F238E27FC236}">
              <a16:creationId xmlns:a16="http://schemas.microsoft.com/office/drawing/2014/main" id="{7B55DFC5-B27A-07CB-E0C3-31745AF1A2D6}"/>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115045</xdr:rowOff>
    </xdr:from>
    <xdr:to>
      <xdr:col>2</xdr:col>
      <xdr:colOff>629770</xdr:colOff>
      <xdr:row>33</xdr:row>
      <xdr:rowOff>107899</xdr:rowOff>
    </xdr:to>
    <xdr:sp macro="" textlink="">
      <xdr:nvSpPr>
        <xdr:cNvPr id="368706" name="Text Box 66" hidden="1">
          <a:extLst>
            <a:ext uri="{FF2B5EF4-FFF2-40B4-BE49-F238E27FC236}">
              <a16:creationId xmlns:a16="http://schemas.microsoft.com/office/drawing/2014/main" id="{EE1D9171-9370-117A-5484-661AD4B4CE1E}"/>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15</xdr:row>
      <xdr:rowOff>180630</xdr:rowOff>
    </xdr:from>
    <xdr:to>
      <xdr:col>2</xdr:col>
      <xdr:colOff>629770</xdr:colOff>
      <xdr:row>23</xdr:row>
      <xdr:rowOff>65975</xdr:rowOff>
    </xdr:to>
    <xdr:sp macro="" textlink="">
      <xdr:nvSpPr>
        <xdr:cNvPr id="369669" name="Text Box 5" hidden="1">
          <a:extLst>
            <a:ext uri="{FF2B5EF4-FFF2-40B4-BE49-F238E27FC236}">
              <a16:creationId xmlns:a16="http://schemas.microsoft.com/office/drawing/2014/main" id="{DF34A5F2-FB6C-C7FE-24EF-249D0420052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9668" name="Text Box 4" hidden="1">
          <a:extLst>
            <a:ext uri="{FF2B5EF4-FFF2-40B4-BE49-F238E27FC236}">
              <a16:creationId xmlns:a16="http://schemas.microsoft.com/office/drawing/2014/main" id="{C4430639-9E3F-0874-38A2-AC70237CCAA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9667" name="Text Box 3" hidden="1">
          <a:extLst>
            <a:ext uri="{FF2B5EF4-FFF2-40B4-BE49-F238E27FC236}">
              <a16:creationId xmlns:a16="http://schemas.microsoft.com/office/drawing/2014/main" id="{FCBAA3EA-1CBE-0631-2898-4BB3BCA8707C}"/>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197939</xdr:rowOff>
    </xdr:to>
    <xdr:sp macro="" textlink="">
      <xdr:nvSpPr>
        <xdr:cNvPr id="369666" name="Text Box 2" hidden="1">
          <a:extLst>
            <a:ext uri="{FF2B5EF4-FFF2-40B4-BE49-F238E27FC236}">
              <a16:creationId xmlns:a16="http://schemas.microsoft.com/office/drawing/2014/main" id="{9B0B4A0F-2135-AE80-5492-5FA4D2E0BAF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115045</xdr:rowOff>
    </xdr:from>
    <xdr:to>
      <xdr:col>2</xdr:col>
      <xdr:colOff>629770</xdr:colOff>
      <xdr:row>33</xdr:row>
      <xdr:rowOff>107899</xdr:rowOff>
    </xdr:to>
    <xdr:sp macro="" textlink="">
      <xdr:nvSpPr>
        <xdr:cNvPr id="369665" name="Text Box 1" hidden="1">
          <a:extLst>
            <a:ext uri="{FF2B5EF4-FFF2-40B4-BE49-F238E27FC236}">
              <a16:creationId xmlns:a16="http://schemas.microsoft.com/office/drawing/2014/main" id="{F57C7DB4-C658-7B53-C185-CAEC2C20ADC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15</xdr:row>
      <xdr:rowOff>180630</xdr:rowOff>
    </xdr:from>
    <xdr:to>
      <xdr:col>2</xdr:col>
      <xdr:colOff>629770</xdr:colOff>
      <xdr:row>23</xdr:row>
      <xdr:rowOff>65975</xdr:rowOff>
    </xdr:to>
    <xdr:sp macro="" textlink="">
      <xdr:nvSpPr>
        <xdr:cNvPr id="369674" name="Text Box 10" hidden="1">
          <a:extLst>
            <a:ext uri="{FF2B5EF4-FFF2-40B4-BE49-F238E27FC236}">
              <a16:creationId xmlns:a16="http://schemas.microsoft.com/office/drawing/2014/main" id="{88709EC6-37A5-344A-C262-443DFB6285D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9673" name="Text Box 9" hidden="1">
          <a:extLst>
            <a:ext uri="{FF2B5EF4-FFF2-40B4-BE49-F238E27FC236}">
              <a16:creationId xmlns:a16="http://schemas.microsoft.com/office/drawing/2014/main" id="{80DC9ADC-D829-E594-92CF-45EF0EA7BC0B}"/>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9672" name="Text Box 8" hidden="1">
          <a:extLst>
            <a:ext uri="{FF2B5EF4-FFF2-40B4-BE49-F238E27FC236}">
              <a16:creationId xmlns:a16="http://schemas.microsoft.com/office/drawing/2014/main" id="{B0B3E361-0521-5083-4A3E-876B49598DC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197939</xdr:rowOff>
    </xdr:to>
    <xdr:sp macro="" textlink="">
      <xdr:nvSpPr>
        <xdr:cNvPr id="369671" name="Text Box 7" hidden="1">
          <a:extLst>
            <a:ext uri="{FF2B5EF4-FFF2-40B4-BE49-F238E27FC236}">
              <a16:creationId xmlns:a16="http://schemas.microsoft.com/office/drawing/2014/main" id="{6B03BEDE-9F96-F085-4960-B602E304CAD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115045</xdr:rowOff>
    </xdr:from>
    <xdr:to>
      <xdr:col>2</xdr:col>
      <xdr:colOff>629770</xdr:colOff>
      <xdr:row>33</xdr:row>
      <xdr:rowOff>107899</xdr:rowOff>
    </xdr:to>
    <xdr:sp macro="" textlink="">
      <xdr:nvSpPr>
        <xdr:cNvPr id="369670" name="Text Box 6" hidden="1">
          <a:extLst>
            <a:ext uri="{FF2B5EF4-FFF2-40B4-BE49-F238E27FC236}">
              <a16:creationId xmlns:a16="http://schemas.microsoft.com/office/drawing/2014/main" id="{342BDA0F-5AA2-33A5-D1F5-B80F5A3379C3}"/>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254135</xdr:rowOff>
    </xdr:from>
    <xdr:to>
      <xdr:col>2</xdr:col>
      <xdr:colOff>636120</xdr:colOff>
      <xdr:row>26</xdr:row>
      <xdr:rowOff>165013</xdr:rowOff>
    </xdr:to>
    <xdr:sp macro="" textlink="">
      <xdr:nvSpPr>
        <xdr:cNvPr id="369675" name="Text Box 11" hidden="1">
          <a:extLst>
            <a:ext uri="{FF2B5EF4-FFF2-40B4-BE49-F238E27FC236}">
              <a16:creationId xmlns:a16="http://schemas.microsoft.com/office/drawing/2014/main" id="{8078609D-5610-567E-6E52-638FF383D43F}"/>
            </a:ext>
          </a:extLst>
        </xdr:cNvPr>
        <xdr:cNvSpPr txBox="1">
          <a:spLocks noChangeArrowheads="1"/>
        </xdr:cNvSpPr>
      </xdr:nvSpPr>
      <xdr:spPr bwMode="auto">
        <a:xfrm>
          <a:off x="4870450" y="4864100"/>
          <a:ext cx="14287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15</xdr:row>
      <xdr:rowOff>180630</xdr:rowOff>
    </xdr:from>
    <xdr:to>
      <xdr:col>2</xdr:col>
      <xdr:colOff>629770</xdr:colOff>
      <xdr:row>23</xdr:row>
      <xdr:rowOff>65975</xdr:rowOff>
    </xdr:to>
    <xdr:sp macro="" textlink="">
      <xdr:nvSpPr>
        <xdr:cNvPr id="369681" name="Text Box 17" hidden="1">
          <a:extLst>
            <a:ext uri="{FF2B5EF4-FFF2-40B4-BE49-F238E27FC236}">
              <a16:creationId xmlns:a16="http://schemas.microsoft.com/office/drawing/2014/main" id="{CFE26CDE-EFE4-B140-C3C8-3E35F7EE07E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9680" name="Text Box 16" hidden="1">
          <a:extLst>
            <a:ext uri="{FF2B5EF4-FFF2-40B4-BE49-F238E27FC236}">
              <a16:creationId xmlns:a16="http://schemas.microsoft.com/office/drawing/2014/main" id="{1843826B-0AE8-CC59-385B-6D6E21A7D2D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9679" name="Text Box 15" hidden="1">
          <a:extLst>
            <a:ext uri="{FF2B5EF4-FFF2-40B4-BE49-F238E27FC236}">
              <a16:creationId xmlns:a16="http://schemas.microsoft.com/office/drawing/2014/main" id="{16C002D6-6AEA-5D87-3FCB-5F6E3E26A1A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197939</xdr:rowOff>
    </xdr:to>
    <xdr:sp macro="" textlink="">
      <xdr:nvSpPr>
        <xdr:cNvPr id="369678" name="Text Box 14" hidden="1">
          <a:extLst>
            <a:ext uri="{FF2B5EF4-FFF2-40B4-BE49-F238E27FC236}">
              <a16:creationId xmlns:a16="http://schemas.microsoft.com/office/drawing/2014/main" id="{60A1CE44-8B28-B5FF-13A5-9D3C0961FC6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115045</xdr:rowOff>
    </xdr:from>
    <xdr:to>
      <xdr:col>2</xdr:col>
      <xdr:colOff>629770</xdr:colOff>
      <xdr:row>33</xdr:row>
      <xdr:rowOff>107899</xdr:rowOff>
    </xdr:to>
    <xdr:sp macro="" textlink="">
      <xdr:nvSpPr>
        <xdr:cNvPr id="369677" name="Text Box 13" hidden="1">
          <a:extLst>
            <a:ext uri="{FF2B5EF4-FFF2-40B4-BE49-F238E27FC236}">
              <a16:creationId xmlns:a16="http://schemas.microsoft.com/office/drawing/2014/main" id="{1FA4D7B1-7C98-01DC-5DF6-B0B8FCCA8E94}"/>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22</xdr:row>
      <xdr:rowOff>254135</xdr:rowOff>
    </xdr:from>
    <xdr:to>
      <xdr:col>2</xdr:col>
      <xdr:colOff>629770</xdr:colOff>
      <xdr:row>26</xdr:row>
      <xdr:rowOff>165013</xdr:rowOff>
    </xdr:to>
    <xdr:sp macro="" textlink="">
      <xdr:nvSpPr>
        <xdr:cNvPr id="369676" name="Text Box 12" hidden="1">
          <a:extLst>
            <a:ext uri="{FF2B5EF4-FFF2-40B4-BE49-F238E27FC236}">
              <a16:creationId xmlns:a16="http://schemas.microsoft.com/office/drawing/2014/main" id="{1FAD3B03-4033-608D-CD2A-991996A0C6E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15</xdr:row>
      <xdr:rowOff>180630</xdr:rowOff>
    </xdr:from>
    <xdr:to>
      <xdr:col>2</xdr:col>
      <xdr:colOff>629770</xdr:colOff>
      <xdr:row>23</xdr:row>
      <xdr:rowOff>65975</xdr:rowOff>
    </xdr:to>
    <xdr:sp macro="" textlink="">
      <xdr:nvSpPr>
        <xdr:cNvPr id="369687" name="Text Box 23" hidden="1">
          <a:extLst>
            <a:ext uri="{FF2B5EF4-FFF2-40B4-BE49-F238E27FC236}">
              <a16:creationId xmlns:a16="http://schemas.microsoft.com/office/drawing/2014/main" id="{03A337AB-F910-A012-AA13-1B784E958E9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9686" name="Text Box 22" hidden="1">
          <a:extLst>
            <a:ext uri="{FF2B5EF4-FFF2-40B4-BE49-F238E27FC236}">
              <a16:creationId xmlns:a16="http://schemas.microsoft.com/office/drawing/2014/main" id="{038B49EC-39AA-D0F6-494F-E8A5C905343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9685" name="Text Box 21" hidden="1">
          <a:extLst>
            <a:ext uri="{FF2B5EF4-FFF2-40B4-BE49-F238E27FC236}">
              <a16:creationId xmlns:a16="http://schemas.microsoft.com/office/drawing/2014/main" id="{65C452BB-9A8A-AC70-21AF-EDFD3233DE4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197939</xdr:rowOff>
    </xdr:to>
    <xdr:sp macro="" textlink="">
      <xdr:nvSpPr>
        <xdr:cNvPr id="369684" name="Text Box 20" hidden="1">
          <a:extLst>
            <a:ext uri="{FF2B5EF4-FFF2-40B4-BE49-F238E27FC236}">
              <a16:creationId xmlns:a16="http://schemas.microsoft.com/office/drawing/2014/main" id="{08327114-7EA9-FC5F-840A-D6DBF1C44631}"/>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115045</xdr:rowOff>
    </xdr:from>
    <xdr:to>
      <xdr:col>2</xdr:col>
      <xdr:colOff>629770</xdr:colOff>
      <xdr:row>33</xdr:row>
      <xdr:rowOff>107899</xdr:rowOff>
    </xdr:to>
    <xdr:sp macro="" textlink="">
      <xdr:nvSpPr>
        <xdr:cNvPr id="369683" name="Text Box 19" hidden="1">
          <a:extLst>
            <a:ext uri="{FF2B5EF4-FFF2-40B4-BE49-F238E27FC236}">
              <a16:creationId xmlns:a16="http://schemas.microsoft.com/office/drawing/2014/main" id="{251D830C-E06E-606D-7130-C95C0B44C172}"/>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22</xdr:row>
      <xdr:rowOff>254135</xdr:rowOff>
    </xdr:from>
    <xdr:to>
      <xdr:col>2</xdr:col>
      <xdr:colOff>629770</xdr:colOff>
      <xdr:row>26</xdr:row>
      <xdr:rowOff>165013</xdr:rowOff>
    </xdr:to>
    <xdr:sp macro="" textlink="">
      <xdr:nvSpPr>
        <xdr:cNvPr id="369682" name="Text Box 18" hidden="1">
          <a:extLst>
            <a:ext uri="{FF2B5EF4-FFF2-40B4-BE49-F238E27FC236}">
              <a16:creationId xmlns:a16="http://schemas.microsoft.com/office/drawing/2014/main" id="{0B84B283-A18C-2335-2A5B-56AA468E20E8}"/>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15</xdr:row>
      <xdr:rowOff>180630</xdr:rowOff>
    </xdr:from>
    <xdr:to>
      <xdr:col>2</xdr:col>
      <xdr:colOff>629770</xdr:colOff>
      <xdr:row>23</xdr:row>
      <xdr:rowOff>65975</xdr:rowOff>
    </xdr:to>
    <xdr:sp macro="" textlink="">
      <xdr:nvSpPr>
        <xdr:cNvPr id="369693" name="Text Box 29" hidden="1">
          <a:extLst>
            <a:ext uri="{FF2B5EF4-FFF2-40B4-BE49-F238E27FC236}">
              <a16:creationId xmlns:a16="http://schemas.microsoft.com/office/drawing/2014/main" id="{36B09F75-84FC-D8EB-CDF1-40FD5DECE990}"/>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9692" name="Text Box 28" hidden="1">
          <a:extLst>
            <a:ext uri="{FF2B5EF4-FFF2-40B4-BE49-F238E27FC236}">
              <a16:creationId xmlns:a16="http://schemas.microsoft.com/office/drawing/2014/main" id="{4CCA120D-BB93-F0E9-3F9F-312A23304B38}"/>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9691" name="Text Box 27" hidden="1">
          <a:extLst>
            <a:ext uri="{FF2B5EF4-FFF2-40B4-BE49-F238E27FC236}">
              <a16:creationId xmlns:a16="http://schemas.microsoft.com/office/drawing/2014/main" id="{A54C6354-93A1-D989-CF4F-BA6792C9FD26}"/>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197939</xdr:rowOff>
    </xdr:to>
    <xdr:sp macro="" textlink="">
      <xdr:nvSpPr>
        <xdr:cNvPr id="369690" name="Text Box 26" hidden="1">
          <a:extLst>
            <a:ext uri="{FF2B5EF4-FFF2-40B4-BE49-F238E27FC236}">
              <a16:creationId xmlns:a16="http://schemas.microsoft.com/office/drawing/2014/main" id="{49758871-A0F2-36FB-CE67-A5D68147D41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115045</xdr:rowOff>
    </xdr:from>
    <xdr:to>
      <xdr:col>2</xdr:col>
      <xdr:colOff>629770</xdr:colOff>
      <xdr:row>33</xdr:row>
      <xdr:rowOff>107899</xdr:rowOff>
    </xdr:to>
    <xdr:sp macro="" textlink="">
      <xdr:nvSpPr>
        <xdr:cNvPr id="369689" name="Text Box 25" hidden="1">
          <a:extLst>
            <a:ext uri="{FF2B5EF4-FFF2-40B4-BE49-F238E27FC236}">
              <a16:creationId xmlns:a16="http://schemas.microsoft.com/office/drawing/2014/main" id="{CA085CCE-4ED4-D02D-4B44-702D5F81EA2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22</xdr:row>
      <xdr:rowOff>254135</xdr:rowOff>
    </xdr:from>
    <xdr:to>
      <xdr:col>2</xdr:col>
      <xdr:colOff>629770</xdr:colOff>
      <xdr:row>26</xdr:row>
      <xdr:rowOff>165013</xdr:rowOff>
    </xdr:to>
    <xdr:sp macro="" textlink="">
      <xdr:nvSpPr>
        <xdr:cNvPr id="369688" name="Text Box 24" hidden="1">
          <a:extLst>
            <a:ext uri="{FF2B5EF4-FFF2-40B4-BE49-F238E27FC236}">
              <a16:creationId xmlns:a16="http://schemas.microsoft.com/office/drawing/2014/main" id="{776DC2D4-0BD2-CEAF-A249-908ED88A180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15</xdr:row>
      <xdr:rowOff>180630</xdr:rowOff>
    </xdr:from>
    <xdr:to>
      <xdr:col>2</xdr:col>
      <xdr:colOff>629770</xdr:colOff>
      <xdr:row>23</xdr:row>
      <xdr:rowOff>65975</xdr:rowOff>
    </xdr:to>
    <xdr:sp macro="" textlink="">
      <xdr:nvSpPr>
        <xdr:cNvPr id="369699" name="Text Box 35" hidden="1">
          <a:extLst>
            <a:ext uri="{FF2B5EF4-FFF2-40B4-BE49-F238E27FC236}">
              <a16:creationId xmlns:a16="http://schemas.microsoft.com/office/drawing/2014/main" id="{C009AF1E-E101-64EC-C8BE-4CAA77CC58B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9698" name="Text Box 34" hidden="1">
          <a:extLst>
            <a:ext uri="{FF2B5EF4-FFF2-40B4-BE49-F238E27FC236}">
              <a16:creationId xmlns:a16="http://schemas.microsoft.com/office/drawing/2014/main" id="{193FCC01-F7AC-7FA3-43CF-752FF4E72D8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9697" name="Text Box 33" hidden="1">
          <a:extLst>
            <a:ext uri="{FF2B5EF4-FFF2-40B4-BE49-F238E27FC236}">
              <a16:creationId xmlns:a16="http://schemas.microsoft.com/office/drawing/2014/main" id="{0EA09CC2-C053-FE1C-A130-AED6FDDD63E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197939</xdr:rowOff>
    </xdr:to>
    <xdr:sp macro="" textlink="">
      <xdr:nvSpPr>
        <xdr:cNvPr id="369696" name="Text Box 32" hidden="1">
          <a:extLst>
            <a:ext uri="{FF2B5EF4-FFF2-40B4-BE49-F238E27FC236}">
              <a16:creationId xmlns:a16="http://schemas.microsoft.com/office/drawing/2014/main" id="{C991E4B6-ED8B-3A7B-F1AF-F5B0E7B53260}"/>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115045</xdr:rowOff>
    </xdr:from>
    <xdr:to>
      <xdr:col>2</xdr:col>
      <xdr:colOff>629770</xdr:colOff>
      <xdr:row>33</xdr:row>
      <xdr:rowOff>107899</xdr:rowOff>
    </xdr:to>
    <xdr:sp macro="" textlink="">
      <xdr:nvSpPr>
        <xdr:cNvPr id="369695" name="Text Box 31" hidden="1">
          <a:extLst>
            <a:ext uri="{FF2B5EF4-FFF2-40B4-BE49-F238E27FC236}">
              <a16:creationId xmlns:a16="http://schemas.microsoft.com/office/drawing/2014/main" id="{70B22433-69D2-9D51-1263-19B9818E4F9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22</xdr:row>
      <xdr:rowOff>254135</xdr:rowOff>
    </xdr:from>
    <xdr:to>
      <xdr:col>2</xdr:col>
      <xdr:colOff>629770</xdr:colOff>
      <xdr:row>26</xdr:row>
      <xdr:rowOff>165013</xdr:rowOff>
    </xdr:to>
    <xdr:sp macro="" textlink="">
      <xdr:nvSpPr>
        <xdr:cNvPr id="369694" name="Text Box 30" hidden="1">
          <a:extLst>
            <a:ext uri="{FF2B5EF4-FFF2-40B4-BE49-F238E27FC236}">
              <a16:creationId xmlns:a16="http://schemas.microsoft.com/office/drawing/2014/main" id="{707C21F4-2022-EEED-33FD-285FD446C0E6}"/>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149226</xdr:rowOff>
    </xdr:from>
    <xdr:to>
      <xdr:col>2</xdr:col>
      <xdr:colOff>629770</xdr:colOff>
      <xdr:row>24</xdr:row>
      <xdr:rowOff>84916</xdr:rowOff>
    </xdr:to>
    <xdr:sp macro="" textlink="">
      <xdr:nvSpPr>
        <xdr:cNvPr id="369705" name="Text Box 41" hidden="1">
          <a:extLst>
            <a:ext uri="{FF2B5EF4-FFF2-40B4-BE49-F238E27FC236}">
              <a16:creationId xmlns:a16="http://schemas.microsoft.com/office/drawing/2014/main" id="{F1BED5FD-CFA0-05B4-7015-EAD49E07A377}"/>
            </a:ext>
          </a:extLst>
        </xdr:cNvPr>
        <xdr:cNvSpPr txBox="1">
          <a:spLocks noChangeArrowheads="1"/>
        </xdr:cNvSpPr>
      </xdr:nvSpPr>
      <xdr:spPr bwMode="auto">
        <a:xfrm>
          <a:off x="4883150" y="3562350"/>
          <a:ext cx="1409700" cy="157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10</xdr:row>
      <xdr:rowOff>201084</xdr:rowOff>
    </xdr:to>
    <xdr:sp macro="" textlink="">
      <xdr:nvSpPr>
        <xdr:cNvPr id="369704" name="Text Box 40" hidden="1">
          <a:extLst>
            <a:ext uri="{FF2B5EF4-FFF2-40B4-BE49-F238E27FC236}">
              <a16:creationId xmlns:a16="http://schemas.microsoft.com/office/drawing/2014/main" id="{0683CA68-77A6-07F3-F221-9B4BBD4E5AC6}"/>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2</xdr:col>
      <xdr:colOff>477370</xdr:colOff>
      <xdr:row>11</xdr:row>
      <xdr:rowOff>103591</xdr:rowOff>
    </xdr:to>
    <xdr:sp macro="" textlink="">
      <xdr:nvSpPr>
        <xdr:cNvPr id="369703" name="Text Box 39" hidden="1">
          <a:extLst>
            <a:ext uri="{FF2B5EF4-FFF2-40B4-BE49-F238E27FC236}">
              <a16:creationId xmlns:a16="http://schemas.microsoft.com/office/drawing/2014/main" id="{E42FC10D-713E-B7E2-CFB6-95DF9BC82C1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33</xdr:col>
      <xdr:colOff>485962</xdr:colOff>
      <xdr:row>12</xdr:row>
      <xdr:rowOff>208181</xdr:rowOff>
    </xdr:to>
    <xdr:sp macro="" textlink="">
      <xdr:nvSpPr>
        <xdr:cNvPr id="369702" name="Text Box 38" hidden="1">
          <a:extLst>
            <a:ext uri="{FF2B5EF4-FFF2-40B4-BE49-F238E27FC236}">
              <a16:creationId xmlns:a16="http://schemas.microsoft.com/office/drawing/2014/main" id="{A32BB5EF-C65A-ACED-CC6E-5E2367FE717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297330</xdr:rowOff>
    </xdr:from>
    <xdr:to>
      <xdr:col>2</xdr:col>
      <xdr:colOff>629770</xdr:colOff>
      <xdr:row>36</xdr:row>
      <xdr:rowOff>6599</xdr:rowOff>
    </xdr:to>
    <xdr:sp macro="" textlink="">
      <xdr:nvSpPr>
        <xdr:cNvPr id="369701" name="Text Box 37" hidden="1">
          <a:extLst>
            <a:ext uri="{FF2B5EF4-FFF2-40B4-BE49-F238E27FC236}">
              <a16:creationId xmlns:a16="http://schemas.microsoft.com/office/drawing/2014/main" id="{C260E017-D213-3A88-9697-EB8FBFEA416E}"/>
            </a:ext>
          </a:extLst>
        </xdr:cNvPr>
        <xdr:cNvSpPr txBox="1">
          <a:spLocks noChangeArrowheads="1"/>
        </xdr:cNvSpPr>
      </xdr:nvSpPr>
      <xdr:spPr bwMode="auto">
        <a:xfrm>
          <a:off x="4864100" y="6648450"/>
          <a:ext cx="1428750" cy="116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24</xdr:row>
      <xdr:rowOff>163107</xdr:rowOff>
    </xdr:from>
    <xdr:to>
      <xdr:col>2</xdr:col>
      <xdr:colOff>629770</xdr:colOff>
      <xdr:row>28</xdr:row>
      <xdr:rowOff>1743</xdr:rowOff>
    </xdr:to>
    <xdr:sp macro="" textlink="">
      <xdr:nvSpPr>
        <xdr:cNvPr id="369700" name="Text Box 36" hidden="1">
          <a:extLst>
            <a:ext uri="{FF2B5EF4-FFF2-40B4-BE49-F238E27FC236}">
              <a16:creationId xmlns:a16="http://schemas.microsoft.com/office/drawing/2014/main" id="{E45EC4C2-5710-8E63-3415-67C863B5D92F}"/>
            </a:ext>
          </a:extLst>
        </xdr:cNvPr>
        <xdr:cNvSpPr txBox="1">
          <a:spLocks noChangeArrowheads="1"/>
        </xdr:cNvSpPr>
      </xdr:nvSpPr>
      <xdr:spPr bwMode="auto">
        <a:xfrm>
          <a:off x="4864100" y="5219700"/>
          <a:ext cx="1428750" cy="60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149226</xdr:rowOff>
    </xdr:from>
    <xdr:to>
      <xdr:col>6</xdr:col>
      <xdr:colOff>66301</xdr:colOff>
      <xdr:row>39</xdr:row>
      <xdr:rowOff>617257</xdr:rowOff>
    </xdr:to>
    <xdr:sp macro="" textlink="">
      <xdr:nvSpPr>
        <xdr:cNvPr id="369711" name="Text Box 47" hidden="1">
          <a:extLst>
            <a:ext uri="{FF2B5EF4-FFF2-40B4-BE49-F238E27FC236}">
              <a16:creationId xmlns:a16="http://schemas.microsoft.com/office/drawing/2014/main" id="{502BB7C8-A86A-CE1B-3C84-B0CB95CAB554}"/>
            </a:ext>
          </a:extLst>
        </xdr:cNvPr>
        <xdr:cNvSpPr txBox="1">
          <a:spLocks noChangeArrowheads="1"/>
        </xdr:cNvSpPr>
      </xdr:nvSpPr>
      <xdr:spPr bwMode="auto">
        <a:xfrm>
          <a:off x="4883150" y="3556000"/>
          <a:ext cx="4203700" cy="544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29</xdr:row>
      <xdr:rowOff>2801</xdr:rowOff>
    </xdr:to>
    <xdr:sp macro="" textlink="">
      <xdr:nvSpPr>
        <xdr:cNvPr id="369710" name="Text Box 46" hidden="1">
          <a:extLst>
            <a:ext uri="{FF2B5EF4-FFF2-40B4-BE49-F238E27FC236}">
              <a16:creationId xmlns:a16="http://schemas.microsoft.com/office/drawing/2014/main" id="{98DB5950-F3B3-8D8C-0C7F-8082408F3B2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5</xdr:col>
      <xdr:colOff>616137</xdr:colOff>
      <xdr:row>29</xdr:row>
      <xdr:rowOff>144495</xdr:rowOff>
    </xdr:to>
    <xdr:sp macro="" textlink="">
      <xdr:nvSpPr>
        <xdr:cNvPr id="369709" name="Text Box 45" hidden="1">
          <a:extLst>
            <a:ext uri="{FF2B5EF4-FFF2-40B4-BE49-F238E27FC236}">
              <a16:creationId xmlns:a16="http://schemas.microsoft.com/office/drawing/2014/main" id="{61A5651C-AEE8-9820-D0D6-78E0A97A14E0}"/>
            </a:ext>
          </a:extLst>
        </xdr:cNvPr>
        <xdr:cNvSpPr txBox="1">
          <a:spLocks noChangeArrowheads="1"/>
        </xdr:cNvSpPr>
      </xdr:nvSpPr>
      <xdr:spPr bwMode="auto">
        <a:xfrm>
          <a:off x="4845050" y="1778000"/>
          <a:ext cx="4089400" cy="4387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37</xdr:col>
      <xdr:colOff>711200</xdr:colOff>
      <xdr:row>30</xdr:row>
      <xdr:rowOff>84730</xdr:rowOff>
    </xdr:to>
    <xdr:sp macro="" textlink="">
      <xdr:nvSpPr>
        <xdr:cNvPr id="369708" name="Text Box 44" hidden="1">
          <a:extLst>
            <a:ext uri="{FF2B5EF4-FFF2-40B4-BE49-F238E27FC236}">
              <a16:creationId xmlns:a16="http://schemas.microsoft.com/office/drawing/2014/main" id="{C515E98A-0FA7-4987-329F-81BB8C0CA1C7}"/>
            </a:ext>
          </a:extLst>
        </xdr:cNvPr>
        <xdr:cNvSpPr txBox="1">
          <a:spLocks noChangeArrowheads="1"/>
        </xdr:cNvSpPr>
      </xdr:nvSpPr>
      <xdr:spPr bwMode="auto">
        <a:xfrm>
          <a:off x="27857450" y="2006600"/>
          <a:ext cx="45910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278280</xdr:rowOff>
    </xdr:from>
    <xdr:to>
      <xdr:col>6</xdr:col>
      <xdr:colOff>66301</xdr:colOff>
      <xdr:row>51</xdr:row>
      <xdr:rowOff>97552</xdr:rowOff>
    </xdr:to>
    <xdr:sp macro="" textlink="">
      <xdr:nvSpPr>
        <xdr:cNvPr id="369707" name="Text Box 43" hidden="1">
          <a:extLst>
            <a:ext uri="{FF2B5EF4-FFF2-40B4-BE49-F238E27FC236}">
              <a16:creationId xmlns:a16="http://schemas.microsoft.com/office/drawing/2014/main" id="{13BDC6A9-0F00-AB61-6A4A-C0C455DAB841}"/>
            </a:ext>
          </a:extLst>
        </xdr:cNvPr>
        <xdr:cNvSpPr txBox="1">
          <a:spLocks noChangeArrowheads="1"/>
        </xdr:cNvSpPr>
      </xdr:nvSpPr>
      <xdr:spPr bwMode="auto">
        <a:xfrm>
          <a:off x="4864100" y="6642100"/>
          <a:ext cx="42227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24</xdr:row>
      <xdr:rowOff>144057</xdr:rowOff>
    </xdr:from>
    <xdr:to>
      <xdr:col>6</xdr:col>
      <xdr:colOff>66301</xdr:colOff>
      <xdr:row>43</xdr:row>
      <xdr:rowOff>96122</xdr:rowOff>
    </xdr:to>
    <xdr:sp macro="" textlink="">
      <xdr:nvSpPr>
        <xdr:cNvPr id="369706" name="Text Box 42" hidden="1">
          <a:extLst>
            <a:ext uri="{FF2B5EF4-FFF2-40B4-BE49-F238E27FC236}">
              <a16:creationId xmlns:a16="http://schemas.microsoft.com/office/drawing/2014/main" id="{BFE7CD10-AEAF-69C7-DF44-E39FE17B04EC}"/>
            </a:ext>
          </a:extLst>
        </xdr:cNvPr>
        <xdr:cNvSpPr txBox="1">
          <a:spLocks noChangeArrowheads="1"/>
        </xdr:cNvSpPr>
      </xdr:nvSpPr>
      <xdr:spPr bwMode="auto">
        <a:xfrm>
          <a:off x="4864100" y="5213350"/>
          <a:ext cx="4222750" cy="502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149226</xdr:rowOff>
    </xdr:from>
    <xdr:to>
      <xdr:col>6</xdr:col>
      <xdr:colOff>66301</xdr:colOff>
      <xdr:row>39</xdr:row>
      <xdr:rowOff>446306</xdr:rowOff>
    </xdr:to>
    <xdr:sp macro="" textlink="">
      <xdr:nvSpPr>
        <xdr:cNvPr id="413702" name="Text Box 1030" hidden="1">
          <a:extLst>
            <a:ext uri="{FF2B5EF4-FFF2-40B4-BE49-F238E27FC236}">
              <a16:creationId xmlns:a16="http://schemas.microsoft.com/office/drawing/2014/main" id="{89A83BBE-90AD-D318-F434-8A2A71076171}"/>
            </a:ext>
          </a:extLst>
        </xdr:cNvPr>
        <xdr:cNvSpPr txBox="1">
          <a:spLocks noChangeArrowheads="1"/>
        </xdr:cNvSpPr>
      </xdr:nvSpPr>
      <xdr:spPr bwMode="auto">
        <a:xfrm>
          <a:off x="48831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29</xdr:row>
      <xdr:rowOff>9712</xdr:rowOff>
    </xdr:to>
    <xdr:sp macro="" textlink="">
      <xdr:nvSpPr>
        <xdr:cNvPr id="413701" name="Text Box 1029" hidden="1">
          <a:extLst>
            <a:ext uri="{FF2B5EF4-FFF2-40B4-BE49-F238E27FC236}">
              <a16:creationId xmlns:a16="http://schemas.microsoft.com/office/drawing/2014/main" id="{D2470C8F-75BB-6BA8-7EBD-A7379BE17982}"/>
            </a:ext>
          </a:extLst>
        </xdr:cNvPr>
        <xdr:cNvSpPr txBox="1">
          <a:spLocks noChangeArrowheads="1"/>
        </xdr:cNvSpPr>
      </xdr:nvSpPr>
      <xdr:spPr bwMode="auto">
        <a:xfrm>
          <a:off x="48450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5</xdr:col>
      <xdr:colOff>616137</xdr:colOff>
      <xdr:row>30</xdr:row>
      <xdr:rowOff>30755</xdr:rowOff>
    </xdr:to>
    <xdr:sp macro="" textlink="">
      <xdr:nvSpPr>
        <xdr:cNvPr id="413700" name="Text Box 1028" hidden="1">
          <a:extLst>
            <a:ext uri="{FF2B5EF4-FFF2-40B4-BE49-F238E27FC236}">
              <a16:creationId xmlns:a16="http://schemas.microsoft.com/office/drawing/2014/main" id="{B6CB2868-2940-27AD-EE50-79776127410B}"/>
            </a:ext>
          </a:extLst>
        </xdr:cNvPr>
        <xdr:cNvSpPr txBox="1">
          <a:spLocks noChangeArrowheads="1"/>
        </xdr:cNvSpPr>
      </xdr:nvSpPr>
      <xdr:spPr bwMode="auto">
        <a:xfrm>
          <a:off x="4845050" y="1778000"/>
          <a:ext cx="4089400" cy="443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37</xdr:col>
      <xdr:colOff>711200</xdr:colOff>
      <xdr:row>31</xdr:row>
      <xdr:rowOff>28015</xdr:rowOff>
    </xdr:to>
    <xdr:sp macro="" textlink="">
      <xdr:nvSpPr>
        <xdr:cNvPr id="413699" name="Text Box 1027" hidden="1">
          <a:extLst>
            <a:ext uri="{FF2B5EF4-FFF2-40B4-BE49-F238E27FC236}">
              <a16:creationId xmlns:a16="http://schemas.microsoft.com/office/drawing/2014/main" id="{6955C47A-5285-46CF-A799-394D01AB7D7F}"/>
            </a:ext>
          </a:extLst>
        </xdr:cNvPr>
        <xdr:cNvSpPr txBox="1">
          <a:spLocks noChangeArrowheads="1"/>
        </xdr:cNvSpPr>
      </xdr:nvSpPr>
      <xdr:spPr bwMode="auto">
        <a:xfrm>
          <a:off x="27863800" y="2006600"/>
          <a:ext cx="4584700" cy="439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256179</xdr:rowOff>
    </xdr:from>
    <xdr:to>
      <xdr:col>6</xdr:col>
      <xdr:colOff>66301</xdr:colOff>
      <xdr:row>51</xdr:row>
      <xdr:rowOff>47749</xdr:rowOff>
    </xdr:to>
    <xdr:sp macro="" textlink="">
      <xdr:nvSpPr>
        <xdr:cNvPr id="413698" name="Text Box 1026" hidden="1">
          <a:extLst>
            <a:ext uri="{FF2B5EF4-FFF2-40B4-BE49-F238E27FC236}">
              <a16:creationId xmlns:a16="http://schemas.microsoft.com/office/drawing/2014/main" id="{67C93F30-BBFB-48EE-20C6-FD252E3AE0B1}"/>
            </a:ext>
          </a:extLst>
        </xdr:cNvPr>
        <xdr:cNvSpPr txBox="1">
          <a:spLocks noChangeArrowheads="1"/>
        </xdr:cNvSpPr>
      </xdr:nvSpPr>
      <xdr:spPr bwMode="auto">
        <a:xfrm>
          <a:off x="48641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24</xdr:row>
      <xdr:rowOff>144057</xdr:rowOff>
    </xdr:from>
    <xdr:to>
      <xdr:col>6</xdr:col>
      <xdr:colOff>66301</xdr:colOff>
      <xdr:row>43</xdr:row>
      <xdr:rowOff>201583</xdr:rowOff>
    </xdr:to>
    <xdr:sp macro="" textlink="">
      <xdr:nvSpPr>
        <xdr:cNvPr id="413697" name="Text Box 1025" hidden="1">
          <a:extLst>
            <a:ext uri="{FF2B5EF4-FFF2-40B4-BE49-F238E27FC236}">
              <a16:creationId xmlns:a16="http://schemas.microsoft.com/office/drawing/2014/main" id="{0D6868EB-FEC2-CF4F-C438-FA95E12D19E8}"/>
            </a:ext>
          </a:extLst>
        </xdr:cNvPr>
        <xdr:cNvSpPr txBox="1">
          <a:spLocks noChangeArrowheads="1"/>
        </xdr:cNvSpPr>
      </xdr:nvSpPr>
      <xdr:spPr bwMode="auto">
        <a:xfrm>
          <a:off x="48641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149226</xdr:rowOff>
    </xdr:from>
    <xdr:to>
      <xdr:col>6</xdr:col>
      <xdr:colOff>66301</xdr:colOff>
      <xdr:row>39</xdr:row>
      <xdr:rowOff>446306</xdr:rowOff>
    </xdr:to>
    <xdr:sp macro="" textlink="">
      <xdr:nvSpPr>
        <xdr:cNvPr id="369717" name="Text Box 53" hidden="1">
          <a:extLst>
            <a:ext uri="{FF2B5EF4-FFF2-40B4-BE49-F238E27FC236}">
              <a16:creationId xmlns:a16="http://schemas.microsoft.com/office/drawing/2014/main" id="{57CBAF78-6E8E-1F05-99F0-229009F8F86F}"/>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29</xdr:row>
      <xdr:rowOff>9712</xdr:rowOff>
    </xdr:to>
    <xdr:sp macro="" textlink="">
      <xdr:nvSpPr>
        <xdr:cNvPr id="369716" name="Text Box 52" hidden="1">
          <a:extLst>
            <a:ext uri="{FF2B5EF4-FFF2-40B4-BE49-F238E27FC236}">
              <a16:creationId xmlns:a16="http://schemas.microsoft.com/office/drawing/2014/main" id="{2D96086D-9D27-F155-0994-0D1C98F948E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5</xdr:col>
      <xdr:colOff>616137</xdr:colOff>
      <xdr:row>30</xdr:row>
      <xdr:rowOff>30755</xdr:rowOff>
    </xdr:to>
    <xdr:sp macro="" textlink="">
      <xdr:nvSpPr>
        <xdr:cNvPr id="369715" name="Text Box 51" hidden="1">
          <a:extLst>
            <a:ext uri="{FF2B5EF4-FFF2-40B4-BE49-F238E27FC236}">
              <a16:creationId xmlns:a16="http://schemas.microsoft.com/office/drawing/2014/main" id="{762574B0-153A-EE28-CF87-F9CF11DD65D2}"/>
            </a:ext>
          </a:extLst>
        </xdr:cNvPr>
        <xdr:cNvSpPr txBox="1">
          <a:spLocks noChangeArrowheads="1"/>
        </xdr:cNvSpPr>
      </xdr:nvSpPr>
      <xdr:spPr bwMode="auto">
        <a:xfrm>
          <a:off x="4845050" y="1778000"/>
          <a:ext cx="4089400" cy="4438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37</xdr:col>
      <xdr:colOff>711200</xdr:colOff>
      <xdr:row>31</xdr:row>
      <xdr:rowOff>28015</xdr:rowOff>
    </xdr:to>
    <xdr:sp macro="" textlink="">
      <xdr:nvSpPr>
        <xdr:cNvPr id="369714" name="Text Box 50" hidden="1">
          <a:extLst>
            <a:ext uri="{FF2B5EF4-FFF2-40B4-BE49-F238E27FC236}">
              <a16:creationId xmlns:a16="http://schemas.microsoft.com/office/drawing/2014/main" id="{153C497A-A3F1-5CC6-5346-F36428DBA05D}"/>
            </a:ext>
          </a:extLst>
        </xdr:cNvPr>
        <xdr:cNvSpPr txBox="1">
          <a:spLocks noChangeArrowheads="1"/>
        </xdr:cNvSpPr>
      </xdr:nvSpPr>
      <xdr:spPr bwMode="auto">
        <a:xfrm>
          <a:off x="27863800" y="2006600"/>
          <a:ext cx="458470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256179</xdr:rowOff>
    </xdr:from>
    <xdr:to>
      <xdr:col>6</xdr:col>
      <xdr:colOff>66301</xdr:colOff>
      <xdr:row>51</xdr:row>
      <xdr:rowOff>47749</xdr:rowOff>
    </xdr:to>
    <xdr:sp macro="" textlink="">
      <xdr:nvSpPr>
        <xdr:cNvPr id="369713" name="Text Box 49" hidden="1">
          <a:extLst>
            <a:ext uri="{FF2B5EF4-FFF2-40B4-BE49-F238E27FC236}">
              <a16:creationId xmlns:a16="http://schemas.microsoft.com/office/drawing/2014/main" id="{38F98D80-90EC-00FB-D459-B8546E4C1C6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24</xdr:row>
      <xdr:rowOff>144057</xdr:rowOff>
    </xdr:from>
    <xdr:to>
      <xdr:col>6</xdr:col>
      <xdr:colOff>66301</xdr:colOff>
      <xdr:row>43</xdr:row>
      <xdr:rowOff>201583</xdr:rowOff>
    </xdr:to>
    <xdr:sp macro="" textlink="">
      <xdr:nvSpPr>
        <xdr:cNvPr id="369712" name="Text Box 48" hidden="1">
          <a:extLst>
            <a:ext uri="{FF2B5EF4-FFF2-40B4-BE49-F238E27FC236}">
              <a16:creationId xmlns:a16="http://schemas.microsoft.com/office/drawing/2014/main" id="{88DAFDE8-63FF-C5A7-640F-FB8FF4F07920}"/>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16</xdr:row>
      <xdr:rowOff>149226</xdr:rowOff>
    </xdr:from>
    <xdr:to>
      <xdr:col>6</xdr:col>
      <xdr:colOff>66301</xdr:colOff>
      <xdr:row>39</xdr:row>
      <xdr:rowOff>446306</xdr:rowOff>
    </xdr:to>
    <xdr:sp macro="" textlink="">
      <xdr:nvSpPr>
        <xdr:cNvPr id="413708" name="Text Box 12" hidden="1">
          <a:extLst>
            <a:ext uri="{FF2B5EF4-FFF2-40B4-BE49-F238E27FC236}">
              <a16:creationId xmlns:a16="http://schemas.microsoft.com/office/drawing/2014/main" id="{A9B549A8-A56C-A130-C7BA-794AF0DEB3F5}"/>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29</xdr:row>
      <xdr:rowOff>9712</xdr:rowOff>
    </xdr:to>
    <xdr:sp macro="" textlink="">
      <xdr:nvSpPr>
        <xdr:cNvPr id="413707" name="Text Box 11" hidden="1">
          <a:extLst>
            <a:ext uri="{FF2B5EF4-FFF2-40B4-BE49-F238E27FC236}">
              <a16:creationId xmlns:a16="http://schemas.microsoft.com/office/drawing/2014/main" id="{DE38AFF0-F20A-AD3E-9E15-1B919E22CF5E}"/>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8</xdr:row>
      <xdr:rowOff>152400</xdr:rowOff>
    </xdr:from>
    <xdr:to>
      <xdr:col>5</xdr:col>
      <xdr:colOff>616137</xdr:colOff>
      <xdr:row>29</xdr:row>
      <xdr:rowOff>17930</xdr:rowOff>
    </xdr:to>
    <xdr:sp macro="" textlink="">
      <xdr:nvSpPr>
        <xdr:cNvPr id="413706" name="Text Box 10" hidden="1">
          <a:extLst>
            <a:ext uri="{FF2B5EF4-FFF2-40B4-BE49-F238E27FC236}">
              <a16:creationId xmlns:a16="http://schemas.microsoft.com/office/drawing/2014/main" id="{5F3F3B17-EFD4-1317-06E2-8CB3A936A747}"/>
            </a:ext>
          </a:extLst>
        </xdr:cNvPr>
        <xdr:cNvSpPr txBox="1">
          <a:spLocks noChangeArrowheads="1"/>
        </xdr:cNvSpPr>
      </xdr:nvSpPr>
      <xdr:spPr bwMode="auto">
        <a:xfrm>
          <a:off x="48450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674781</xdr:colOff>
      <xdr:row>9</xdr:row>
      <xdr:rowOff>152400</xdr:rowOff>
    </xdr:from>
    <xdr:to>
      <xdr:col>37</xdr:col>
      <xdr:colOff>711200</xdr:colOff>
      <xdr:row>30</xdr:row>
      <xdr:rowOff>30755</xdr:rowOff>
    </xdr:to>
    <xdr:sp macro="" textlink="">
      <xdr:nvSpPr>
        <xdr:cNvPr id="413705" name="Text Box 9" hidden="1">
          <a:extLst>
            <a:ext uri="{FF2B5EF4-FFF2-40B4-BE49-F238E27FC236}">
              <a16:creationId xmlns:a16="http://schemas.microsoft.com/office/drawing/2014/main" id="{C686C697-DC64-14A0-4F36-8BE2898BCF65}"/>
            </a:ext>
          </a:extLst>
        </xdr:cNvPr>
        <xdr:cNvSpPr txBox="1">
          <a:spLocks noChangeArrowheads="1"/>
        </xdr:cNvSpPr>
      </xdr:nvSpPr>
      <xdr:spPr bwMode="auto">
        <a:xfrm>
          <a:off x="278574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31</xdr:row>
      <xdr:rowOff>256179</xdr:rowOff>
    </xdr:from>
    <xdr:to>
      <xdr:col>6</xdr:col>
      <xdr:colOff>66301</xdr:colOff>
      <xdr:row>51</xdr:row>
      <xdr:rowOff>47749</xdr:rowOff>
    </xdr:to>
    <xdr:sp macro="" textlink="">
      <xdr:nvSpPr>
        <xdr:cNvPr id="413704" name="Text Box 8" hidden="1">
          <a:extLst>
            <a:ext uri="{FF2B5EF4-FFF2-40B4-BE49-F238E27FC236}">
              <a16:creationId xmlns:a16="http://schemas.microsoft.com/office/drawing/2014/main" id="{79392B2D-E12E-5EBD-08C6-0AA8F14B022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24</xdr:row>
      <xdr:rowOff>144057</xdr:rowOff>
    </xdr:from>
    <xdr:to>
      <xdr:col>6</xdr:col>
      <xdr:colOff>66301</xdr:colOff>
      <xdr:row>43</xdr:row>
      <xdr:rowOff>201583</xdr:rowOff>
    </xdr:to>
    <xdr:sp macro="" textlink="">
      <xdr:nvSpPr>
        <xdr:cNvPr id="413703" name="Text Box 7" hidden="1">
          <a:extLst>
            <a:ext uri="{FF2B5EF4-FFF2-40B4-BE49-F238E27FC236}">
              <a16:creationId xmlns:a16="http://schemas.microsoft.com/office/drawing/2014/main" id="{4011F4E6-9A7E-0C62-F604-7258C79D6241}"/>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67236</xdr:colOff>
      <xdr:row>0</xdr:row>
      <xdr:rowOff>56030</xdr:rowOff>
    </xdr:from>
    <xdr:to>
      <xdr:col>0</xdr:col>
      <xdr:colOff>1179793</xdr:colOff>
      <xdr:row>2</xdr:row>
      <xdr:rowOff>84792</xdr:rowOff>
    </xdr:to>
    <xdr:sp macro="" textlink="">
      <xdr:nvSpPr>
        <xdr:cNvPr id="4" name="Arrow: Pentagon 3">
          <a:hlinkClick xmlns:r="http://schemas.openxmlformats.org/officeDocument/2006/relationships" r:id="rId1"/>
          <a:extLst>
            <a:ext uri="{FF2B5EF4-FFF2-40B4-BE49-F238E27FC236}">
              <a16:creationId xmlns:a16="http://schemas.microsoft.com/office/drawing/2014/main" id="{9B570DBB-99F0-49FF-82D2-09D5A6ADE5D7}"/>
            </a:ext>
          </a:extLst>
        </xdr:cNvPr>
        <xdr:cNvSpPr/>
      </xdr:nvSpPr>
      <xdr:spPr>
        <a:xfrm>
          <a:off x="67236" y="56030"/>
          <a:ext cx="1112557" cy="4657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4125632</xdr:colOff>
      <xdr:row>16</xdr:row>
      <xdr:rowOff>149226</xdr:rowOff>
    </xdr:from>
    <xdr:to>
      <xdr:col>6</xdr:col>
      <xdr:colOff>513976</xdr:colOff>
      <xdr:row>39</xdr:row>
      <xdr:rowOff>446306</xdr:rowOff>
    </xdr:to>
    <xdr:sp macro="" textlink="">
      <xdr:nvSpPr>
        <xdr:cNvPr id="413714" name="Text Box 18" hidden="1">
          <a:extLst>
            <a:ext uri="{FF2B5EF4-FFF2-40B4-BE49-F238E27FC236}">
              <a16:creationId xmlns:a16="http://schemas.microsoft.com/office/drawing/2014/main" id="{CD3D276F-154A-3937-F6A6-929DB95E4E8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29</xdr:row>
      <xdr:rowOff>9712</xdr:rowOff>
    </xdr:to>
    <xdr:sp macro="" textlink="">
      <xdr:nvSpPr>
        <xdr:cNvPr id="413713" name="Text Box 17" hidden="1">
          <a:extLst>
            <a:ext uri="{FF2B5EF4-FFF2-40B4-BE49-F238E27FC236}">
              <a16:creationId xmlns:a16="http://schemas.microsoft.com/office/drawing/2014/main" id="{06E13B95-59AB-5DA7-6497-2F2836F11A01}"/>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8</xdr:row>
      <xdr:rowOff>152400</xdr:rowOff>
    </xdr:from>
    <xdr:to>
      <xdr:col>6</xdr:col>
      <xdr:colOff>361576</xdr:colOff>
      <xdr:row>29</xdr:row>
      <xdr:rowOff>17930</xdr:rowOff>
    </xdr:to>
    <xdr:sp macro="" textlink="">
      <xdr:nvSpPr>
        <xdr:cNvPr id="413712" name="Text Box 16" hidden="1">
          <a:extLst>
            <a:ext uri="{FF2B5EF4-FFF2-40B4-BE49-F238E27FC236}">
              <a16:creationId xmlns:a16="http://schemas.microsoft.com/office/drawing/2014/main" id="{6EBF5A02-62CD-6E04-DE2D-E6949DC212E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30755</xdr:rowOff>
    </xdr:to>
    <xdr:sp macro="" textlink="">
      <xdr:nvSpPr>
        <xdr:cNvPr id="413711" name="Text Box 15" hidden="1">
          <a:extLst>
            <a:ext uri="{FF2B5EF4-FFF2-40B4-BE49-F238E27FC236}">
              <a16:creationId xmlns:a16="http://schemas.microsoft.com/office/drawing/2014/main" id="{7E4ECC1C-602A-5C7D-7C4E-1844CFADFA8A}"/>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31</xdr:row>
      <xdr:rowOff>256179</xdr:rowOff>
    </xdr:from>
    <xdr:to>
      <xdr:col>6</xdr:col>
      <xdr:colOff>513976</xdr:colOff>
      <xdr:row>51</xdr:row>
      <xdr:rowOff>47749</xdr:rowOff>
    </xdr:to>
    <xdr:sp macro="" textlink="">
      <xdr:nvSpPr>
        <xdr:cNvPr id="413710" name="Text Box 14" hidden="1">
          <a:extLst>
            <a:ext uri="{FF2B5EF4-FFF2-40B4-BE49-F238E27FC236}">
              <a16:creationId xmlns:a16="http://schemas.microsoft.com/office/drawing/2014/main" id="{286E0BD4-7957-1D70-C6D7-AF52560D73B7}"/>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24</xdr:row>
      <xdr:rowOff>144057</xdr:rowOff>
    </xdr:from>
    <xdr:to>
      <xdr:col>6</xdr:col>
      <xdr:colOff>513976</xdr:colOff>
      <xdr:row>43</xdr:row>
      <xdr:rowOff>201583</xdr:rowOff>
    </xdr:to>
    <xdr:sp macro="" textlink="">
      <xdr:nvSpPr>
        <xdr:cNvPr id="413709" name="Text Box 13" hidden="1">
          <a:extLst>
            <a:ext uri="{FF2B5EF4-FFF2-40B4-BE49-F238E27FC236}">
              <a16:creationId xmlns:a16="http://schemas.microsoft.com/office/drawing/2014/main" id="{2428D328-66D0-C56F-66FF-9FF131F6D9DB}"/>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16</xdr:row>
      <xdr:rowOff>149226</xdr:rowOff>
    </xdr:from>
    <xdr:to>
      <xdr:col>6</xdr:col>
      <xdr:colOff>513976</xdr:colOff>
      <xdr:row>39</xdr:row>
      <xdr:rowOff>446306</xdr:rowOff>
    </xdr:to>
    <xdr:sp macro="" textlink="">
      <xdr:nvSpPr>
        <xdr:cNvPr id="413720" name="Text Box 24" hidden="1">
          <a:extLst>
            <a:ext uri="{FF2B5EF4-FFF2-40B4-BE49-F238E27FC236}">
              <a16:creationId xmlns:a16="http://schemas.microsoft.com/office/drawing/2014/main" id="{FB631334-FC89-AEAB-017A-98A3D7E6E701}"/>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29</xdr:row>
      <xdr:rowOff>9712</xdr:rowOff>
    </xdr:to>
    <xdr:sp macro="" textlink="">
      <xdr:nvSpPr>
        <xdr:cNvPr id="413719" name="Text Box 23" hidden="1">
          <a:extLst>
            <a:ext uri="{FF2B5EF4-FFF2-40B4-BE49-F238E27FC236}">
              <a16:creationId xmlns:a16="http://schemas.microsoft.com/office/drawing/2014/main" id="{709AAAA4-4B12-1AF2-CC92-E4DE50EDE85D}"/>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8</xdr:row>
      <xdr:rowOff>152400</xdr:rowOff>
    </xdr:from>
    <xdr:to>
      <xdr:col>6</xdr:col>
      <xdr:colOff>361576</xdr:colOff>
      <xdr:row>29</xdr:row>
      <xdr:rowOff>17930</xdr:rowOff>
    </xdr:to>
    <xdr:sp macro="" textlink="">
      <xdr:nvSpPr>
        <xdr:cNvPr id="413718" name="Text Box 22" hidden="1">
          <a:extLst>
            <a:ext uri="{FF2B5EF4-FFF2-40B4-BE49-F238E27FC236}">
              <a16:creationId xmlns:a16="http://schemas.microsoft.com/office/drawing/2014/main" id="{D2743BE1-1D44-58DF-B93B-D658CADB92F6}"/>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30755</xdr:rowOff>
    </xdr:to>
    <xdr:sp macro="" textlink="">
      <xdr:nvSpPr>
        <xdr:cNvPr id="413717" name="Text Box 21" hidden="1">
          <a:extLst>
            <a:ext uri="{FF2B5EF4-FFF2-40B4-BE49-F238E27FC236}">
              <a16:creationId xmlns:a16="http://schemas.microsoft.com/office/drawing/2014/main" id="{6CE02C7F-4633-6C49-1546-374B2EA04059}"/>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31</xdr:row>
      <xdr:rowOff>256179</xdr:rowOff>
    </xdr:from>
    <xdr:to>
      <xdr:col>6</xdr:col>
      <xdr:colOff>513976</xdr:colOff>
      <xdr:row>51</xdr:row>
      <xdr:rowOff>47749</xdr:rowOff>
    </xdr:to>
    <xdr:sp macro="" textlink="">
      <xdr:nvSpPr>
        <xdr:cNvPr id="413716" name="Text Box 20" hidden="1">
          <a:extLst>
            <a:ext uri="{FF2B5EF4-FFF2-40B4-BE49-F238E27FC236}">
              <a16:creationId xmlns:a16="http://schemas.microsoft.com/office/drawing/2014/main" id="{FAD0DB13-F4A4-47E9-DB12-B0151DD45601}"/>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24</xdr:row>
      <xdr:rowOff>144057</xdr:rowOff>
    </xdr:from>
    <xdr:to>
      <xdr:col>6</xdr:col>
      <xdr:colOff>513976</xdr:colOff>
      <xdr:row>43</xdr:row>
      <xdr:rowOff>201583</xdr:rowOff>
    </xdr:to>
    <xdr:sp macro="" textlink="">
      <xdr:nvSpPr>
        <xdr:cNvPr id="413715" name="Text Box 19" hidden="1">
          <a:extLst>
            <a:ext uri="{FF2B5EF4-FFF2-40B4-BE49-F238E27FC236}">
              <a16:creationId xmlns:a16="http://schemas.microsoft.com/office/drawing/2014/main" id="{B282AA27-64BC-F7C4-8CD1-896858F8B25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16</xdr:row>
      <xdr:rowOff>149226</xdr:rowOff>
    </xdr:from>
    <xdr:to>
      <xdr:col>6</xdr:col>
      <xdr:colOff>513976</xdr:colOff>
      <xdr:row>39</xdr:row>
      <xdr:rowOff>446306</xdr:rowOff>
    </xdr:to>
    <xdr:sp macro="" textlink="">
      <xdr:nvSpPr>
        <xdr:cNvPr id="413732" name="Text Box 36" hidden="1">
          <a:extLst>
            <a:ext uri="{FF2B5EF4-FFF2-40B4-BE49-F238E27FC236}">
              <a16:creationId xmlns:a16="http://schemas.microsoft.com/office/drawing/2014/main" id="{3AB686CB-F923-8BB8-2BF9-00122F308A0E}"/>
            </a:ext>
          </a:extLst>
        </xdr:cNvPr>
        <xdr:cNvSpPr txBox="1">
          <a:spLocks noChangeArrowheads="1"/>
        </xdr:cNvSpPr>
      </xdr:nvSpPr>
      <xdr:spPr bwMode="auto">
        <a:xfrm>
          <a:off x="53149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29</xdr:row>
      <xdr:rowOff>9712</xdr:rowOff>
    </xdr:to>
    <xdr:sp macro="" textlink="">
      <xdr:nvSpPr>
        <xdr:cNvPr id="413731" name="Text Box 35" hidden="1">
          <a:extLst>
            <a:ext uri="{FF2B5EF4-FFF2-40B4-BE49-F238E27FC236}">
              <a16:creationId xmlns:a16="http://schemas.microsoft.com/office/drawing/2014/main" id="{E30B7769-6D54-5A9B-22CC-33C76093A16C}"/>
            </a:ext>
          </a:extLst>
        </xdr:cNvPr>
        <xdr:cNvSpPr txBox="1">
          <a:spLocks noChangeArrowheads="1"/>
        </xdr:cNvSpPr>
      </xdr:nvSpPr>
      <xdr:spPr bwMode="auto">
        <a:xfrm>
          <a:off x="52768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8</xdr:row>
      <xdr:rowOff>152400</xdr:rowOff>
    </xdr:from>
    <xdr:to>
      <xdr:col>6</xdr:col>
      <xdr:colOff>361576</xdr:colOff>
      <xdr:row>29</xdr:row>
      <xdr:rowOff>17930</xdr:rowOff>
    </xdr:to>
    <xdr:sp macro="" textlink="">
      <xdr:nvSpPr>
        <xdr:cNvPr id="413730" name="Text Box 34" hidden="1">
          <a:extLst>
            <a:ext uri="{FF2B5EF4-FFF2-40B4-BE49-F238E27FC236}">
              <a16:creationId xmlns:a16="http://schemas.microsoft.com/office/drawing/2014/main" id="{847A3A92-4B0C-4C05-EDF1-D1D8A711062F}"/>
            </a:ext>
          </a:extLst>
        </xdr:cNvPr>
        <xdr:cNvSpPr txBox="1">
          <a:spLocks noChangeArrowheads="1"/>
        </xdr:cNvSpPr>
      </xdr:nvSpPr>
      <xdr:spPr bwMode="auto">
        <a:xfrm>
          <a:off x="5276850" y="1778000"/>
          <a:ext cx="408940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30755</xdr:rowOff>
    </xdr:to>
    <xdr:sp macro="" textlink="">
      <xdr:nvSpPr>
        <xdr:cNvPr id="413729" name="Text Box 33" hidden="1">
          <a:extLst>
            <a:ext uri="{FF2B5EF4-FFF2-40B4-BE49-F238E27FC236}">
              <a16:creationId xmlns:a16="http://schemas.microsoft.com/office/drawing/2014/main" id="{5F32C69D-A0B6-1306-924B-68F87B8200E8}"/>
            </a:ext>
          </a:extLst>
        </xdr:cNvPr>
        <xdr:cNvSpPr txBox="1">
          <a:spLocks noChangeArrowheads="1"/>
        </xdr:cNvSpPr>
      </xdr:nvSpPr>
      <xdr:spPr bwMode="auto">
        <a:xfrm>
          <a:off x="28289250" y="2006600"/>
          <a:ext cx="45910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31</xdr:row>
      <xdr:rowOff>256179</xdr:rowOff>
    </xdr:from>
    <xdr:to>
      <xdr:col>6</xdr:col>
      <xdr:colOff>513976</xdr:colOff>
      <xdr:row>51</xdr:row>
      <xdr:rowOff>47749</xdr:rowOff>
    </xdr:to>
    <xdr:sp macro="" textlink="">
      <xdr:nvSpPr>
        <xdr:cNvPr id="413728" name="Text Box 32" hidden="1">
          <a:extLst>
            <a:ext uri="{FF2B5EF4-FFF2-40B4-BE49-F238E27FC236}">
              <a16:creationId xmlns:a16="http://schemas.microsoft.com/office/drawing/2014/main" id="{4FD27A77-03B0-D3BF-4C3E-AAB41B1723CE}"/>
            </a:ext>
          </a:extLst>
        </xdr:cNvPr>
        <xdr:cNvSpPr txBox="1">
          <a:spLocks noChangeArrowheads="1"/>
        </xdr:cNvSpPr>
      </xdr:nvSpPr>
      <xdr:spPr bwMode="auto">
        <a:xfrm>
          <a:off x="52959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24</xdr:row>
      <xdr:rowOff>144057</xdr:rowOff>
    </xdr:from>
    <xdr:to>
      <xdr:col>6</xdr:col>
      <xdr:colOff>513976</xdr:colOff>
      <xdr:row>43</xdr:row>
      <xdr:rowOff>201583</xdr:rowOff>
    </xdr:to>
    <xdr:sp macro="" textlink="">
      <xdr:nvSpPr>
        <xdr:cNvPr id="413727" name="Text Box 31" hidden="1">
          <a:extLst>
            <a:ext uri="{FF2B5EF4-FFF2-40B4-BE49-F238E27FC236}">
              <a16:creationId xmlns:a16="http://schemas.microsoft.com/office/drawing/2014/main" id="{F2956EA3-7D72-2078-7303-B4C37F9AC93F}"/>
            </a:ext>
          </a:extLst>
        </xdr:cNvPr>
        <xdr:cNvSpPr txBox="1">
          <a:spLocks noChangeArrowheads="1"/>
        </xdr:cNvSpPr>
      </xdr:nvSpPr>
      <xdr:spPr bwMode="auto">
        <a:xfrm>
          <a:off x="52959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16</xdr:row>
      <xdr:rowOff>149226</xdr:rowOff>
    </xdr:from>
    <xdr:to>
      <xdr:col>6</xdr:col>
      <xdr:colOff>513976</xdr:colOff>
      <xdr:row>39</xdr:row>
      <xdr:rowOff>446306</xdr:rowOff>
    </xdr:to>
    <xdr:sp macro="" textlink="">
      <xdr:nvSpPr>
        <xdr:cNvPr id="413726" name="Text Box 30" hidden="1">
          <a:extLst>
            <a:ext uri="{FF2B5EF4-FFF2-40B4-BE49-F238E27FC236}">
              <a16:creationId xmlns:a16="http://schemas.microsoft.com/office/drawing/2014/main" id="{F16112BD-0A14-931F-664A-1DA1052831A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29</xdr:row>
      <xdr:rowOff>9712</xdr:rowOff>
    </xdr:to>
    <xdr:sp macro="" textlink="">
      <xdr:nvSpPr>
        <xdr:cNvPr id="413725" name="Text Box 29" hidden="1">
          <a:extLst>
            <a:ext uri="{FF2B5EF4-FFF2-40B4-BE49-F238E27FC236}">
              <a16:creationId xmlns:a16="http://schemas.microsoft.com/office/drawing/2014/main" id="{7198A124-59F3-4F24-9C9C-E22560A8B550}"/>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8</xdr:row>
      <xdr:rowOff>152400</xdr:rowOff>
    </xdr:from>
    <xdr:to>
      <xdr:col>6</xdr:col>
      <xdr:colOff>361576</xdr:colOff>
      <xdr:row>29</xdr:row>
      <xdr:rowOff>17930</xdr:rowOff>
    </xdr:to>
    <xdr:sp macro="" textlink="">
      <xdr:nvSpPr>
        <xdr:cNvPr id="413724" name="Text Box 28" hidden="1">
          <a:extLst>
            <a:ext uri="{FF2B5EF4-FFF2-40B4-BE49-F238E27FC236}">
              <a16:creationId xmlns:a16="http://schemas.microsoft.com/office/drawing/2014/main" id="{64E91186-EDAF-4C53-0D22-60A54EDB081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30755</xdr:rowOff>
    </xdr:to>
    <xdr:sp macro="" textlink="">
      <xdr:nvSpPr>
        <xdr:cNvPr id="413723" name="Text Box 27" hidden="1">
          <a:extLst>
            <a:ext uri="{FF2B5EF4-FFF2-40B4-BE49-F238E27FC236}">
              <a16:creationId xmlns:a16="http://schemas.microsoft.com/office/drawing/2014/main" id="{D466C637-24AB-52CE-E839-B42361E891E1}"/>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31</xdr:row>
      <xdr:rowOff>256179</xdr:rowOff>
    </xdr:from>
    <xdr:to>
      <xdr:col>6</xdr:col>
      <xdr:colOff>513976</xdr:colOff>
      <xdr:row>51</xdr:row>
      <xdr:rowOff>47749</xdr:rowOff>
    </xdr:to>
    <xdr:sp macro="" textlink="">
      <xdr:nvSpPr>
        <xdr:cNvPr id="413722" name="Text Box 26" hidden="1">
          <a:extLst>
            <a:ext uri="{FF2B5EF4-FFF2-40B4-BE49-F238E27FC236}">
              <a16:creationId xmlns:a16="http://schemas.microsoft.com/office/drawing/2014/main" id="{C48FF764-C8F5-8677-EBB7-694060AF631E}"/>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24</xdr:row>
      <xdr:rowOff>144057</xdr:rowOff>
    </xdr:from>
    <xdr:to>
      <xdr:col>6</xdr:col>
      <xdr:colOff>513976</xdr:colOff>
      <xdr:row>43</xdr:row>
      <xdr:rowOff>201583</xdr:rowOff>
    </xdr:to>
    <xdr:sp macro="" textlink="">
      <xdr:nvSpPr>
        <xdr:cNvPr id="413721" name="Text Box 25" hidden="1">
          <a:extLst>
            <a:ext uri="{FF2B5EF4-FFF2-40B4-BE49-F238E27FC236}">
              <a16:creationId xmlns:a16="http://schemas.microsoft.com/office/drawing/2014/main" id="{B0B0B30D-CFCE-50B5-A251-16A2EFCB28A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20</xdr:row>
      <xdr:rowOff>182407</xdr:rowOff>
    </xdr:from>
    <xdr:to>
      <xdr:col>6</xdr:col>
      <xdr:colOff>513976</xdr:colOff>
      <xdr:row>41</xdr:row>
      <xdr:rowOff>83608</xdr:rowOff>
    </xdr:to>
    <xdr:sp macro="" textlink="">
      <xdr:nvSpPr>
        <xdr:cNvPr id="413738" name="Text Box 42" hidden="1">
          <a:extLst>
            <a:ext uri="{FF2B5EF4-FFF2-40B4-BE49-F238E27FC236}">
              <a16:creationId xmlns:a16="http://schemas.microsoft.com/office/drawing/2014/main" id="{D308A062-3095-4603-DB23-318BEA5EA948}"/>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27</xdr:row>
      <xdr:rowOff>45820</xdr:rowOff>
    </xdr:to>
    <xdr:sp macro="" textlink="">
      <xdr:nvSpPr>
        <xdr:cNvPr id="413737" name="Text Box 41" hidden="1">
          <a:extLst>
            <a:ext uri="{FF2B5EF4-FFF2-40B4-BE49-F238E27FC236}">
              <a16:creationId xmlns:a16="http://schemas.microsoft.com/office/drawing/2014/main" id="{64636875-1C54-C49E-D171-C1337E0776F3}"/>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8</xdr:row>
      <xdr:rowOff>152400</xdr:rowOff>
    </xdr:from>
    <xdr:to>
      <xdr:col>6</xdr:col>
      <xdr:colOff>361576</xdr:colOff>
      <xdr:row>27</xdr:row>
      <xdr:rowOff>57461</xdr:rowOff>
    </xdr:to>
    <xdr:sp macro="" textlink="">
      <xdr:nvSpPr>
        <xdr:cNvPr id="413736" name="Text Box 40" hidden="1">
          <a:extLst>
            <a:ext uri="{FF2B5EF4-FFF2-40B4-BE49-F238E27FC236}">
              <a16:creationId xmlns:a16="http://schemas.microsoft.com/office/drawing/2014/main" id="{AE563477-5CD9-4713-8103-8F6500B387A1}"/>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29</xdr:row>
      <xdr:rowOff>57462</xdr:rowOff>
    </xdr:to>
    <xdr:sp macro="" textlink="">
      <xdr:nvSpPr>
        <xdr:cNvPr id="413735" name="Text Box 39" hidden="1">
          <a:extLst>
            <a:ext uri="{FF2B5EF4-FFF2-40B4-BE49-F238E27FC236}">
              <a16:creationId xmlns:a16="http://schemas.microsoft.com/office/drawing/2014/main" id="{1DE3084D-43C8-9370-F06C-F9AC5F6253EF}"/>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34</xdr:row>
      <xdr:rowOff>139762</xdr:rowOff>
    </xdr:from>
    <xdr:to>
      <xdr:col>6</xdr:col>
      <xdr:colOff>513976</xdr:colOff>
      <xdr:row>55</xdr:row>
      <xdr:rowOff>1370</xdr:rowOff>
    </xdr:to>
    <xdr:sp macro="" textlink="">
      <xdr:nvSpPr>
        <xdr:cNvPr id="413734" name="Text Box 38" hidden="1">
          <a:extLst>
            <a:ext uri="{FF2B5EF4-FFF2-40B4-BE49-F238E27FC236}">
              <a16:creationId xmlns:a16="http://schemas.microsoft.com/office/drawing/2014/main" id="{6D67543C-2EF0-8ACA-33A0-4A121E2E8DB8}"/>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29</xdr:row>
      <xdr:rowOff>95562</xdr:rowOff>
    </xdr:from>
    <xdr:to>
      <xdr:col>6</xdr:col>
      <xdr:colOff>513976</xdr:colOff>
      <xdr:row>49</xdr:row>
      <xdr:rowOff>124759</xdr:rowOff>
    </xdr:to>
    <xdr:sp macro="" textlink="">
      <xdr:nvSpPr>
        <xdr:cNvPr id="413733" name="Text Box 37" hidden="1">
          <a:extLst>
            <a:ext uri="{FF2B5EF4-FFF2-40B4-BE49-F238E27FC236}">
              <a16:creationId xmlns:a16="http://schemas.microsoft.com/office/drawing/2014/main" id="{C77D86F9-F57F-EF41-6E05-FFF61281522B}"/>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20</xdr:row>
      <xdr:rowOff>182407</xdr:rowOff>
    </xdr:from>
    <xdr:to>
      <xdr:col>6</xdr:col>
      <xdr:colOff>513976</xdr:colOff>
      <xdr:row>41</xdr:row>
      <xdr:rowOff>83608</xdr:rowOff>
    </xdr:to>
    <xdr:sp macro="" textlink="">
      <xdr:nvSpPr>
        <xdr:cNvPr id="413744" name="Text Box 48" hidden="1">
          <a:extLst>
            <a:ext uri="{FF2B5EF4-FFF2-40B4-BE49-F238E27FC236}">
              <a16:creationId xmlns:a16="http://schemas.microsoft.com/office/drawing/2014/main" id="{BF6DB8C6-04E0-6B7D-25AF-6853A9513E29}"/>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27</xdr:row>
      <xdr:rowOff>45820</xdr:rowOff>
    </xdr:to>
    <xdr:sp macro="" textlink="">
      <xdr:nvSpPr>
        <xdr:cNvPr id="413743" name="Text Box 47" hidden="1">
          <a:extLst>
            <a:ext uri="{FF2B5EF4-FFF2-40B4-BE49-F238E27FC236}">
              <a16:creationId xmlns:a16="http://schemas.microsoft.com/office/drawing/2014/main" id="{384779B5-87D8-9ACA-40AE-EFE5025896D0}"/>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8</xdr:row>
      <xdr:rowOff>152400</xdr:rowOff>
    </xdr:from>
    <xdr:to>
      <xdr:col>6</xdr:col>
      <xdr:colOff>361576</xdr:colOff>
      <xdr:row>27</xdr:row>
      <xdr:rowOff>57461</xdr:rowOff>
    </xdr:to>
    <xdr:sp macro="" textlink="">
      <xdr:nvSpPr>
        <xdr:cNvPr id="413742" name="Text Box 46" hidden="1">
          <a:extLst>
            <a:ext uri="{FF2B5EF4-FFF2-40B4-BE49-F238E27FC236}">
              <a16:creationId xmlns:a16="http://schemas.microsoft.com/office/drawing/2014/main" id="{3186040F-D180-F458-A24D-02E0D8BF42D3}"/>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29</xdr:row>
      <xdr:rowOff>57462</xdr:rowOff>
    </xdr:to>
    <xdr:sp macro="" textlink="">
      <xdr:nvSpPr>
        <xdr:cNvPr id="413741" name="Text Box 45" hidden="1">
          <a:extLst>
            <a:ext uri="{FF2B5EF4-FFF2-40B4-BE49-F238E27FC236}">
              <a16:creationId xmlns:a16="http://schemas.microsoft.com/office/drawing/2014/main" id="{C62F6A6B-225C-E5DD-2697-75F059730273}"/>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34</xdr:row>
      <xdr:rowOff>139762</xdr:rowOff>
    </xdr:from>
    <xdr:to>
      <xdr:col>6</xdr:col>
      <xdr:colOff>513976</xdr:colOff>
      <xdr:row>55</xdr:row>
      <xdr:rowOff>1370</xdr:rowOff>
    </xdr:to>
    <xdr:sp macro="" textlink="">
      <xdr:nvSpPr>
        <xdr:cNvPr id="413740" name="Text Box 44" hidden="1">
          <a:extLst>
            <a:ext uri="{FF2B5EF4-FFF2-40B4-BE49-F238E27FC236}">
              <a16:creationId xmlns:a16="http://schemas.microsoft.com/office/drawing/2014/main" id="{AB158CA5-D57C-3D8F-C0FA-C46CFF2B5299}"/>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29</xdr:row>
      <xdr:rowOff>95562</xdr:rowOff>
    </xdr:from>
    <xdr:to>
      <xdr:col>6</xdr:col>
      <xdr:colOff>513976</xdr:colOff>
      <xdr:row>49</xdr:row>
      <xdr:rowOff>124759</xdr:rowOff>
    </xdr:to>
    <xdr:sp macro="" textlink="">
      <xdr:nvSpPr>
        <xdr:cNvPr id="413739" name="Text Box 43" hidden="1">
          <a:extLst>
            <a:ext uri="{FF2B5EF4-FFF2-40B4-BE49-F238E27FC236}">
              <a16:creationId xmlns:a16="http://schemas.microsoft.com/office/drawing/2014/main" id="{D4FA5560-385B-FF72-067F-953729C8B4F5}"/>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24</xdr:row>
      <xdr:rowOff>38100</xdr:rowOff>
    </xdr:from>
    <xdr:to>
      <xdr:col>7</xdr:col>
      <xdr:colOff>304800</xdr:colOff>
      <xdr:row>44</xdr:row>
      <xdr:rowOff>76200</xdr:rowOff>
    </xdr:to>
    <xdr:sp macro="" textlink="">
      <xdr:nvSpPr>
        <xdr:cNvPr id="413750" name="Text Box 54" hidden="1">
          <a:extLst>
            <a:ext uri="{FF2B5EF4-FFF2-40B4-BE49-F238E27FC236}">
              <a16:creationId xmlns:a16="http://schemas.microsoft.com/office/drawing/2014/main" id="{E1154671-07CC-EF28-7F09-7CD6E2AEE72A}"/>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28</xdr:row>
      <xdr:rowOff>0</xdr:rowOff>
    </xdr:to>
    <xdr:sp macro="" textlink="">
      <xdr:nvSpPr>
        <xdr:cNvPr id="413749" name="Text Box 53" hidden="1">
          <a:extLst>
            <a:ext uri="{FF2B5EF4-FFF2-40B4-BE49-F238E27FC236}">
              <a16:creationId xmlns:a16="http://schemas.microsoft.com/office/drawing/2014/main" id="{CA92517F-1D07-72B7-ECE1-3DE8B453DCC1}"/>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11</xdr:row>
      <xdr:rowOff>152400</xdr:rowOff>
    </xdr:from>
    <xdr:to>
      <xdr:col>7</xdr:col>
      <xdr:colOff>152400</xdr:colOff>
      <xdr:row>31</xdr:row>
      <xdr:rowOff>323850</xdr:rowOff>
    </xdr:to>
    <xdr:sp macro="" textlink="">
      <xdr:nvSpPr>
        <xdr:cNvPr id="413748" name="Text Box 52" hidden="1">
          <a:extLst>
            <a:ext uri="{FF2B5EF4-FFF2-40B4-BE49-F238E27FC236}">
              <a16:creationId xmlns:a16="http://schemas.microsoft.com/office/drawing/2014/main" id="{96378D55-26B5-B702-7263-B8026E35DCB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12</xdr:row>
      <xdr:rowOff>152400</xdr:rowOff>
    </xdr:from>
    <xdr:to>
      <xdr:col>38</xdr:col>
      <xdr:colOff>647700</xdr:colOff>
      <xdr:row>32</xdr:row>
      <xdr:rowOff>247650</xdr:rowOff>
    </xdr:to>
    <xdr:sp macro="" textlink="">
      <xdr:nvSpPr>
        <xdr:cNvPr id="413747" name="Text Box 51" hidden="1">
          <a:extLst>
            <a:ext uri="{FF2B5EF4-FFF2-40B4-BE49-F238E27FC236}">
              <a16:creationId xmlns:a16="http://schemas.microsoft.com/office/drawing/2014/main" id="{21288511-1EE8-0769-3ABC-84FD9B4102AC}"/>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38</xdr:row>
      <xdr:rowOff>57150</xdr:rowOff>
    </xdr:from>
    <xdr:to>
      <xdr:col>7</xdr:col>
      <xdr:colOff>304800</xdr:colOff>
      <xdr:row>58</xdr:row>
      <xdr:rowOff>133350</xdr:rowOff>
    </xdr:to>
    <xdr:sp macro="" textlink="">
      <xdr:nvSpPr>
        <xdr:cNvPr id="413746" name="Text Box 50" hidden="1">
          <a:extLst>
            <a:ext uri="{FF2B5EF4-FFF2-40B4-BE49-F238E27FC236}">
              <a16:creationId xmlns:a16="http://schemas.microsoft.com/office/drawing/2014/main" id="{8B25B9A6-0169-1C1E-C0EE-A9F34B64D7E2}"/>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32</xdr:row>
      <xdr:rowOff>38100</xdr:rowOff>
    </xdr:from>
    <xdr:to>
      <xdr:col>7</xdr:col>
      <xdr:colOff>304800</xdr:colOff>
      <xdr:row>52</xdr:row>
      <xdr:rowOff>190500</xdr:rowOff>
    </xdr:to>
    <xdr:sp macro="" textlink="">
      <xdr:nvSpPr>
        <xdr:cNvPr id="413745" name="Text Box 49" hidden="1">
          <a:extLst>
            <a:ext uri="{FF2B5EF4-FFF2-40B4-BE49-F238E27FC236}">
              <a16:creationId xmlns:a16="http://schemas.microsoft.com/office/drawing/2014/main" id="{F41CBF2B-76C4-F833-7CBE-77B96A0ED99F}"/>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15</xdr:col>
      <xdr:colOff>83727</xdr:colOff>
      <xdr:row>26</xdr:row>
      <xdr:rowOff>0</xdr:rowOff>
    </xdr:from>
    <xdr:to>
      <xdr:col>18</xdr:col>
      <xdr:colOff>45627</xdr:colOff>
      <xdr:row>30</xdr:row>
      <xdr:rowOff>38100</xdr:rowOff>
    </xdr:to>
    <xdr:sp macro="" textlink="">
      <xdr:nvSpPr>
        <xdr:cNvPr id="243716" name="Text Box 4" hidden="1">
          <a:extLst>
            <a:ext uri="{FF2B5EF4-FFF2-40B4-BE49-F238E27FC236}">
              <a16:creationId xmlns:a16="http://schemas.microsoft.com/office/drawing/2014/main" id="{B0A03D1E-5A83-47C9-BE37-1EF3A7E579CF}"/>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121827</xdr:colOff>
      <xdr:row>58</xdr:row>
      <xdr:rowOff>162288</xdr:rowOff>
    </xdr:from>
    <xdr:to>
      <xdr:col>18</xdr:col>
      <xdr:colOff>83727</xdr:colOff>
      <xdr:row>63</xdr:row>
      <xdr:rowOff>78105</xdr:rowOff>
    </xdr:to>
    <xdr:sp macro="" textlink="">
      <xdr:nvSpPr>
        <xdr:cNvPr id="243720" name="Text Box 8" hidden="1">
          <a:extLst>
            <a:ext uri="{FF2B5EF4-FFF2-40B4-BE49-F238E27FC236}">
              <a16:creationId xmlns:a16="http://schemas.microsoft.com/office/drawing/2014/main" id="{06457418-FED5-45AC-B6F5-0977895A8213}"/>
            </a:ext>
          </a:extLst>
        </xdr:cNvPr>
        <xdr:cNvSpPr txBox="1">
          <a:spLocks noChangeArrowheads="1"/>
        </xdr:cNvSpPr>
      </xdr:nvSpPr>
      <xdr:spPr bwMode="auto">
        <a:xfrm>
          <a:off x="11536680" y="11353800"/>
          <a:ext cx="1287780" cy="838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43721" name="Text Box 9" hidden="1">
          <a:extLst>
            <a:ext uri="{FF2B5EF4-FFF2-40B4-BE49-F238E27FC236}">
              <a16:creationId xmlns:a16="http://schemas.microsoft.com/office/drawing/2014/main" id="{4FF414AE-5FD4-4238-8D5E-4808F4D82B12}"/>
            </a:ext>
          </a:extLst>
        </xdr:cNvPr>
        <xdr:cNvSpPr txBox="1">
          <a:spLocks noChangeArrowheads="1"/>
        </xdr:cNvSpPr>
      </xdr:nvSpPr>
      <xdr:spPr bwMode="auto">
        <a:xfrm>
          <a:off x="12420600" y="3718560"/>
          <a:ext cx="1287780" cy="8077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5" name="Text Box 3" hidden="1">
          <a:extLst>
            <a:ext uri="{FF2B5EF4-FFF2-40B4-BE49-F238E27FC236}">
              <a16:creationId xmlns:a16="http://schemas.microsoft.com/office/drawing/2014/main" id="{493C9031-C239-415C-ADFE-A6A5BDEBA21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3" name="Text Box 1" hidden="1">
          <a:extLst>
            <a:ext uri="{FF2B5EF4-FFF2-40B4-BE49-F238E27FC236}">
              <a16:creationId xmlns:a16="http://schemas.microsoft.com/office/drawing/2014/main" id="{44E207FF-692A-4DF2-93BF-4A77FE6422B0}"/>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7" name="Text Box 5" hidden="1">
          <a:extLst>
            <a:ext uri="{FF2B5EF4-FFF2-40B4-BE49-F238E27FC236}">
              <a16:creationId xmlns:a16="http://schemas.microsoft.com/office/drawing/2014/main" id="{3CE6B365-E603-4548-B8FF-D6229A8A39D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6" name="Text Box 4" hidden="1">
          <a:extLst>
            <a:ext uri="{FF2B5EF4-FFF2-40B4-BE49-F238E27FC236}">
              <a16:creationId xmlns:a16="http://schemas.microsoft.com/office/drawing/2014/main" id="{1E6C49C6-DF32-47C0-B7C5-D8432F2C6B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9" name="Text Box 7" hidden="1">
          <a:extLst>
            <a:ext uri="{FF2B5EF4-FFF2-40B4-BE49-F238E27FC236}">
              <a16:creationId xmlns:a16="http://schemas.microsoft.com/office/drawing/2014/main" id="{F9F3A517-BE3A-4123-B950-7DC9B7217A7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8" name="Text Box 6" hidden="1">
          <a:extLst>
            <a:ext uri="{FF2B5EF4-FFF2-40B4-BE49-F238E27FC236}">
              <a16:creationId xmlns:a16="http://schemas.microsoft.com/office/drawing/2014/main" id="{285D3CE1-5B29-4A98-8B69-B40B69CE42F6}"/>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1" name="Text Box 9" hidden="1">
          <a:extLst>
            <a:ext uri="{FF2B5EF4-FFF2-40B4-BE49-F238E27FC236}">
              <a16:creationId xmlns:a16="http://schemas.microsoft.com/office/drawing/2014/main" id="{FFBECB77-E4B9-47E2-A66A-A5656CA4547C}"/>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0" name="Text Box 8" hidden="1">
          <a:extLst>
            <a:ext uri="{FF2B5EF4-FFF2-40B4-BE49-F238E27FC236}">
              <a16:creationId xmlns:a16="http://schemas.microsoft.com/office/drawing/2014/main" id="{76FE704D-8170-4017-91BA-392389226F5F}"/>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3" name="Text Box 11" hidden="1">
          <a:extLst>
            <a:ext uri="{FF2B5EF4-FFF2-40B4-BE49-F238E27FC236}">
              <a16:creationId xmlns:a16="http://schemas.microsoft.com/office/drawing/2014/main" id="{209B6F44-5B03-46D3-B112-34F1E51467F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2" name="Text Box 10" hidden="1">
          <a:extLst>
            <a:ext uri="{FF2B5EF4-FFF2-40B4-BE49-F238E27FC236}">
              <a16:creationId xmlns:a16="http://schemas.microsoft.com/office/drawing/2014/main" id="{EDE62F83-B2E4-4D97-B0C5-84102EC94DE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5" name="Text Box 13" hidden="1">
          <a:extLst>
            <a:ext uri="{FF2B5EF4-FFF2-40B4-BE49-F238E27FC236}">
              <a16:creationId xmlns:a16="http://schemas.microsoft.com/office/drawing/2014/main" id="{D77294AE-D268-4E3E-B492-C25164B9D3C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4" name="Text Box 12" hidden="1">
          <a:extLst>
            <a:ext uri="{FF2B5EF4-FFF2-40B4-BE49-F238E27FC236}">
              <a16:creationId xmlns:a16="http://schemas.microsoft.com/office/drawing/2014/main" id="{627C05B6-677D-4D42-AB0E-FDF8C19E4FB7}"/>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7" name="Text Box 15" hidden="1">
          <a:extLst>
            <a:ext uri="{FF2B5EF4-FFF2-40B4-BE49-F238E27FC236}">
              <a16:creationId xmlns:a16="http://schemas.microsoft.com/office/drawing/2014/main" id="{77D3382F-C3EC-4F60-A791-6EEC6982962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6" name="Text Box 14" hidden="1">
          <a:extLst>
            <a:ext uri="{FF2B5EF4-FFF2-40B4-BE49-F238E27FC236}">
              <a16:creationId xmlns:a16="http://schemas.microsoft.com/office/drawing/2014/main" id="{60B2A262-9480-4888-B1F0-25B62F60A7D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9" name="Text Box 17" hidden="1">
          <a:extLst>
            <a:ext uri="{FF2B5EF4-FFF2-40B4-BE49-F238E27FC236}">
              <a16:creationId xmlns:a16="http://schemas.microsoft.com/office/drawing/2014/main" id="{0A29A45A-32DC-4CD1-AEB5-36A383730E37}"/>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8" name="Text Box 16" hidden="1">
          <a:extLst>
            <a:ext uri="{FF2B5EF4-FFF2-40B4-BE49-F238E27FC236}">
              <a16:creationId xmlns:a16="http://schemas.microsoft.com/office/drawing/2014/main" id="{8A8A26C2-E5CB-49BA-A9BB-D5CB2E66870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1633</xdr:rowOff>
    </xdr:from>
    <xdr:to>
      <xdr:col>20</xdr:col>
      <xdr:colOff>235492</xdr:colOff>
      <xdr:row>59</xdr:row>
      <xdr:rowOff>164193</xdr:rowOff>
    </xdr:to>
    <xdr:sp macro="" textlink="">
      <xdr:nvSpPr>
        <xdr:cNvPr id="253970" name="Text Box 18" hidden="1">
          <a:extLst>
            <a:ext uri="{FF2B5EF4-FFF2-40B4-BE49-F238E27FC236}">
              <a16:creationId xmlns:a16="http://schemas.microsoft.com/office/drawing/2014/main" id="{C32DD6EC-EB13-4513-8AEF-C7BAE7F8FBF3}"/>
            </a:ext>
          </a:extLst>
        </xdr:cNvPr>
        <xdr:cNvSpPr txBox="1">
          <a:spLocks noChangeArrowheads="1"/>
        </xdr:cNvSpPr>
      </xdr:nvSpPr>
      <xdr:spPr bwMode="auto">
        <a:xfrm>
          <a:off x="12068175" y="111347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104140</xdr:rowOff>
    </xdr:from>
    <xdr:to>
      <xdr:col>20</xdr:col>
      <xdr:colOff>235492</xdr:colOff>
      <xdr:row>21</xdr:row>
      <xdr:rowOff>86360</xdr:rowOff>
    </xdr:to>
    <xdr:sp macro="" textlink="">
      <xdr:nvSpPr>
        <xdr:cNvPr id="253971" name="Text Box 19" hidden="1">
          <a:extLst>
            <a:ext uri="{FF2B5EF4-FFF2-40B4-BE49-F238E27FC236}">
              <a16:creationId xmlns:a16="http://schemas.microsoft.com/office/drawing/2014/main" id="{303747F6-E715-4B9F-A70E-87F489267339}"/>
            </a:ext>
          </a:extLst>
        </xdr:cNvPr>
        <xdr:cNvSpPr txBox="1">
          <a:spLocks noChangeArrowheads="1"/>
        </xdr:cNvSpPr>
      </xdr:nvSpPr>
      <xdr:spPr bwMode="auto">
        <a:xfrm>
          <a:off x="12068175" y="3257550"/>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2" name="Text Box 20" hidden="1">
          <a:extLst>
            <a:ext uri="{FF2B5EF4-FFF2-40B4-BE49-F238E27FC236}">
              <a16:creationId xmlns:a16="http://schemas.microsoft.com/office/drawing/2014/main" id="{99B604FB-76E1-433D-88F5-C14B7E2CE257}"/>
            </a:ext>
          </a:extLst>
        </xdr:cNvPr>
        <xdr:cNvSpPr txBox="1">
          <a:spLocks noChangeArrowheads="1"/>
        </xdr:cNvSpPr>
      </xdr:nvSpPr>
      <xdr:spPr bwMode="auto">
        <a:xfrm>
          <a:off x="12496800" y="8429625"/>
          <a:ext cx="13525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77" name="Text Box 25" hidden="1">
          <a:extLst>
            <a:ext uri="{FF2B5EF4-FFF2-40B4-BE49-F238E27FC236}">
              <a16:creationId xmlns:a16="http://schemas.microsoft.com/office/drawing/2014/main" id="{F9AA5F58-81EB-456D-B35D-BB8AA67544B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76" name="Text Box 24" hidden="1">
          <a:extLst>
            <a:ext uri="{FF2B5EF4-FFF2-40B4-BE49-F238E27FC236}">
              <a16:creationId xmlns:a16="http://schemas.microsoft.com/office/drawing/2014/main" id="{6CAD96CB-0A1E-4B22-8282-71E3654DADF9}"/>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164193</xdr:rowOff>
    </xdr:from>
    <xdr:to>
      <xdr:col>20</xdr:col>
      <xdr:colOff>235492</xdr:colOff>
      <xdr:row>59</xdr:row>
      <xdr:rowOff>162288</xdr:rowOff>
    </xdr:to>
    <xdr:sp macro="" textlink="">
      <xdr:nvSpPr>
        <xdr:cNvPr id="253975" name="Text Box 23" hidden="1">
          <a:extLst>
            <a:ext uri="{FF2B5EF4-FFF2-40B4-BE49-F238E27FC236}">
              <a16:creationId xmlns:a16="http://schemas.microsoft.com/office/drawing/2014/main" id="{62608814-2CF8-418D-93B3-936A7996FFA8}"/>
            </a:ext>
          </a:extLst>
        </xdr:cNvPr>
        <xdr:cNvSpPr txBox="1">
          <a:spLocks noChangeArrowheads="1"/>
        </xdr:cNvSpPr>
      </xdr:nvSpPr>
      <xdr:spPr bwMode="auto">
        <a:xfrm>
          <a:off x="12458700" y="1081278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86360</xdr:rowOff>
    </xdr:from>
    <xdr:to>
      <xdr:col>20</xdr:col>
      <xdr:colOff>235492</xdr:colOff>
      <xdr:row>21</xdr:row>
      <xdr:rowOff>76200</xdr:rowOff>
    </xdr:to>
    <xdr:sp macro="" textlink="">
      <xdr:nvSpPr>
        <xdr:cNvPr id="253974" name="Text Box 22" hidden="1">
          <a:extLst>
            <a:ext uri="{FF2B5EF4-FFF2-40B4-BE49-F238E27FC236}">
              <a16:creationId xmlns:a16="http://schemas.microsoft.com/office/drawing/2014/main" id="{6510BA9A-77DC-4BC7-8EC0-051E4316A391}"/>
            </a:ext>
          </a:extLst>
        </xdr:cNvPr>
        <xdr:cNvSpPr txBox="1">
          <a:spLocks noChangeArrowheads="1"/>
        </xdr:cNvSpPr>
      </xdr:nvSpPr>
      <xdr:spPr bwMode="auto">
        <a:xfrm>
          <a:off x="12458700" y="317754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3" name="Text Box 21" hidden="1">
          <a:extLst>
            <a:ext uri="{FF2B5EF4-FFF2-40B4-BE49-F238E27FC236}">
              <a16:creationId xmlns:a16="http://schemas.microsoft.com/office/drawing/2014/main" id="{A0CE7516-0832-4BA8-9306-997228502C8B}"/>
            </a:ext>
          </a:extLst>
        </xdr:cNvPr>
        <xdr:cNvSpPr txBox="1">
          <a:spLocks noChangeArrowheads="1"/>
        </xdr:cNvSpPr>
      </xdr:nvSpPr>
      <xdr:spPr bwMode="auto">
        <a:xfrm>
          <a:off x="12900660" y="819150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2" name="Text Box 30" hidden="1">
          <a:extLst>
            <a:ext uri="{FF2B5EF4-FFF2-40B4-BE49-F238E27FC236}">
              <a16:creationId xmlns:a16="http://schemas.microsoft.com/office/drawing/2014/main" id="{9D00F1F5-4CB3-48E2-8FE5-19E17AF09301}"/>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1" name="Text Box 29" hidden="1">
          <a:extLst>
            <a:ext uri="{FF2B5EF4-FFF2-40B4-BE49-F238E27FC236}">
              <a16:creationId xmlns:a16="http://schemas.microsoft.com/office/drawing/2014/main" id="{0833158D-6CF1-4EBE-8732-9E4FAD957EC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208187</xdr:colOff>
      <xdr:row>59</xdr:row>
      <xdr:rowOff>162288</xdr:rowOff>
    </xdr:to>
    <xdr:sp macro="" textlink="">
      <xdr:nvSpPr>
        <xdr:cNvPr id="253980" name="Text Box 28" hidden="1">
          <a:extLst>
            <a:ext uri="{FF2B5EF4-FFF2-40B4-BE49-F238E27FC236}">
              <a16:creationId xmlns:a16="http://schemas.microsoft.com/office/drawing/2014/main" id="{A05F084C-120A-4551-8119-E7AD3EAAFD47}"/>
            </a:ext>
          </a:extLst>
        </xdr:cNvPr>
        <xdr:cNvSpPr txBox="1">
          <a:spLocks noChangeArrowheads="1"/>
        </xdr:cNvSpPr>
      </xdr:nvSpPr>
      <xdr:spPr bwMode="auto">
        <a:xfrm>
          <a:off x="12458700" y="1080516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208187</xdr:colOff>
      <xdr:row>21</xdr:row>
      <xdr:rowOff>76200</xdr:rowOff>
    </xdr:to>
    <xdr:sp macro="" textlink="">
      <xdr:nvSpPr>
        <xdr:cNvPr id="253979" name="Text Box 27" hidden="1">
          <a:extLst>
            <a:ext uri="{FF2B5EF4-FFF2-40B4-BE49-F238E27FC236}">
              <a16:creationId xmlns:a16="http://schemas.microsoft.com/office/drawing/2014/main" id="{26687D79-111B-442F-BBAC-2F8313214DBC}"/>
            </a:ext>
          </a:extLst>
        </xdr:cNvPr>
        <xdr:cNvSpPr txBox="1">
          <a:spLocks noChangeArrowheads="1"/>
        </xdr:cNvSpPr>
      </xdr:nvSpPr>
      <xdr:spPr bwMode="auto">
        <a:xfrm>
          <a:off x="12458700" y="316992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162560</xdr:rowOff>
    </xdr:from>
    <xdr:to>
      <xdr:col>21</xdr:col>
      <xdr:colOff>208188</xdr:colOff>
      <xdr:row>46</xdr:row>
      <xdr:rowOff>10160</xdr:rowOff>
    </xdr:to>
    <xdr:sp macro="" textlink="">
      <xdr:nvSpPr>
        <xdr:cNvPr id="253978" name="Text Box 26" hidden="1">
          <a:extLst>
            <a:ext uri="{FF2B5EF4-FFF2-40B4-BE49-F238E27FC236}">
              <a16:creationId xmlns:a16="http://schemas.microsoft.com/office/drawing/2014/main" id="{E7728438-FA12-434E-B439-6BCBAFF0CEFE}"/>
            </a:ext>
          </a:extLst>
        </xdr:cNvPr>
        <xdr:cNvSpPr txBox="1">
          <a:spLocks noChangeArrowheads="1"/>
        </xdr:cNvSpPr>
      </xdr:nvSpPr>
      <xdr:spPr bwMode="auto">
        <a:xfrm>
          <a:off x="12900660" y="8183880"/>
          <a:ext cx="137160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7" name="Text Box 35" hidden="1">
          <a:extLst>
            <a:ext uri="{FF2B5EF4-FFF2-40B4-BE49-F238E27FC236}">
              <a16:creationId xmlns:a16="http://schemas.microsoft.com/office/drawing/2014/main" id="{7641B9E9-6875-418C-999E-CD83065F4A08}"/>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6" name="Text Box 34" hidden="1">
          <a:extLst>
            <a:ext uri="{FF2B5EF4-FFF2-40B4-BE49-F238E27FC236}">
              <a16:creationId xmlns:a16="http://schemas.microsoft.com/office/drawing/2014/main" id="{E3A74598-19C4-4863-89B8-FBAA928455C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85" name="Text Box 33" hidden="1">
          <a:extLst>
            <a:ext uri="{FF2B5EF4-FFF2-40B4-BE49-F238E27FC236}">
              <a16:creationId xmlns:a16="http://schemas.microsoft.com/office/drawing/2014/main" id="{228D6AD2-976D-4E5D-98B7-C507CBC20FF4}"/>
            </a:ext>
          </a:extLst>
        </xdr:cNvPr>
        <xdr:cNvSpPr txBox="1">
          <a:spLocks noChangeArrowheads="1"/>
        </xdr:cNvSpPr>
      </xdr:nvSpPr>
      <xdr:spPr bwMode="auto">
        <a:xfrm>
          <a:off x="12458700" y="1080516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4" name="Text Box 32" hidden="1">
          <a:extLst>
            <a:ext uri="{FF2B5EF4-FFF2-40B4-BE49-F238E27FC236}">
              <a16:creationId xmlns:a16="http://schemas.microsoft.com/office/drawing/2014/main" id="{D672E75D-E8F6-4499-ABB3-4BAEBB91499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3" name="Text Box 31" hidden="1">
          <a:extLst>
            <a:ext uri="{FF2B5EF4-FFF2-40B4-BE49-F238E27FC236}">
              <a16:creationId xmlns:a16="http://schemas.microsoft.com/office/drawing/2014/main" id="{671497DD-8F33-423A-AF99-420206A8BEDB}"/>
            </a:ext>
          </a:extLst>
        </xdr:cNvPr>
        <xdr:cNvSpPr txBox="1">
          <a:spLocks noChangeArrowheads="1"/>
        </xdr:cNvSpPr>
      </xdr:nvSpPr>
      <xdr:spPr bwMode="auto">
        <a:xfrm>
          <a:off x="12900660" y="8176260"/>
          <a:ext cx="136398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2" name="Text Box 40" hidden="1">
          <a:extLst>
            <a:ext uri="{FF2B5EF4-FFF2-40B4-BE49-F238E27FC236}">
              <a16:creationId xmlns:a16="http://schemas.microsoft.com/office/drawing/2014/main" id="{867BBF87-74E2-4AEB-A36A-908238A3392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1" name="Text Box 39" hidden="1">
          <a:extLst>
            <a:ext uri="{FF2B5EF4-FFF2-40B4-BE49-F238E27FC236}">
              <a16:creationId xmlns:a16="http://schemas.microsoft.com/office/drawing/2014/main" id="{A2D35E53-171B-44FF-A9F7-3C5BBBC86C7D}"/>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90" name="Text Box 38" hidden="1">
          <a:extLst>
            <a:ext uri="{FF2B5EF4-FFF2-40B4-BE49-F238E27FC236}">
              <a16:creationId xmlns:a16="http://schemas.microsoft.com/office/drawing/2014/main" id="{CFC6C123-8A0E-4674-AB5D-222709AA8EC7}"/>
            </a:ext>
          </a:extLst>
        </xdr:cNvPr>
        <xdr:cNvSpPr txBox="1">
          <a:spLocks noChangeArrowheads="1"/>
        </xdr:cNvSpPr>
      </xdr:nvSpPr>
      <xdr:spPr bwMode="auto">
        <a:xfrm>
          <a:off x="12068175" y="1111567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9" name="Text Box 37" hidden="1">
          <a:extLst>
            <a:ext uri="{FF2B5EF4-FFF2-40B4-BE49-F238E27FC236}">
              <a16:creationId xmlns:a16="http://schemas.microsoft.com/office/drawing/2014/main" id="{A0CACA46-9C46-4CB1-AD37-E18FC68151B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8" name="Text Box 36" hidden="1">
          <a:extLst>
            <a:ext uri="{FF2B5EF4-FFF2-40B4-BE49-F238E27FC236}">
              <a16:creationId xmlns:a16="http://schemas.microsoft.com/office/drawing/2014/main" id="{DB00F3C8-92E9-42AF-A760-70EDDC859708}"/>
            </a:ext>
          </a:extLst>
        </xdr:cNvPr>
        <xdr:cNvSpPr txBox="1">
          <a:spLocks noChangeArrowheads="1"/>
        </xdr:cNvSpPr>
      </xdr:nvSpPr>
      <xdr:spPr bwMode="auto">
        <a:xfrm>
          <a:off x="12496800" y="8401050"/>
          <a:ext cx="132397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7" name="Text Box 45" hidden="1">
          <a:extLst>
            <a:ext uri="{FF2B5EF4-FFF2-40B4-BE49-F238E27FC236}">
              <a16:creationId xmlns:a16="http://schemas.microsoft.com/office/drawing/2014/main" id="{366DB5D9-9330-486C-93C3-CA3D03A68A6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6" name="Text Box 44" hidden="1">
          <a:extLst>
            <a:ext uri="{FF2B5EF4-FFF2-40B4-BE49-F238E27FC236}">
              <a16:creationId xmlns:a16="http://schemas.microsoft.com/office/drawing/2014/main" id="{930C3209-A868-4F3E-873E-9E3A7DB51DF8}"/>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4" name="Text Box 42" hidden="1">
          <a:extLst>
            <a:ext uri="{FF2B5EF4-FFF2-40B4-BE49-F238E27FC236}">
              <a16:creationId xmlns:a16="http://schemas.microsoft.com/office/drawing/2014/main" id="{A77792B2-5B5F-4FF0-92DE-94610CA5FF42}"/>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141787</xdr:rowOff>
    </xdr:to>
    <xdr:sp macro="" textlink="">
      <xdr:nvSpPr>
        <xdr:cNvPr id="253993" name="Text Box 41" hidden="1">
          <a:extLst>
            <a:ext uri="{FF2B5EF4-FFF2-40B4-BE49-F238E27FC236}">
              <a16:creationId xmlns:a16="http://schemas.microsoft.com/office/drawing/2014/main" id="{C90F92DA-FB47-400F-ACA3-C21C64E46FF8}"/>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01" name="Text Box 49" hidden="1">
          <a:extLst>
            <a:ext uri="{FF2B5EF4-FFF2-40B4-BE49-F238E27FC236}">
              <a16:creationId xmlns:a16="http://schemas.microsoft.com/office/drawing/2014/main" id="{8194668E-6D99-4BB3-9928-820C1E3D503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00" name="Text Box 48" hidden="1">
          <a:extLst>
            <a:ext uri="{FF2B5EF4-FFF2-40B4-BE49-F238E27FC236}">
              <a16:creationId xmlns:a16="http://schemas.microsoft.com/office/drawing/2014/main" id="{0AE6DD68-2DAE-4B97-A9B9-C0E8518A8391}"/>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9" name="Text Box 47" hidden="1">
          <a:extLst>
            <a:ext uri="{FF2B5EF4-FFF2-40B4-BE49-F238E27FC236}">
              <a16:creationId xmlns:a16="http://schemas.microsoft.com/office/drawing/2014/main" id="{D4104F4F-8477-4233-8840-1EC57D41CE1F}"/>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140970</xdr:rowOff>
    </xdr:to>
    <xdr:sp macro="" textlink="">
      <xdr:nvSpPr>
        <xdr:cNvPr id="253998" name="Text Box 46" hidden="1">
          <a:extLst>
            <a:ext uri="{FF2B5EF4-FFF2-40B4-BE49-F238E27FC236}">
              <a16:creationId xmlns:a16="http://schemas.microsoft.com/office/drawing/2014/main" id="{19BDC162-CB53-4794-BEB6-06CDE7B7E556}"/>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57</xdr:row>
      <xdr:rowOff>1270</xdr:rowOff>
    </xdr:from>
    <xdr:to>
      <xdr:col>20</xdr:col>
      <xdr:colOff>231047</xdr:colOff>
      <xdr:row>60</xdr:row>
      <xdr:rowOff>152400</xdr:rowOff>
    </xdr:to>
    <xdr:sp macro="" textlink="">
      <xdr:nvSpPr>
        <xdr:cNvPr id="254006" name="Text Box 54" hidden="1">
          <a:extLst>
            <a:ext uri="{FF2B5EF4-FFF2-40B4-BE49-F238E27FC236}">
              <a16:creationId xmlns:a16="http://schemas.microsoft.com/office/drawing/2014/main" id="{7121F289-73C5-49F2-A3B1-C4F00F5595AA}"/>
            </a:ext>
          </a:extLst>
        </xdr:cNvPr>
        <xdr:cNvSpPr txBox="1">
          <a:spLocks noChangeArrowheads="1"/>
        </xdr:cNvSpPr>
      </xdr:nvSpPr>
      <xdr:spPr bwMode="auto">
        <a:xfrm>
          <a:off x="12068175" y="113252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60</xdr:row>
      <xdr:rowOff>1270</xdr:rowOff>
    </xdr:from>
    <xdr:to>
      <xdr:col>20</xdr:col>
      <xdr:colOff>231047</xdr:colOff>
      <xdr:row>63</xdr:row>
      <xdr:rowOff>152400</xdr:rowOff>
    </xdr:to>
    <xdr:sp macro="" textlink="">
      <xdr:nvSpPr>
        <xdr:cNvPr id="254007" name="Text Box 55" hidden="1">
          <a:extLst>
            <a:ext uri="{FF2B5EF4-FFF2-40B4-BE49-F238E27FC236}">
              <a16:creationId xmlns:a16="http://schemas.microsoft.com/office/drawing/2014/main" id="{A2408D7B-6AD9-44F6-9453-EF041EAD9C8E}"/>
            </a:ext>
          </a:extLst>
        </xdr:cNvPr>
        <xdr:cNvSpPr txBox="1">
          <a:spLocks noChangeArrowheads="1"/>
        </xdr:cNvSpPr>
      </xdr:nvSpPr>
      <xdr:spPr bwMode="auto">
        <a:xfrm>
          <a:off x="12068175" y="118967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63</xdr:row>
      <xdr:rowOff>1270</xdr:rowOff>
    </xdr:from>
    <xdr:to>
      <xdr:col>18</xdr:col>
      <xdr:colOff>231047</xdr:colOff>
      <xdr:row>66</xdr:row>
      <xdr:rowOff>140970</xdr:rowOff>
    </xdr:to>
    <xdr:sp macro="" textlink="">
      <xdr:nvSpPr>
        <xdr:cNvPr id="254008" name="Text Box 56" hidden="1">
          <a:extLst>
            <a:ext uri="{FF2B5EF4-FFF2-40B4-BE49-F238E27FC236}">
              <a16:creationId xmlns:a16="http://schemas.microsoft.com/office/drawing/2014/main" id="{873A723F-A2C8-47DD-B982-7F0875EAC57C}"/>
            </a:ext>
          </a:extLst>
        </xdr:cNvPr>
        <xdr:cNvSpPr txBox="1">
          <a:spLocks noChangeArrowheads="1"/>
        </xdr:cNvSpPr>
      </xdr:nvSpPr>
      <xdr:spPr bwMode="auto">
        <a:xfrm>
          <a:off x="11210925" y="12468225"/>
          <a:ext cx="1343025"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231048</xdr:colOff>
      <xdr:row>91</xdr:row>
      <xdr:rowOff>122827</xdr:rowOff>
    </xdr:to>
    <xdr:sp macro="" textlink="">
      <xdr:nvSpPr>
        <xdr:cNvPr id="254009" name="Text Box 57" hidden="1">
          <a:extLst>
            <a:ext uri="{FF2B5EF4-FFF2-40B4-BE49-F238E27FC236}">
              <a16:creationId xmlns:a16="http://schemas.microsoft.com/office/drawing/2014/main" id="{2452DF54-F88A-41B3-B844-B7412693576C}"/>
            </a:ext>
          </a:extLst>
        </xdr:cNvPr>
        <xdr:cNvSpPr txBox="1">
          <a:spLocks noChangeArrowheads="1"/>
        </xdr:cNvSpPr>
      </xdr:nvSpPr>
      <xdr:spPr bwMode="auto">
        <a:xfrm>
          <a:off x="12496800" y="17078325"/>
          <a:ext cx="1343025"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17" name="Text Box 65" hidden="1">
          <a:extLst>
            <a:ext uri="{FF2B5EF4-FFF2-40B4-BE49-F238E27FC236}">
              <a16:creationId xmlns:a16="http://schemas.microsoft.com/office/drawing/2014/main" id="{FC92EFD8-A0CE-4128-AA15-7EE30C5E4EC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16" name="Text Box 64" hidden="1">
          <a:extLst>
            <a:ext uri="{FF2B5EF4-FFF2-40B4-BE49-F238E27FC236}">
              <a16:creationId xmlns:a16="http://schemas.microsoft.com/office/drawing/2014/main" id="{2721EA77-BF9B-4855-AA0B-0A30794B7C34}"/>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15" name="Text Box 63" hidden="1">
          <a:extLst>
            <a:ext uri="{FF2B5EF4-FFF2-40B4-BE49-F238E27FC236}">
              <a16:creationId xmlns:a16="http://schemas.microsoft.com/office/drawing/2014/main" id="{268C6FCD-46EA-41E5-B435-D65A2C7AEBCC}"/>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14" name="Text Box 62" hidden="1">
          <a:extLst>
            <a:ext uri="{FF2B5EF4-FFF2-40B4-BE49-F238E27FC236}">
              <a16:creationId xmlns:a16="http://schemas.microsoft.com/office/drawing/2014/main" id="{98F0E968-0941-4B3A-A148-1099C49D04D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171450</xdr:rowOff>
    </xdr:from>
    <xdr:to>
      <xdr:col>20</xdr:col>
      <xdr:colOff>217077</xdr:colOff>
      <xdr:row>60</xdr:row>
      <xdr:rowOff>152400</xdr:rowOff>
    </xdr:to>
    <xdr:sp macro="" textlink="">
      <xdr:nvSpPr>
        <xdr:cNvPr id="254013" name="Text Box 61" hidden="1">
          <a:extLst>
            <a:ext uri="{FF2B5EF4-FFF2-40B4-BE49-F238E27FC236}">
              <a16:creationId xmlns:a16="http://schemas.microsoft.com/office/drawing/2014/main" id="{7703C89E-4F0D-4A9B-BFA0-B7FFA5B4AEE8}"/>
            </a:ext>
          </a:extLst>
        </xdr:cNvPr>
        <xdr:cNvSpPr txBox="1">
          <a:spLocks noChangeArrowheads="1"/>
        </xdr:cNvSpPr>
      </xdr:nvSpPr>
      <xdr:spPr bwMode="auto">
        <a:xfrm>
          <a:off x="12515850" y="111125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59</xdr:row>
      <xdr:rowOff>171450</xdr:rowOff>
    </xdr:from>
    <xdr:to>
      <xdr:col>20</xdr:col>
      <xdr:colOff>217077</xdr:colOff>
      <xdr:row>63</xdr:row>
      <xdr:rowOff>152400</xdr:rowOff>
    </xdr:to>
    <xdr:sp macro="" textlink="">
      <xdr:nvSpPr>
        <xdr:cNvPr id="254012" name="Text Box 60" hidden="1">
          <a:extLst>
            <a:ext uri="{FF2B5EF4-FFF2-40B4-BE49-F238E27FC236}">
              <a16:creationId xmlns:a16="http://schemas.microsoft.com/office/drawing/2014/main" id="{B870ECDD-93A3-4936-96F3-6A04F6E487CC}"/>
            </a:ext>
          </a:extLst>
        </xdr:cNvPr>
        <xdr:cNvSpPr txBox="1">
          <a:spLocks noChangeArrowheads="1"/>
        </xdr:cNvSpPr>
      </xdr:nvSpPr>
      <xdr:spPr bwMode="auto">
        <a:xfrm>
          <a:off x="12515850" y="1166495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62</xdr:row>
      <xdr:rowOff>171450</xdr:rowOff>
    </xdr:from>
    <xdr:to>
      <xdr:col>18</xdr:col>
      <xdr:colOff>217077</xdr:colOff>
      <xdr:row>66</xdr:row>
      <xdr:rowOff>133350</xdr:rowOff>
    </xdr:to>
    <xdr:sp macro="" textlink="">
      <xdr:nvSpPr>
        <xdr:cNvPr id="254011" name="Text Box 59" hidden="1">
          <a:extLst>
            <a:ext uri="{FF2B5EF4-FFF2-40B4-BE49-F238E27FC236}">
              <a16:creationId xmlns:a16="http://schemas.microsoft.com/office/drawing/2014/main" id="{585E90A2-2219-4733-83F7-E5F886707A9A}"/>
            </a:ext>
          </a:extLst>
        </xdr:cNvPr>
        <xdr:cNvSpPr txBox="1">
          <a:spLocks noChangeArrowheads="1"/>
        </xdr:cNvSpPr>
      </xdr:nvSpPr>
      <xdr:spPr bwMode="auto">
        <a:xfrm>
          <a:off x="11614150" y="12217400"/>
          <a:ext cx="14097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217078</xdr:colOff>
      <xdr:row>91</xdr:row>
      <xdr:rowOff>115207</xdr:rowOff>
    </xdr:to>
    <xdr:sp macro="" textlink="">
      <xdr:nvSpPr>
        <xdr:cNvPr id="254010" name="Text Box 58" hidden="1">
          <a:extLst>
            <a:ext uri="{FF2B5EF4-FFF2-40B4-BE49-F238E27FC236}">
              <a16:creationId xmlns:a16="http://schemas.microsoft.com/office/drawing/2014/main" id="{FFA21A02-D913-4F13-8D2C-1C7609A7766A}"/>
            </a:ext>
          </a:extLst>
        </xdr:cNvPr>
        <xdr:cNvSpPr txBox="1">
          <a:spLocks noChangeArrowheads="1"/>
        </xdr:cNvSpPr>
      </xdr:nvSpPr>
      <xdr:spPr bwMode="auto">
        <a:xfrm>
          <a:off x="12966700" y="167513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5" name="Text Box 73" hidden="1">
          <a:extLst>
            <a:ext uri="{FF2B5EF4-FFF2-40B4-BE49-F238E27FC236}">
              <a16:creationId xmlns:a16="http://schemas.microsoft.com/office/drawing/2014/main" id="{C8A7D88D-FE03-46BC-A8E2-FCDC5E2128C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4" name="Text Box 72" hidden="1">
          <a:extLst>
            <a:ext uri="{FF2B5EF4-FFF2-40B4-BE49-F238E27FC236}">
              <a16:creationId xmlns:a16="http://schemas.microsoft.com/office/drawing/2014/main" id="{9EF12882-9B93-4402-8A86-00888991D0C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3" name="Text Box 71" hidden="1">
          <a:extLst>
            <a:ext uri="{FF2B5EF4-FFF2-40B4-BE49-F238E27FC236}">
              <a16:creationId xmlns:a16="http://schemas.microsoft.com/office/drawing/2014/main" id="{9753F596-6DB3-432D-B2B8-2FA9812807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22" name="Text Box 70" hidden="1">
          <a:extLst>
            <a:ext uri="{FF2B5EF4-FFF2-40B4-BE49-F238E27FC236}">
              <a16:creationId xmlns:a16="http://schemas.microsoft.com/office/drawing/2014/main" id="{22E90EE4-4A60-4062-8A0C-5469C1C37A2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9" name="Text Box 77" hidden="1">
          <a:extLst>
            <a:ext uri="{FF2B5EF4-FFF2-40B4-BE49-F238E27FC236}">
              <a16:creationId xmlns:a16="http://schemas.microsoft.com/office/drawing/2014/main" id="{D85FDE1E-1C25-4A0A-81A1-EC1BC2E93F43}"/>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8" name="Text Box 76" hidden="1">
          <a:extLst>
            <a:ext uri="{FF2B5EF4-FFF2-40B4-BE49-F238E27FC236}">
              <a16:creationId xmlns:a16="http://schemas.microsoft.com/office/drawing/2014/main" id="{906BAB07-7F9F-43A5-8A92-7CA30912FDA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7" name="Text Box 75" hidden="1">
          <a:extLst>
            <a:ext uri="{FF2B5EF4-FFF2-40B4-BE49-F238E27FC236}">
              <a16:creationId xmlns:a16="http://schemas.microsoft.com/office/drawing/2014/main" id="{2CA08551-0682-463E-8424-06CE5D577AA1}"/>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26" name="Text Box 74" hidden="1">
          <a:extLst>
            <a:ext uri="{FF2B5EF4-FFF2-40B4-BE49-F238E27FC236}">
              <a16:creationId xmlns:a16="http://schemas.microsoft.com/office/drawing/2014/main" id="{E370550D-7F66-494F-A9E7-2C700AC8E510}"/>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0" name="Text Box 78" hidden="1">
          <a:extLst>
            <a:ext uri="{FF2B5EF4-FFF2-40B4-BE49-F238E27FC236}">
              <a16:creationId xmlns:a16="http://schemas.microsoft.com/office/drawing/2014/main" id="{F1517D70-8BF9-4912-B802-91018CEB4F27}"/>
            </a:ext>
          </a:extLst>
        </xdr:cNvPr>
        <xdr:cNvSpPr txBox="1">
          <a:spLocks noChangeArrowheads="1"/>
        </xdr:cNvSpPr>
      </xdr:nvSpPr>
      <xdr:spPr bwMode="auto">
        <a:xfrm>
          <a:off x="12382500" y="8328660"/>
          <a:ext cx="1287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35" name="Text Box 83" hidden="1">
          <a:extLst>
            <a:ext uri="{FF2B5EF4-FFF2-40B4-BE49-F238E27FC236}">
              <a16:creationId xmlns:a16="http://schemas.microsoft.com/office/drawing/2014/main" id="{C4136574-684F-42B7-99D4-06E55152E6C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4" name="Text Box 82" hidden="1">
          <a:extLst>
            <a:ext uri="{FF2B5EF4-FFF2-40B4-BE49-F238E27FC236}">
              <a16:creationId xmlns:a16="http://schemas.microsoft.com/office/drawing/2014/main" id="{8A991C61-32F0-4BFA-9681-C62041A591C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3" name="Text Box 81" hidden="1">
          <a:extLst>
            <a:ext uri="{FF2B5EF4-FFF2-40B4-BE49-F238E27FC236}">
              <a16:creationId xmlns:a16="http://schemas.microsoft.com/office/drawing/2014/main" id="{54014848-C903-458D-ABA4-AF4C0E6FA26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2" name="Text Box 80" hidden="1">
          <a:extLst>
            <a:ext uri="{FF2B5EF4-FFF2-40B4-BE49-F238E27FC236}">
              <a16:creationId xmlns:a16="http://schemas.microsoft.com/office/drawing/2014/main" id="{1CB89CF4-F425-4DDF-9538-5EB501814F4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1" name="Text Box 79" hidden="1">
          <a:extLst>
            <a:ext uri="{FF2B5EF4-FFF2-40B4-BE49-F238E27FC236}">
              <a16:creationId xmlns:a16="http://schemas.microsoft.com/office/drawing/2014/main" id="{93ED7369-3C48-45C5-A991-E75B107C91BE}"/>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0" name="Text Box 88" hidden="1">
          <a:extLst>
            <a:ext uri="{FF2B5EF4-FFF2-40B4-BE49-F238E27FC236}">
              <a16:creationId xmlns:a16="http://schemas.microsoft.com/office/drawing/2014/main" id="{025BD699-889F-4416-927A-503D26BBB3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9" name="Text Box 87" hidden="1">
          <a:extLst>
            <a:ext uri="{FF2B5EF4-FFF2-40B4-BE49-F238E27FC236}">
              <a16:creationId xmlns:a16="http://schemas.microsoft.com/office/drawing/2014/main" id="{32B0AB3B-BC50-4FDB-B35E-4D88DAE2BA9D}"/>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8" name="Text Box 86" hidden="1">
          <a:extLst>
            <a:ext uri="{FF2B5EF4-FFF2-40B4-BE49-F238E27FC236}">
              <a16:creationId xmlns:a16="http://schemas.microsoft.com/office/drawing/2014/main" id="{0CE837B7-155D-4B46-9D87-BE2CD1EE0C49}"/>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7" name="Text Box 85" hidden="1">
          <a:extLst>
            <a:ext uri="{FF2B5EF4-FFF2-40B4-BE49-F238E27FC236}">
              <a16:creationId xmlns:a16="http://schemas.microsoft.com/office/drawing/2014/main" id="{79822F0F-96E0-4130-94EA-15C8A1C301F2}"/>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6" name="Text Box 84" hidden="1">
          <a:extLst>
            <a:ext uri="{FF2B5EF4-FFF2-40B4-BE49-F238E27FC236}">
              <a16:creationId xmlns:a16="http://schemas.microsoft.com/office/drawing/2014/main" id="{CA4EB366-50D3-41DD-A03D-5A960A59A39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5" name="Text Box 103" hidden="1">
          <a:extLst>
            <a:ext uri="{FF2B5EF4-FFF2-40B4-BE49-F238E27FC236}">
              <a16:creationId xmlns:a16="http://schemas.microsoft.com/office/drawing/2014/main" id="{681DF065-9C50-4A99-88E4-D5F62F5AD15E}"/>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4" name="Text Box 102" hidden="1">
          <a:extLst>
            <a:ext uri="{FF2B5EF4-FFF2-40B4-BE49-F238E27FC236}">
              <a16:creationId xmlns:a16="http://schemas.microsoft.com/office/drawing/2014/main" id="{5573B8E2-85A4-4F11-89AC-9F5EE61D346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3" name="Text Box 101" hidden="1">
          <a:extLst>
            <a:ext uri="{FF2B5EF4-FFF2-40B4-BE49-F238E27FC236}">
              <a16:creationId xmlns:a16="http://schemas.microsoft.com/office/drawing/2014/main" id="{BA11F50A-837D-4F2B-B94A-BCFC546F16E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2" name="Text Box 100" hidden="1">
          <a:extLst>
            <a:ext uri="{FF2B5EF4-FFF2-40B4-BE49-F238E27FC236}">
              <a16:creationId xmlns:a16="http://schemas.microsoft.com/office/drawing/2014/main" id="{FF2FA778-E997-4BAA-AF50-2B55FD8AC10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1" name="Text Box 99" hidden="1">
          <a:extLst>
            <a:ext uri="{FF2B5EF4-FFF2-40B4-BE49-F238E27FC236}">
              <a16:creationId xmlns:a16="http://schemas.microsoft.com/office/drawing/2014/main" id="{BA44C3CE-ACC1-4203-B460-515393C4F8EA}"/>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0" name="Text Box 98" hidden="1">
          <a:extLst>
            <a:ext uri="{FF2B5EF4-FFF2-40B4-BE49-F238E27FC236}">
              <a16:creationId xmlns:a16="http://schemas.microsoft.com/office/drawing/2014/main" id="{944DE99E-6A00-4213-9C3C-4373D5F06B10}"/>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9" name="Text Box 97" hidden="1">
          <a:extLst>
            <a:ext uri="{FF2B5EF4-FFF2-40B4-BE49-F238E27FC236}">
              <a16:creationId xmlns:a16="http://schemas.microsoft.com/office/drawing/2014/main" id="{EA4CFC32-6389-4E95-949D-00F3B19975F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8" name="Text Box 96" hidden="1">
          <a:extLst>
            <a:ext uri="{FF2B5EF4-FFF2-40B4-BE49-F238E27FC236}">
              <a16:creationId xmlns:a16="http://schemas.microsoft.com/office/drawing/2014/main" id="{DE669E0A-6EBB-4470-8528-B85DC0DA374F}"/>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7" name="Text Box 95" hidden="1">
          <a:extLst>
            <a:ext uri="{FF2B5EF4-FFF2-40B4-BE49-F238E27FC236}">
              <a16:creationId xmlns:a16="http://schemas.microsoft.com/office/drawing/2014/main" id="{DCDBAE3F-DD40-447A-9566-3256D2DA1D1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6" name="Text Box 94" hidden="1">
          <a:extLst>
            <a:ext uri="{FF2B5EF4-FFF2-40B4-BE49-F238E27FC236}">
              <a16:creationId xmlns:a16="http://schemas.microsoft.com/office/drawing/2014/main" id="{DDC26B90-D232-487D-896C-97A070D23049}"/>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5" name="Text Box 93" hidden="1">
          <a:extLst>
            <a:ext uri="{FF2B5EF4-FFF2-40B4-BE49-F238E27FC236}">
              <a16:creationId xmlns:a16="http://schemas.microsoft.com/office/drawing/2014/main" id="{B993323B-5B29-4F5A-8F7D-13FF50ACE4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4" name="Text Box 92" hidden="1">
          <a:extLst>
            <a:ext uri="{FF2B5EF4-FFF2-40B4-BE49-F238E27FC236}">
              <a16:creationId xmlns:a16="http://schemas.microsoft.com/office/drawing/2014/main" id="{DECB84D9-3F57-47A0-A7C3-433B56D7D03A}"/>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3" name="Text Box 91" hidden="1">
          <a:extLst>
            <a:ext uri="{FF2B5EF4-FFF2-40B4-BE49-F238E27FC236}">
              <a16:creationId xmlns:a16="http://schemas.microsoft.com/office/drawing/2014/main" id="{942DCB35-01AF-4D28-B60A-9DD62A0EEB4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2" name="Text Box 90" hidden="1">
          <a:extLst>
            <a:ext uri="{FF2B5EF4-FFF2-40B4-BE49-F238E27FC236}">
              <a16:creationId xmlns:a16="http://schemas.microsoft.com/office/drawing/2014/main" id="{233B47BA-D925-42B5-874F-C90DBAE0874D}"/>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1" name="Text Box 89" hidden="1">
          <a:extLst>
            <a:ext uri="{FF2B5EF4-FFF2-40B4-BE49-F238E27FC236}">
              <a16:creationId xmlns:a16="http://schemas.microsoft.com/office/drawing/2014/main" id="{77CDF082-8482-458E-B3B1-DF7A791CDDC2}"/>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0" name="Text Box 118" hidden="1">
          <a:extLst>
            <a:ext uri="{FF2B5EF4-FFF2-40B4-BE49-F238E27FC236}">
              <a16:creationId xmlns:a16="http://schemas.microsoft.com/office/drawing/2014/main" id="{E81640F2-D90D-4280-A6EB-D58B4DC5FE01}"/>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9" name="Text Box 117" hidden="1">
          <a:extLst>
            <a:ext uri="{FF2B5EF4-FFF2-40B4-BE49-F238E27FC236}">
              <a16:creationId xmlns:a16="http://schemas.microsoft.com/office/drawing/2014/main" id="{22C1B8B3-655B-4ADB-85E8-AF5B065E3B1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8" name="Text Box 116" hidden="1">
          <a:extLst>
            <a:ext uri="{FF2B5EF4-FFF2-40B4-BE49-F238E27FC236}">
              <a16:creationId xmlns:a16="http://schemas.microsoft.com/office/drawing/2014/main" id="{174BCA59-3586-4154-8F8B-A53D4FE692A0}"/>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7" name="Text Box 115" hidden="1">
          <a:extLst>
            <a:ext uri="{FF2B5EF4-FFF2-40B4-BE49-F238E27FC236}">
              <a16:creationId xmlns:a16="http://schemas.microsoft.com/office/drawing/2014/main" id="{2EFC9331-D048-4EAE-8AA6-2B681469C536}"/>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6" name="Text Box 114" hidden="1">
          <a:extLst>
            <a:ext uri="{FF2B5EF4-FFF2-40B4-BE49-F238E27FC236}">
              <a16:creationId xmlns:a16="http://schemas.microsoft.com/office/drawing/2014/main" id="{E036E5E5-7EB6-4B33-94B0-F81482811408}"/>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5" name="Text Box 113" hidden="1">
          <a:extLst>
            <a:ext uri="{FF2B5EF4-FFF2-40B4-BE49-F238E27FC236}">
              <a16:creationId xmlns:a16="http://schemas.microsoft.com/office/drawing/2014/main" id="{3EA51F31-0799-4E3A-907A-6C5F41B964C2}"/>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4" name="Text Box 112" hidden="1">
          <a:extLst>
            <a:ext uri="{FF2B5EF4-FFF2-40B4-BE49-F238E27FC236}">
              <a16:creationId xmlns:a16="http://schemas.microsoft.com/office/drawing/2014/main" id="{4CE81FF0-445C-4DCB-AB55-0C22A4225E7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3" name="Text Box 111" hidden="1">
          <a:extLst>
            <a:ext uri="{FF2B5EF4-FFF2-40B4-BE49-F238E27FC236}">
              <a16:creationId xmlns:a16="http://schemas.microsoft.com/office/drawing/2014/main" id="{7AFE4C70-DDF9-4C94-A776-72FC7AE471EC}"/>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2" name="Text Box 110" hidden="1">
          <a:extLst>
            <a:ext uri="{FF2B5EF4-FFF2-40B4-BE49-F238E27FC236}">
              <a16:creationId xmlns:a16="http://schemas.microsoft.com/office/drawing/2014/main" id="{B5E70241-3D54-4DDC-B44D-04377AEE206A}"/>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1" name="Text Box 109" hidden="1">
          <a:extLst>
            <a:ext uri="{FF2B5EF4-FFF2-40B4-BE49-F238E27FC236}">
              <a16:creationId xmlns:a16="http://schemas.microsoft.com/office/drawing/2014/main" id="{11CBA8FD-75CE-47A8-BF7D-2A168FB06945}"/>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0" name="Text Box 108" hidden="1">
          <a:extLst>
            <a:ext uri="{FF2B5EF4-FFF2-40B4-BE49-F238E27FC236}">
              <a16:creationId xmlns:a16="http://schemas.microsoft.com/office/drawing/2014/main" id="{B1302F8D-1671-443F-AD32-09EB5DDCE7A7}"/>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9" name="Text Box 107" hidden="1">
          <a:extLst>
            <a:ext uri="{FF2B5EF4-FFF2-40B4-BE49-F238E27FC236}">
              <a16:creationId xmlns:a16="http://schemas.microsoft.com/office/drawing/2014/main" id="{0FE96101-D7B4-4D5B-AD6D-9570F9C22486}"/>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8" name="Text Box 106" hidden="1">
          <a:extLst>
            <a:ext uri="{FF2B5EF4-FFF2-40B4-BE49-F238E27FC236}">
              <a16:creationId xmlns:a16="http://schemas.microsoft.com/office/drawing/2014/main" id="{E51CF832-5DDF-418E-915E-D37DB4138404}"/>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7" name="Text Box 105" hidden="1">
          <a:extLst>
            <a:ext uri="{FF2B5EF4-FFF2-40B4-BE49-F238E27FC236}">
              <a16:creationId xmlns:a16="http://schemas.microsoft.com/office/drawing/2014/main" id="{6450B6AF-1E8F-4140-A9D4-29774359D227}"/>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6" name="Text Box 104" hidden="1">
          <a:extLst>
            <a:ext uri="{FF2B5EF4-FFF2-40B4-BE49-F238E27FC236}">
              <a16:creationId xmlns:a16="http://schemas.microsoft.com/office/drawing/2014/main" id="{3576DC55-FF71-49D9-96FE-27D6465B257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5" name="Text Box 123" hidden="1">
          <a:extLst>
            <a:ext uri="{FF2B5EF4-FFF2-40B4-BE49-F238E27FC236}">
              <a16:creationId xmlns:a16="http://schemas.microsoft.com/office/drawing/2014/main" id="{978210E6-6415-472A-AFA5-7D158710C3C1}"/>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4" name="Text Box 122" hidden="1">
          <a:extLst>
            <a:ext uri="{FF2B5EF4-FFF2-40B4-BE49-F238E27FC236}">
              <a16:creationId xmlns:a16="http://schemas.microsoft.com/office/drawing/2014/main" id="{F316D644-B619-4083-8F85-FFF1D3BD602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3" name="Text Box 121" hidden="1">
          <a:extLst>
            <a:ext uri="{FF2B5EF4-FFF2-40B4-BE49-F238E27FC236}">
              <a16:creationId xmlns:a16="http://schemas.microsoft.com/office/drawing/2014/main" id="{BAC13CE5-9F00-4996-BE29-2C1635F35F3D}"/>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2" name="Text Box 120" hidden="1">
          <a:extLst>
            <a:ext uri="{FF2B5EF4-FFF2-40B4-BE49-F238E27FC236}">
              <a16:creationId xmlns:a16="http://schemas.microsoft.com/office/drawing/2014/main" id="{96CE7FFB-E904-413F-8AF3-6E1203AEA54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1" name="Text Box 119" hidden="1">
          <a:extLst>
            <a:ext uri="{FF2B5EF4-FFF2-40B4-BE49-F238E27FC236}">
              <a16:creationId xmlns:a16="http://schemas.microsoft.com/office/drawing/2014/main" id="{D1E738CA-FA06-446A-9236-978C454DF3C7}"/>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0" name="Text Box 128" hidden="1">
          <a:extLst>
            <a:ext uri="{FF2B5EF4-FFF2-40B4-BE49-F238E27FC236}">
              <a16:creationId xmlns:a16="http://schemas.microsoft.com/office/drawing/2014/main" id="{CB8707CC-F302-4ADC-BFC9-E2CBEAFEBCE8}"/>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9" name="Text Box 127" hidden="1">
          <a:extLst>
            <a:ext uri="{FF2B5EF4-FFF2-40B4-BE49-F238E27FC236}">
              <a16:creationId xmlns:a16="http://schemas.microsoft.com/office/drawing/2014/main" id="{43CE300B-E277-4734-AC5E-9445C550063C}"/>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8" name="Text Box 126" hidden="1">
          <a:extLst>
            <a:ext uri="{FF2B5EF4-FFF2-40B4-BE49-F238E27FC236}">
              <a16:creationId xmlns:a16="http://schemas.microsoft.com/office/drawing/2014/main" id="{CCC5E8DD-2118-479E-9924-E599A87A20D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7" name="Text Box 125" hidden="1">
          <a:extLst>
            <a:ext uri="{FF2B5EF4-FFF2-40B4-BE49-F238E27FC236}">
              <a16:creationId xmlns:a16="http://schemas.microsoft.com/office/drawing/2014/main" id="{995F86FB-2141-4C15-828A-985BBA482739}"/>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6" name="Text Box 124" hidden="1">
          <a:extLst>
            <a:ext uri="{FF2B5EF4-FFF2-40B4-BE49-F238E27FC236}">
              <a16:creationId xmlns:a16="http://schemas.microsoft.com/office/drawing/2014/main" id="{CE765FF3-ACA8-453F-B3C7-0515E22D7476}"/>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5" name="Text Box 133" hidden="1">
          <a:extLst>
            <a:ext uri="{FF2B5EF4-FFF2-40B4-BE49-F238E27FC236}">
              <a16:creationId xmlns:a16="http://schemas.microsoft.com/office/drawing/2014/main" id="{ED488D3E-5087-4452-BDAD-0C0238DD571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4" name="Text Box 132" hidden="1">
          <a:extLst>
            <a:ext uri="{FF2B5EF4-FFF2-40B4-BE49-F238E27FC236}">
              <a16:creationId xmlns:a16="http://schemas.microsoft.com/office/drawing/2014/main" id="{6B527C80-FFF1-402D-B2AA-37349EF447B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3" name="Text Box 131" hidden="1">
          <a:extLst>
            <a:ext uri="{FF2B5EF4-FFF2-40B4-BE49-F238E27FC236}">
              <a16:creationId xmlns:a16="http://schemas.microsoft.com/office/drawing/2014/main" id="{38901A94-9B10-4E21-A6F3-96D8B5C6CC31}"/>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2" name="Text Box 130" hidden="1">
          <a:extLst>
            <a:ext uri="{FF2B5EF4-FFF2-40B4-BE49-F238E27FC236}">
              <a16:creationId xmlns:a16="http://schemas.microsoft.com/office/drawing/2014/main" id="{C40618D6-F382-414E-AF20-B2D1AF40519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1" name="Text Box 129" hidden="1">
          <a:extLst>
            <a:ext uri="{FF2B5EF4-FFF2-40B4-BE49-F238E27FC236}">
              <a16:creationId xmlns:a16="http://schemas.microsoft.com/office/drawing/2014/main" id="{6DB0AD2F-4888-4601-82C2-C6D81201052A}"/>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0" name="Text Box 138" hidden="1">
          <a:extLst>
            <a:ext uri="{FF2B5EF4-FFF2-40B4-BE49-F238E27FC236}">
              <a16:creationId xmlns:a16="http://schemas.microsoft.com/office/drawing/2014/main" id="{75F318AB-7D7B-46AE-BDB8-5F09848A012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9" name="Text Box 137" hidden="1">
          <a:extLst>
            <a:ext uri="{FF2B5EF4-FFF2-40B4-BE49-F238E27FC236}">
              <a16:creationId xmlns:a16="http://schemas.microsoft.com/office/drawing/2014/main" id="{EEE6D05D-4C5B-4D29-9A64-96C4AC88B0E3}"/>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8" name="Text Box 136" hidden="1">
          <a:extLst>
            <a:ext uri="{FF2B5EF4-FFF2-40B4-BE49-F238E27FC236}">
              <a16:creationId xmlns:a16="http://schemas.microsoft.com/office/drawing/2014/main" id="{989A3EF5-F702-421D-BBC9-EBB52CFEC60E}"/>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7" name="Text Box 135" hidden="1">
          <a:extLst>
            <a:ext uri="{FF2B5EF4-FFF2-40B4-BE49-F238E27FC236}">
              <a16:creationId xmlns:a16="http://schemas.microsoft.com/office/drawing/2014/main" id="{5AA09665-97C3-4C1E-9111-26395BDA398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6" name="Text Box 134" hidden="1">
          <a:extLst>
            <a:ext uri="{FF2B5EF4-FFF2-40B4-BE49-F238E27FC236}">
              <a16:creationId xmlns:a16="http://schemas.microsoft.com/office/drawing/2014/main" id="{EB9B4EE2-0B4D-40BE-9C93-0B859CB8C8B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5" name="Text Box 143" hidden="1">
          <a:extLst>
            <a:ext uri="{FF2B5EF4-FFF2-40B4-BE49-F238E27FC236}">
              <a16:creationId xmlns:a16="http://schemas.microsoft.com/office/drawing/2014/main" id="{BAA496B7-8D8A-414D-925F-287E25684C10}"/>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4" name="Text Box 142" hidden="1">
          <a:extLst>
            <a:ext uri="{FF2B5EF4-FFF2-40B4-BE49-F238E27FC236}">
              <a16:creationId xmlns:a16="http://schemas.microsoft.com/office/drawing/2014/main" id="{9F93893B-AB59-420D-A009-53CC9A1DCA39}"/>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3" name="Text Box 141" hidden="1">
          <a:extLst>
            <a:ext uri="{FF2B5EF4-FFF2-40B4-BE49-F238E27FC236}">
              <a16:creationId xmlns:a16="http://schemas.microsoft.com/office/drawing/2014/main" id="{8911D1FD-756F-4E5C-A5D1-7DA20482264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2" name="Text Box 140" hidden="1">
          <a:extLst>
            <a:ext uri="{FF2B5EF4-FFF2-40B4-BE49-F238E27FC236}">
              <a16:creationId xmlns:a16="http://schemas.microsoft.com/office/drawing/2014/main" id="{8E77DAE0-3895-4ADD-94A8-F888E310A287}"/>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1" name="Text Box 139" hidden="1">
          <a:extLst>
            <a:ext uri="{FF2B5EF4-FFF2-40B4-BE49-F238E27FC236}">
              <a16:creationId xmlns:a16="http://schemas.microsoft.com/office/drawing/2014/main" id="{988195A7-15CD-42C5-8CDD-2243F73BFBA8}"/>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100" name="Text Box 148" hidden="1">
          <a:extLst>
            <a:ext uri="{FF2B5EF4-FFF2-40B4-BE49-F238E27FC236}">
              <a16:creationId xmlns:a16="http://schemas.microsoft.com/office/drawing/2014/main" id="{267AD045-E19C-460B-8DB7-EDA208E9E283}"/>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9" name="Text Box 147" hidden="1">
          <a:extLst>
            <a:ext uri="{FF2B5EF4-FFF2-40B4-BE49-F238E27FC236}">
              <a16:creationId xmlns:a16="http://schemas.microsoft.com/office/drawing/2014/main" id="{A5F51187-2A6D-4057-B784-93C3724BBFEE}"/>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8" name="Text Box 146" hidden="1">
          <a:extLst>
            <a:ext uri="{FF2B5EF4-FFF2-40B4-BE49-F238E27FC236}">
              <a16:creationId xmlns:a16="http://schemas.microsoft.com/office/drawing/2014/main" id="{45574422-0D0A-4DDF-A841-D652B1B1F0E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7" name="Text Box 145" hidden="1">
          <a:extLst>
            <a:ext uri="{FF2B5EF4-FFF2-40B4-BE49-F238E27FC236}">
              <a16:creationId xmlns:a16="http://schemas.microsoft.com/office/drawing/2014/main" id="{580F0238-350A-48EB-8396-7F2C8F9A944D}"/>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6" name="Text Box 144" hidden="1">
          <a:extLst>
            <a:ext uri="{FF2B5EF4-FFF2-40B4-BE49-F238E27FC236}">
              <a16:creationId xmlns:a16="http://schemas.microsoft.com/office/drawing/2014/main" id="{2FE11712-1A25-43D8-B7D7-666E1AD542C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54101" name="Text Box 149" hidden="1">
          <a:extLst>
            <a:ext uri="{FF2B5EF4-FFF2-40B4-BE49-F238E27FC236}">
              <a16:creationId xmlns:a16="http://schemas.microsoft.com/office/drawing/2014/main" id="{B845E3A9-5C60-4BEC-93B5-67F90BD197ED}"/>
            </a:ext>
          </a:extLst>
        </xdr:cNvPr>
        <xdr:cNvSpPr txBox="1">
          <a:spLocks noChangeArrowheads="1"/>
        </xdr:cNvSpPr>
      </xdr:nvSpPr>
      <xdr:spPr bwMode="auto">
        <a:xfrm>
          <a:off x="13277850" y="3467100"/>
          <a:ext cx="1285875"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54102" name="Text Box 150" hidden="1">
          <a:extLst>
            <a:ext uri="{FF2B5EF4-FFF2-40B4-BE49-F238E27FC236}">
              <a16:creationId xmlns:a16="http://schemas.microsoft.com/office/drawing/2014/main" id="{9C36E2F1-F551-41AB-9986-3FCDBFAA6FC0}"/>
            </a:ext>
          </a:extLst>
        </xdr:cNvPr>
        <xdr:cNvSpPr txBox="1">
          <a:spLocks noChangeArrowheads="1"/>
        </xdr:cNvSpPr>
      </xdr:nvSpPr>
      <xdr:spPr bwMode="auto">
        <a:xfrm>
          <a:off x="4152900" y="461010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43" name="Text Box 7" hidden="1">
          <a:extLst>
            <a:ext uri="{FF2B5EF4-FFF2-40B4-BE49-F238E27FC236}">
              <a16:creationId xmlns:a16="http://schemas.microsoft.com/office/drawing/2014/main" id="{EBBB303D-AC5F-485A-A6E2-82711D12A59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2" name="Text Box 6" hidden="1">
          <a:extLst>
            <a:ext uri="{FF2B5EF4-FFF2-40B4-BE49-F238E27FC236}">
              <a16:creationId xmlns:a16="http://schemas.microsoft.com/office/drawing/2014/main" id="{5C0D1B10-EAFE-4D39-8E28-6DEB60D2A96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1" name="Text Box 5" hidden="1">
          <a:extLst>
            <a:ext uri="{FF2B5EF4-FFF2-40B4-BE49-F238E27FC236}">
              <a16:creationId xmlns:a16="http://schemas.microsoft.com/office/drawing/2014/main" id="{69F13E04-3342-40C1-9D7E-8E1079D86B78}"/>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0" name="Text Box 4" hidden="1">
          <a:extLst>
            <a:ext uri="{FF2B5EF4-FFF2-40B4-BE49-F238E27FC236}">
              <a16:creationId xmlns:a16="http://schemas.microsoft.com/office/drawing/2014/main" id="{07A935C9-BE0D-458D-A600-9B583407B85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39" name="Text Box 3" hidden="1">
          <a:extLst>
            <a:ext uri="{FF2B5EF4-FFF2-40B4-BE49-F238E27FC236}">
              <a16:creationId xmlns:a16="http://schemas.microsoft.com/office/drawing/2014/main" id="{3AAE20C7-A6B6-459B-BE53-9F93A3BA409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38" name="Text Box 2" hidden="1">
          <a:extLst>
            <a:ext uri="{FF2B5EF4-FFF2-40B4-BE49-F238E27FC236}">
              <a16:creationId xmlns:a16="http://schemas.microsoft.com/office/drawing/2014/main" id="{D8334C36-D5AA-4B76-97A1-99383F1B8DDC}"/>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37" name="Text Box 1" hidden="1">
          <a:extLst>
            <a:ext uri="{FF2B5EF4-FFF2-40B4-BE49-F238E27FC236}">
              <a16:creationId xmlns:a16="http://schemas.microsoft.com/office/drawing/2014/main" id="{AB841CCE-BBC4-4B41-ADB5-C95C4D907038}"/>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0" name="Text Box 14" hidden="1">
          <a:extLst>
            <a:ext uri="{FF2B5EF4-FFF2-40B4-BE49-F238E27FC236}">
              <a16:creationId xmlns:a16="http://schemas.microsoft.com/office/drawing/2014/main" id="{52A09CB4-EFFF-41F5-9139-056B5107BDD8}"/>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9" name="Text Box 13" hidden="1">
          <a:extLst>
            <a:ext uri="{FF2B5EF4-FFF2-40B4-BE49-F238E27FC236}">
              <a16:creationId xmlns:a16="http://schemas.microsoft.com/office/drawing/2014/main" id="{1EFE681B-9B3B-4A02-A50E-67746760D82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8" name="Text Box 12" hidden="1">
          <a:extLst>
            <a:ext uri="{FF2B5EF4-FFF2-40B4-BE49-F238E27FC236}">
              <a16:creationId xmlns:a16="http://schemas.microsoft.com/office/drawing/2014/main" id="{D6D698DA-53C1-4D9B-9392-A195199BD6B6}"/>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7" name="Text Box 11" hidden="1">
          <a:extLst>
            <a:ext uri="{FF2B5EF4-FFF2-40B4-BE49-F238E27FC236}">
              <a16:creationId xmlns:a16="http://schemas.microsoft.com/office/drawing/2014/main" id="{0D66910D-A92D-48C8-A871-89DED9F9A486}"/>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46" name="Text Box 10" hidden="1">
          <a:extLst>
            <a:ext uri="{FF2B5EF4-FFF2-40B4-BE49-F238E27FC236}">
              <a16:creationId xmlns:a16="http://schemas.microsoft.com/office/drawing/2014/main" id="{B8738D37-CD51-471D-9512-C93AA9104166}"/>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45" name="Text Box 9" hidden="1">
          <a:extLst>
            <a:ext uri="{FF2B5EF4-FFF2-40B4-BE49-F238E27FC236}">
              <a16:creationId xmlns:a16="http://schemas.microsoft.com/office/drawing/2014/main" id="{4E92A4C5-B999-45A5-877E-EE02EC339154}"/>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44" name="Text Box 8" hidden="1">
          <a:extLst>
            <a:ext uri="{FF2B5EF4-FFF2-40B4-BE49-F238E27FC236}">
              <a16:creationId xmlns:a16="http://schemas.microsoft.com/office/drawing/2014/main" id="{7AD08E4D-CC64-4872-AFB5-074BB8940FFB}"/>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7" name="Text Box 21" hidden="1">
          <a:extLst>
            <a:ext uri="{FF2B5EF4-FFF2-40B4-BE49-F238E27FC236}">
              <a16:creationId xmlns:a16="http://schemas.microsoft.com/office/drawing/2014/main" id="{BD52148A-2AEA-4F95-8C9D-AD4EE931EC6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56" name="Text Box 20" hidden="1">
          <a:extLst>
            <a:ext uri="{FF2B5EF4-FFF2-40B4-BE49-F238E27FC236}">
              <a16:creationId xmlns:a16="http://schemas.microsoft.com/office/drawing/2014/main" id="{CEDCEA6F-B433-455B-98AE-D7D0D2DD26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55" name="Text Box 19" hidden="1">
          <a:extLst>
            <a:ext uri="{FF2B5EF4-FFF2-40B4-BE49-F238E27FC236}">
              <a16:creationId xmlns:a16="http://schemas.microsoft.com/office/drawing/2014/main" id="{8E543D30-2C23-453B-B07F-6166C6505D3B}"/>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54" name="Text Box 18" hidden="1">
          <a:extLst>
            <a:ext uri="{FF2B5EF4-FFF2-40B4-BE49-F238E27FC236}">
              <a16:creationId xmlns:a16="http://schemas.microsoft.com/office/drawing/2014/main" id="{937A281D-879E-4DBE-98DC-FCC2A0308CC1}"/>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53" name="Text Box 17" hidden="1">
          <a:extLst>
            <a:ext uri="{FF2B5EF4-FFF2-40B4-BE49-F238E27FC236}">
              <a16:creationId xmlns:a16="http://schemas.microsoft.com/office/drawing/2014/main" id="{4AFAC872-FE66-45CC-AE1B-9FA29EA3FA76}"/>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2" name="Text Box 16" hidden="1">
          <a:extLst>
            <a:ext uri="{FF2B5EF4-FFF2-40B4-BE49-F238E27FC236}">
              <a16:creationId xmlns:a16="http://schemas.microsoft.com/office/drawing/2014/main" id="{FC2FF6BA-F342-423F-91DC-659BAD8F1716}"/>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51" name="Text Box 15" hidden="1">
          <a:extLst>
            <a:ext uri="{FF2B5EF4-FFF2-40B4-BE49-F238E27FC236}">
              <a16:creationId xmlns:a16="http://schemas.microsoft.com/office/drawing/2014/main" id="{DA422A58-A8CF-4D40-8123-40188321A1B8}"/>
            </a:ext>
          </a:extLst>
        </xdr:cNvPr>
        <xdr:cNvSpPr txBox="1">
          <a:spLocks noChangeArrowheads="1"/>
        </xdr:cNvSpPr>
      </xdr:nvSpPr>
      <xdr:spPr bwMode="auto">
        <a:xfrm>
          <a:off x="4311650" y="45212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64" name="Text Box 28" hidden="1">
          <a:extLst>
            <a:ext uri="{FF2B5EF4-FFF2-40B4-BE49-F238E27FC236}">
              <a16:creationId xmlns:a16="http://schemas.microsoft.com/office/drawing/2014/main" id="{07790349-9075-4DAF-A43F-89D366BE94A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63" name="Text Box 27" hidden="1">
          <a:extLst>
            <a:ext uri="{FF2B5EF4-FFF2-40B4-BE49-F238E27FC236}">
              <a16:creationId xmlns:a16="http://schemas.microsoft.com/office/drawing/2014/main" id="{E786916D-8441-47BC-9F3B-766F77CB6AF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2" name="Text Box 26" hidden="1">
          <a:extLst>
            <a:ext uri="{FF2B5EF4-FFF2-40B4-BE49-F238E27FC236}">
              <a16:creationId xmlns:a16="http://schemas.microsoft.com/office/drawing/2014/main" id="{C5B50B6D-F040-4F29-82E6-0A31907B694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1" name="Text Box 25" hidden="1">
          <a:extLst>
            <a:ext uri="{FF2B5EF4-FFF2-40B4-BE49-F238E27FC236}">
              <a16:creationId xmlns:a16="http://schemas.microsoft.com/office/drawing/2014/main" id="{F51E5377-DDDE-4F51-92E8-21C0DA8E3A8D}"/>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0" name="Text Box 24" hidden="1">
          <a:extLst>
            <a:ext uri="{FF2B5EF4-FFF2-40B4-BE49-F238E27FC236}">
              <a16:creationId xmlns:a16="http://schemas.microsoft.com/office/drawing/2014/main" id="{C703E4A6-9E25-4D04-972D-57FA69433225}"/>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9" name="Text Box 23" hidden="1">
          <a:extLst>
            <a:ext uri="{FF2B5EF4-FFF2-40B4-BE49-F238E27FC236}">
              <a16:creationId xmlns:a16="http://schemas.microsoft.com/office/drawing/2014/main" id="{12CD0997-6DD6-4FAB-ADDB-83A7678A0821}"/>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58" name="Text Box 22" hidden="1">
          <a:extLst>
            <a:ext uri="{FF2B5EF4-FFF2-40B4-BE49-F238E27FC236}">
              <a16:creationId xmlns:a16="http://schemas.microsoft.com/office/drawing/2014/main" id="{323A8572-BA11-41EB-AEA5-0ED70BF735C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71" name="Text Box 35" hidden="1">
          <a:extLst>
            <a:ext uri="{FF2B5EF4-FFF2-40B4-BE49-F238E27FC236}">
              <a16:creationId xmlns:a16="http://schemas.microsoft.com/office/drawing/2014/main" id="{EDC7B370-07FA-4217-8E9A-F68039133C32}"/>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70" name="Text Box 34" hidden="1">
          <a:extLst>
            <a:ext uri="{FF2B5EF4-FFF2-40B4-BE49-F238E27FC236}">
              <a16:creationId xmlns:a16="http://schemas.microsoft.com/office/drawing/2014/main" id="{C5E75BA1-63C9-496F-ABE3-6D8FF467D0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9" name="Text Box 33" hidden="1">
          <a:extLst>
            <a:ext uri="{FF2B5EF4-FFF2-40B4-BE49-F238E27FC236}">
              <a16:creationId xmlns:a16="http://schemas.microsoft.com/office/drawing/2014/main" id="{DC7CBC6F-598C-4FA0-B12B-F4BFF43F833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8" name="Text Box 32" hidden="1">
          <a:extLst>
            <a:ext uri="{FF2B5EF4-FFF2-40B4-BE49-F238E27FC236}">
              <a16:creationId xmlns:a16="http://schemas.microsoft.com/office/drawing/2014/main" id="{9FEC78B4-40E2-41B9-B74C-CA0E75B2BF6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7" name="Text Box 31" hidden="1">
          <a:extLst>
            <a:ext uri="{FF2B5EF4-FFF2-40B4-BE49-F238E27FC236}">
              <a16:creationId xmlns:a16="http://schemas.microsoft.com/office/drawing/2014/main" id="{7A2608E9-F2CE-4175-8C8D-FA164EFF04B3}"/>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66" name="Text Box 30" hidden="1">
          <a:extLst>
            <a:ext uri="{FF2B5EF4-FFF2-40B4-BE49-F238E27FC236}">
              <a16:creationId xmlns:a16="http://schemas.microsoft.com/office/drawing/2014/main" id="{D77672D6-8958-4953-A3C4-4F14FAF149BD}"/>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65" name="Text Box 29" hidden="1">
          <a:extLst>
            <a:ext uri="{FF2B5EF4-FFF2-40B4-BE49-F238E27FC236}">
              <a16:creationId xmlns:a16="http://schemas.microsoft.com/office/drawing/2014/main" id="{D2A5A4BA-7758-47CC-BE4D-2E642E6AC431}"/>
            </a:ext>
          </a:extLst>
        </xdr:cNvPr>
        <xdr:cNvSpPr txBox="1">
          <a:spLocks noChangeArrowheads="1"/>
        </xdr:cNvSpPr>
      </xdr:nvSpPr>
      <xdr:spPr bwMode="auto">
        <a:xfrm>
          <a:off x="4133850" y="46101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1" name="Text Box 7" hidden="1">
          <a:extLst>
            <a:ext uri="{FF2B5EF4-FFF2-40B4-BE49-F238E27FC236}">
              <a16:creationId xmlns:a16="http://schemas.microsoft.com/office/drawing/2014/main" id="{E9FE1F2A-479B-4627-8716-B98DE89BB14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0" name="Text Box 6" hidden="1">
          <a:extLst>
            <a:ext uri="{FF2B5EF4-FFF2-40B4-BE49-F238E27FC236}">
              <a16:creationId xmlns:a16="http://schemas.microsoft.com/office/drawing/2014/main" id="{D754893C-011F-4CE3-B78A-C820BDDB8CAC}"/>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29" name="Text Box 5" hidden="1">
          <a:extLst>
            <a:ext uri="{FF2B5EF4-FFF2-40B4-BE49-F238E27FC236}">
              <a16:creationId xmlns:a16="http://schemas.microsoft.com/office/drawing/2014/main" id="{82F818F6-1797-4049-8941-4BC304CB26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28" name="Text Box 4" hidden="1">
          <a:extLst>
            <a:ext uri="{FF2B5EF4-FFF2-40B4-BE49-F238E27FC236}">
              <a16:creationId xmlns:a16="http://schemas.microsoft.com/office/drawing/2014/main" id="{F493FA09-7EEF-4B91-8749-7B0CE2902AA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27" name="Text Box 3" hidden="1">
          <a:extLst>
            <a:ext uri="{FF2B5EF4-FFF2-40B4-BE49-F238E27FC236}">
              <a16:creationId xmlns:a16="http://schemas.microsoft.com/office/drawing/2014/main" id="{8BB226C7-E080-41A1-A0EB-38AB6B9024D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25" name="Text Box 1" hidden="1">
          <a:extLst>
            <a:ext uri="{FF2B5EF4-FFF2-40B4-BE49-F238E27FC236}">
              <a16:creationId xmlns:a16="http://schemas.microsoft.com/office/drawing/2014/main" id="{8140F6BE-550F-4415-8DCF-E202EE1C7A5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95250</xdr:rowOff>
    </xdr:from>
    <xdr:to>
      <xdr:col>23</xdr:col>
      <xdr:colOff>83727</xdr:colOff>
      <xdr:row>22</xdr:row>
      <xdr:rowOff>152400</xdr:rowOff>
    </xdr:to>
    <xdr:sp macro="" textlink="">
      <xdr:nvSpPr>
        <xdr:cNvPr id="308232" name="Text Box 8" hidden="1">
          <a:extLst>
            <a:ext uri="{FF2B5EF4-FFF2-40B4-BE49-F238E27FC236}">
              <a16:creationId xmlns:a16="http://schemas.microsoft.com/office/drawing/2014/main" id="{21E35360-8BF2-4B74-A7EE-4DE918FCFA31}"/>
            </a:ext>
          </a:extLst>
        </xdr:cNvPr>
        <xdr:cNvSpPr txBox="1">
          <a:spLocks noChangeArrowheads="1"/>
        </xdr:cNvSpPr>
      </xdr:nvSpPr>
      <xdr:spPr bwMode="auto">
        <a:xfrm>
          <a:off x="13830300" y="33972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9" name="Text Box 15" hidden="1">
          <a:extLst>
            <a:ext uri="{FF2B5EF4-FFF2-40B4-BE49-F238E27FC236}">
              <a16:creationId xmlns:a16="http://schemas.microsoft.com/office/drawing/2014/main" id="{5B50519B-5F37-47B5-BEF4-5A7A5DBF9D9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8" name="Text Box 14" hidden="1">
          <a:extLst>
            <a:ext uri="{FF2B5EF4-FFF2-40B4-BE49-F238E27FC236}">
              <a16:creationId xmlns:a16="http://schemas.microsoft.com/office/drawing/2014/main" id="{4CC1CFAC-8CB3-434D-8B0D-CF3BFB23DD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37" name="Text Box 13" hidden="1">
          <a:extLst>
            <a:ext uri="{FF2B5EF4-FFF2-40B4-BE49-F238E27FC236}">
              <a16:creationId xmlns:a16="http://schemas.microsoft.com/office/drawing/2014/main" id="{8A180721-078E-40A8-8E8A-213BF69B6DF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36" name="Text Box 12" hidden="1">
          <a:extLst>
            <a:ext uri="{FF2B5EF4-FFF2-40B4-BE49-F238E27FC236}">
              <a16:creationId xmlns:a16="http://schemas.microsoft.com/office/drawing/2014/main" id="{81485811-463F-4869-B39D-4B68E1DEEB15}"/>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35" name="Text Box 11" hidden="1">
          <a:extLst>
            <a:ext uri="{FF2B5EF4-FFF2-40B4-BE49-F238E27FC236}">
              <a16:creationId xmlns:a16="http://schemas.microsoft.com/office/drawing/2014/main" id="{A433A5E4-2937-46DD-AD06-F5CDB52DB2A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34" name="Text Box 10" hidden="1">
          <a:extLst>
            <a:ext uri="{FF2B5EF4-FFF2-40B4-BE49-F238E27FC236}">
              <a16:creationId xmlns:a16="http://schemas.microsoft.com/office/drawing/2014/main" id="{1C0FE9ED-D9A1-4B0D-ADE3-386F730B0E23}"/>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33" name="Text Box 9" hidden="1">
          <a:extLst>
            <a:ext uri="{FF2B5EF4-FFF2-40B4-BE49-F238E27FC236}">
              <a16:creationId xmlns:a16="http://schemas.microsoft.com/office/drawing/2014/main" id="{C224F7C9-8374-4B3C-8FE4-2552A3F81144}"/>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46" name="Text Box 22" hidden="1">
          <a:extLst>
            <a:ext uri="{FF2B5EF4-FFF2-40B4-BE49-F238E27FC236}">
              <a16:creationId xmlns:a16="http://schemas.microsoft.com/office/drawing/2014/main" id="{3D2F50B1-2095-F9F4-DB52-34550233A314}"/>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45" name="Text Box 21" hidden="1">
          <a:extLst>
            <a:ext uri="{FF2B5EF4-FFF2-40B4-BE49-F238E27FC236}">
              <a16:creationId xmlns:a16="http://schemas.microsoft.com/office/drawing/2014/main" id="{02849EEE-C552-9570-73D8-A6E5B9E608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44" name="Text Box 20" hidden="1">
          <a:extLst>
            <a:ext uri="{FF2B5EF4-FFF2-40B4-BE49-F238E27FC236}">
              <a16:creationId xmlns:a16="http://schemas.microsoft.com/office/drawing/2014/main" id="{CB071007-0C6E-AF32-17AD-9D8D93C209A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43" name="Text Box 19" hidden="1">
          <a:extLst>
            <a:ext uri="{FF2B5EF4-FFF2-40B4-BE49-F238E27FC236}">
              <a16:creationId xmlns:a16="http://schemas.microsoft.com/office/drawing/2014/main" id="{E873B2B1-A291-499A-9E76-70A57E16EB6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2" name="Text Box 18" hidden="1">
          <a:extLst>
            <a:ext uri="{FF2B5EF4-FFF2-40B4-BE49-F238E27FC236}">
              <a16:creationId xmlns:a16="http://schemas.microsoft.com/office/drawing/2014/main" id="{7C470496-C317-79F2-8536-17CEB793CEA1}"/>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1" name="Text Box 17" hidden="1">
          <a:extLst>
            <a:ext uri="{FF2B5EF4-FFF2-40B4-BE49-F238E27FC236}">
              <a16:creationId xmlns:a16="http://schemas.microsoft.com/office/drawing/2014/main" id="{3F1547B7-A6E2-B856-6B0B-12F4166418FA}"/>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0" name="Text Box 16" hidden="1">
          <a:extLst>
            <a:ext uri="{FF2B5EF4-FFF2-40B4-BE49-F238E27FC236}">
              <a16:creationId xmlns:a16="http://schemas.microsoft.com/office/drawing/2014/main" id="{E59E7736-E1D4-B843-9FD2-3658985925AC}"/>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53" name="Text Box 29" hidden="1">
          <a:extLst>
            <a:ext uri="{FF2B5EF4-FFF2-40B4-BE49-F238E27FC236}">
              <a16:creationId xmlns:a16="http://schemas.microsoft.com/office/drawing/2014/main" id="{896F0F55-B470-09F1-AB0A-78F6D2C640B9}"/>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52" name="Text Box 28" hidden="1">
          <a:extLst>
            <a:ext uri="{FF2B5EF4-FFF2-40B4-BE49-F238E27FC236}">
              <a16:creationId xmlns:a16="http://schemas.microsoft.com/office/drawing/2014/main" id="{DCDB863C-D897-4742-BF1C-8EF93A8CC55E}"/>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51" name="Text Box 27" hidden="1">
          <a:extLst>
            <a:ext uri="{FF2B5EF4-FFF2-40B4-BE49-F238E27FC236}">
              <a16:creationId xmlns:a16="http://schemas.microsoft.com/office/drawing/2014/main" id="{CF6EE5EB-EDD0-5307-EDA5-14ABA59ED62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50" name="Text Box 26" hidden="1">
          <a:extLst>
            <a:ext uri="{FF2B5EF4-FFF2-40B4-BE49-F238E27FC236}">
              <a16:creationId xmlns:a16="http://schemas.microsoft.com/office/drawing/2014/main" id="{660659E3-1935-A713-923E-4765B9CBB8B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9" name="Text Box 25" hidden="1">
          <a:extLst>
            <a:ext uri="{FF2B5EF4-FFF2-40B4-BE49-F238E27FC236}">
              <a16:creationId xmlns:a16="http://schemas.microsoft.com/office/drawing/2014/main" id="{0AAEA95A-AFBE-16FE-A35E-B4A6AFD60A9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8" name="Text Box 24" hidden="1">
          <a:extLst>
            <a:ext uri="{FF2B5EF4-FFF2-40B4-BE49-F238E27FC236}">
              <a16:creationId xmlns:a16="http://schemas.microsoft.com/office/drawing/2014/main" id="{BEA3989D-E1F5-089F-939B-3A0409161E90}"/>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7" name="Text Box 23" hidden="1">
          <a:extLst>
            <a:ext uri="{FF2B5EF4-FFF2-40B4-BE49-F238E27FC236}">
              <a16:creationId xmlns:a16="http://schemas.microsoft.com/office/drawing/2014/main" id="{5E09549C-F6E8-3605-45F7-AF2BC70CE20B}"/>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08254" name="Text Box 30" hidden="1">
          <a:extLst>
            <a:ext uri="{FF2B5EF4-FFF2-40B4-BE49-F238E27FC236}">
              <a16:creationId xmlns:a16="http://schemas.microsoft.com/office/drawing/2014/main" id="{3F31747B-99A9-C537-A370-312B0332603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0" name="Text Box 16" hidden="1">
          <a:extLst>
            <a:ext uri="{FF2B5EF4-FFF2-40B4-BE49-F238E27FC236}">
              <a16:creationId xmlns:a16="http://schemas.microsoft.com/office/drawing/2014/main" id="{7DA8ADB7-4F4C-368A-6932-869F51C869BE}"/>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9" name="Text Box 15" hidden="1">
          <a:extLst>
            <a:ext uri="{FF2B5EF4-FFF2-40B4-BE49-F238E27FC236}">
              <a16:creationId xmlns:a16="http://schemas.microsoft.com/office/drawing/2014/main" id="{6A68B894-395C-D200-E428-7B2172B62B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8" name="Text Box 14" hidden="1">
          <a:extLst>
            <a:ext uri="{FF2B5EF4-FFF2-40B4-BE49-F238E27FC236}">
              <a16:creationId xmlns:a16="http://schemas.microsoft.com/office/drawing/2014/main" id="{6C01FA05-2B67-C3B2-E148-89BA9A57BA8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77" name="Text Box 13" hidden="1">
          <a:extLst>
            <a:ext uri="{FF2B5EF4-FFF2-40B4-BE49-F238E27FC236}">
              <a16:creationId xmlns:a16="http://schemas.microsoft.com/office/drawing/2014/main" id="{06DE32DA-0F40-64C5-BEDF-A6C6CD79034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76" name="Text Box 12" hidden="1">
          <a:extLst>
            <a:ext uri="{FF2B5EF4-FFF2-40B4-BE49-F238E27FC236}">
              <a16:creationId xmlns:a16="http://schemas.microsoft.com/office/drawing/2014/main" id="{DF0712FE-7285-8D0C-7405-FEA31FC79C2D}"/>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75" name="Text Box 11" hidden="1">
          <a:extLst>
            <a:ext uri="{FF2B5EF4-FFF2-40B4-BE49-F238E27FC236}">
              <a16:creationId xmlns:a16="http://schemas.microsoft.com/office/drawing/2014/main" id="{B1CFC1AF-E9BB-6342-75BF-7838438F770E}"/>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74" name="Text Box 10" hidden="1">
          <a:extLst>
            <a:ext uri="{FF2B5EF4-FFF2-40B4-BE49-F238E27FC236}">
              <a16:creationId xmlns:a16="http://schemas.microsoft.com/office/drawing/2014/main" id="{1C1533E7-7F61-88F4-1733-C0EE13E0148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73" name="Text Box 9" hidden="1">
          <a:extLst>
            <a:ext uri="{FF2B5EF4-FFF2-40B4-BE49-F238E27FC236}">
              <a16:creationId xmlns:a16="http://schemas.microsoft.com/office/drawing/2014/main" id="{EA288ED7-990F-86D7-1F28-94B4CDBD7402}"/>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72" name="Text Box 8" hidden="1">
          <a:extLst>
            <a:ext uri="{FF2B5EF4-FFF2-40B4-BE49-F238E27FC236}">
              <a16:creationId xmlns:a16="http://schemas.microsoft.com/office/drawing/2014/main" id="{181A0BD8-8604-F4E1-F87B-AD5F6C5EEA8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1" name="Text Box 7" hidden="1">
          <a:extLst>
            <a:ext uri="{FF2B5EF4-FFF2-40B4-BE49-F238E27FC236}">
              <a16:creationId xmlns:a16="http://schemas.microsoft.com/office/drawing/2014/main" id="{1A355732-56C7-C3EC-ECC5-2AB5F51ADA5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0" name="Text Box 6" hidden="1">
          <a:extLst>
            <a:ext uri="{FF2B5EF4-FFF2-40B4-BE49-F238E27FC236}">
              <a16:creationId xmlns:a16="http://schemas.microsoft.com/office/drawing/2014/main" id="{7A6E45D6-FEB7-C8C5-EED2-6A5983714FB1}"/>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69" name="Text Box 5" hidden="1">
          <a:extLst>
            <a:ext uri="{FF2B5EF4-FFF2-40B4-BE49-F238E27FC236}">
              <a16:creationId xmlns:a16="http://schemas.microsoft.com/office/drawing/2014/main" id="{C7159CC2-34E7-BC2D-BC12-EA0E2270D8D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68" name="Text Box 4" hidden="1">
          <a:extLst>
            <a:ext uri="{FF2B5EF4-FFF2-40B4-BE49-F238E27FC236}">
              <a16:creationId xmlns:a16="http://schemas.microsoft.com/office/drawing/2014/main" id="{4D89DD34-9D08-D5A1-C1C1-5609F0047A9B}"/>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67" name="Text Box 3" hidden="1">
          <a:extLst>
            <a:ext uri="{FF2B5EF4-FFF2-40B4-BE49-F238E27FC236}">
              <a16:creationId xmlns:a16="http://schemas.microsoft.com/office/drawing/2014/main" id="{1030D8B4-5D72-69BD-3557-80F531D86BBC}"/>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66" name="Text Box 2" hidden="1">
          <a:extLst>
            <a:ext uri="{FF2B5EF4-FFF2-40B4-BE49-F238E27FC236}">
              <a16:creationId xmlns:a16="http://schemas.microsoft.com/office/drawing/2014/main" id="{2A212A8F-8C0A-DE63-E875-81242384684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65" name="Text Box 1" hidden="1">
          <a:extLst>
            <a:ext uri="{FF2B5EF4-FFF2-40B4-BE49-F238E27FC236}">
              <a16:creationId xmlns:a16="http://schemas.microsoft.com/office/drawing/2014/main" id="{162118B3-10C4-48ED-12B7-14BA8D322AC3}"/>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8" name="Text Box 24" hidden="1">
          <a:extLst>
            <a:ext uri="{FF2B5EF4-FFF2-40B4-BE49-F238E27FC236}">
              <a16:creationId xmlns:a16="http://schemas.microsoft.com/office/drawing/2014/main" id="{5467D302-CEB5-51C3-37CF-BF5D3F42A85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87" name="Text Box 23" hidden="1">
          <a:extLst>
            <a:ext uri="{FF2B5EF4-FFF2-40B4-BE49-F238E27FC236}">
              <a16:creationId xmlns:a16="http://schemas.microsoft.com/office/drawing/2014/main" id="{35776612-1208-ED38-3900-C98454FBBC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86" name="Text Box 22" hidden="1">
          <a:extLst>
            <a:ext uri="{FF2B5EF4-FFF2-40B4-BE49-F238E27FC236}">
              <a16:creationId xmlns:a16="http://schemas.microsoft.com/office/drawing/2014/main" id="{E208F5C5-5C22-9EDA-5E72-4ED69A9379B5}"/>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85" name="Text Box 21" hidden="1">
          <a:extLst>
            <a:ext uri="{FF2B5EF4-FFF2-40B4-BE49-F238E27FC236}">
              <a16:creationId xmlns:a16="http://schemas.microsoft.com/office/drawing/2014/main" id="{48C582CC-A3BC-BCD9-2CB9-E10519EFBA6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84" name="Text Box 20" hidden="1">
          <a:extLst>
            <a:ext uri="{FF2B5EF4-FFF2-40B4-BE49-F238E27FC236}">
              <a16:creationId xmlns:a16="http://schemas.microsoft.com/office/drawing/2014/main" id="{FBFAAC90-F022-13A1-210C-6331A4A13CF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83" name="Text Box 19" hidden="1">
          <a:extLst>
            <a:ext uri="{FF2B5EF4-FFF2-40B4-BE49-F238E27FC236}">
              <a16:creationId xmlns:a16="http://schemas.microsoft.com/office/drawing/2014/main" id="{8D641799-9B57-5FC0-3E1C-4B2D421E6BE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82" name="Text Box 18" hidden="1">
          <a:extLst>
            <a:ext uri="{FF2B5EF4-FFF2-40B4-BE49-F238E27FC236}">
              <a16:creationId xmlns:a16="http://schemas.microsoft.com/office/drawing/2014/main" id="{25A1D659-F7C2-66D2-9334-392A2AAD9FD7}"/>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1" name="Text Box 17" hidden="1">
          <a:extLst>
            <a:ext uri="{FF2B5EF4-FFF2-40B4-BE49-F238E27FC236}">
              <a16:creationId xmlns:a16="http://schemas.microsoft.com/office/drawing/2014/main" id="{6A04C9B4-FF9A-D088-29AA-F05AB0A6A05E}"/>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96" name="Text Box 32" hidden="1">
          <a:extLst>
            <a:ext uri="{FF2B5EF4-FFF2-40B4-BE49-F238E27FC236}">
              <a16:creationId xmlns:a16="http://schemas.microsoft.com/office/drawing/2014/main" id="{563E5E3F-EFFE-04A9-A059-1AD268A3C8A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95" name="Text Box 31" hidden="1">
          <a:extLst>
            <a:ext uri="{FF2B5EF4-FFF2-40B4-BE49-F238E27FC236}">
              <a16:creationId xmlns:a16="http://schemas.microsoft.com/office/drawing/2014/main" id="{B0F19E8D-B2F0-D1F2-8FF5-F197D9A2DD7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94" name="Text Box 30" hidden="1">
          <a:extLst>
            <a:ext uri="{FF2B5EF4-FFF2-40B4-BE49-F238E27FC236}">
              <a16:creationId xmlns:a16="http://schemas.microsoft.com/office/drawing/2014/main" id="{CA0F3F70-5895-F3C3-1744-B915768197BF}"/>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93" name="Text Box 29" hidden="1">
          <a:extLst>
            <a:ext uri="{FF2B5EF4-FFF2-40B4-BE49-F238E27FC236}">
              <a16:creationId xmlns:a16="http://schemas.microsoft.com/office/drawing/2014/main" id="{DF00D69E-41A3-7D59-840D-E555D89C1DF8}"/>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92" name="Text Box 28" hidden="1">
          <a:extLst>
            <a:ext uri="{FF2B5EF4-FFF2-40B4-BE49-F238E27FC236}">
              <a16:creationId xmlns:a16="http://schemas.microsoft.com/office/drawing/2014/main" id="{27F37516-E6AF-5C60-D80E-E04B9A4BAC9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1" name="Text Box 27" hidden="1">
          <a:extLst>
            <a:ext uri="{FF2B5EF4-FFF2-40B4-BE49-F238E27FC236}">
              <a16:creationId xmlns:a16="http://schemas.microsoft.com/office/drawing/2014/main" id="{AA9B7B25-A61A-9438-DC70-CA144D0B30D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0" name="Text Box 26" hidden="1">
          <a:extLst>
            <a:ext uri="{FF2B5EF4-FFF2-40B4-BE49-F238E27FC236}">
              <a16:creationId xmlns:a16="http://schemas.microsoft.com/office/drawing/2014/main" id="{1105159C-E173-600D-F8D9-76E40FE5E04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9" name="Text Box 25" hidden="1">
          <a:extLst>
            <a:ext uri="{FF2B5EF4-FFF2-40B4-BE49-F238E27FC236}">
              <a16:creationId xmlns:a16="http://schemas.microsoft.com/office/drawing/2014/main" id="{F330EC1B-E05C-DBC1-AEF4-07D389BCED76}"/>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04" name="Text Box 40" hidden="1">
          <a:extLst>
            <a:ext uri="{FF2B5EF4-FFF2-40B4-BE49-F238E27FC236}">
              <a16:creationId xmlns:a16="http://schemas.microsoft.com/office/drawing/2014/main" id="{F532B9BB-0809-9DB6-6BC8-AC1709CF9D79}"/>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03" name="Text Box 39" hidden="1">
          <a:extLst>
            <a:ext uri="{FF2B5EF4-FFF2-40B4-BE49-F238E27FC236}">
              <a16:creationId xmlns:a16="http://schemas.microsoft.com/office/drawing/2014/main" id="{CF221559-7CE0-A33F-ABBB-C38C3823BDD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02" name="Text Box 38" hidden="1">
          <a:extLst>
            <a:ext uri="{FF2B5EF4-FFF2-40B4-BE49-F238E27FC236}">
              <a16:creationId xmlns:a16="http://schemas.microsoft.com/office/drawing/2014/main" id="{36BC0BEF-6DF7-8328-38D2-A53116FDA7B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1" name="Text Box 37" hidden="1">
          <a:extLst>
            <a:ext uri="{FF2B5EF4-FFF2-40B4-BE49-F238E27FC236}">
              <a16:creationId xmlns:a16="http://schemas.microsoft.com/office/drawing/2014/main" id="{48417467-A3EE-E002-4724-738A14E61455}"/>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0" name="Text Box 36" hidden="1">
          <a:extLst>
            <a:ext uri="{FF2B5EF4-FFF2-40B4-BE49-F238E27FC236}">
              <a16:creationId xmlns:a16="http://schemas.microsoft.com/office/drawing/2014/main" id="{11429DDC-E889-E334-C374-582E6D88CCA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9" name="Text Box 35" hidden="1">
          <a:extLst>
            <a:ext uri="{FF2B5EF4-FFF2-40B4-BE49-F238E27FC236}">
              <a16:creationId xmlns:a16="http://schemas.microsoft.com/office/drawing/2014/main" id="{26B9D6C5-9BF4-237D-945F-013369841A35}"/>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8" name="Text Box 34" hidden="1">
          <a:extLst>
            <a:ext uri="{FF2B5EF4-FFF2-40B4-BE49-F238E27FC236}">
              <a16:creationId xmlns:a16="http://schemas.microsoft.com/office/drawing/2014/main" id="{CE7DEF2F-7C02-AAB3-BE14-9C38F4599BA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97" name="Text Box 33" hidden="1">
          <a:extLst>
            <a:ext uri="{FF2B5EF4-FFF2-40B4-BE49-F238E27FC236}">
              <a16:creationId xmlns:a16="http://schemas.microsoft.com/office/drawing/2014/main" id="{9317E56F-1649-F2D6-BD03-D32BE08C2E4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12" name="Text Box 48" hidden="1">
          <a:extLst>
            <a:ext uri="{FF2B5EF4-FFF2-40B4-BE49-F238E27FC236}">
              <a16:creationId xmlns:a16="http://schemas.microsoft.com/office/drawing/2014/main" id="{114226ED-809A-28DA-C3A3-BC05A0816B3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1" name="Text Box 47" hidden="1">
          <a:extLst>
            <a:ext uri="{FF2B5EF4-FFF2-40B4-BE49-F238E27FC236}">
              <a16:creationId xmlns:a16="http://schemas.microsoft.com/office/drawing/2014/main" id="{D37DCA9E-79F3-B763-5726-6F3A2FC1BA7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0" name="Text Box 46" hidden="1">
          <a:extLst>
            <a:ext uri="{FF2B5EF4-FFF2-40B4-BE49-F238E27FC236}">
              <a16:creationId xmlns:a16="http://schemas.microsoft.com/office/drawing/2014/main" id="{78997BE3-5575-16F9-F3DA-F32BA77D807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9" name="Text Box 45" hidden="1">
          <a:extLst>
            <a:ext uri="{FF2B5EF4-FFF2-40B4-BE49-F238E27FC236}">
              <a16:creationId xmlns:a16="http://schemas.microsoft.com/office/drawing/2014/main" id="{AFBAB7BD-4003-D293-99BE-ED91DDFA72A8}"/>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8" name="Text Box 44" hidden="1">
          <a:extLst>
            <a:ext uri="{FF2B5EF4-FFF2-40B4-BE49-F238E27FC236}">
              <a16:creationId xmlns:a16="http://schemas.microsoft.com/office/drawing/2014/main" id="{33960E2F-35D8-EFF6-355E-59F41833E23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07" name="Text Box 43" hidden="1">
          <a:extLst>
            <a:ext uri="{FF2B5EF4-FFF2-40B4-BE49-F238E27FC236}">
              <a16:creationId xmlns:a16="http://schemas.microsoft.com/office/drawing/2014/main" id="{EC09C188-EB14-1F21-E280-8009725C431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06" name="Text Box 42" hidden="1">
          <a:extLst>
            <a:ext uri="{FF2B5EF4-FFF2-40B4-BE49-F238E27FC236}">
              <a16:creationId xmlns:a16="http://schemas.microsoft.com/office/drawing/2014/main" id="{5E940F54-FE02-F410-4CB0-5921F7D19031}"/>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05" name="Text Box 41" hidden="1">
          <a:extLst>
            <a:ext uri="{FF2B5EF4-FFF2-40B4-BE49-F238E27FC236}">
              <a16:creationId xmlns:a16="http://schemas.microsoft.com/office/drawing/2014/main" id="{02160436-9086-E5C9-2CD6-B8582A64F166}"/>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8" name="Text Box 64" hidden="1">
          <a:extLst>
            <a:ext uri="{FF2B5EF4-FFF2-40B4-BE49-F238E27FC236}">
              <a16:creationId xmlns:a16="http://schemas.microsoft.com/office/drawing/2014/main" id="{0B8896BE-59C7-FC29-9232-A3AA2F292992}"/>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27" name="Text Box 63" hidden="1">
          <a:extLst>
            <a:ext uri="{FF2B5EF4-FFF2-40B4-BE49-F238E27FC236}">
              <a16:creationId xmlns:a16="http://schemas.microsoft.com/office/drawing/2014/main" id="{6C34B3FB-1CB7-8C48-312F-3D8FD32C7C3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26" name="Text Box 62" hidden="1">
          <a:extLst>
            <a:ext uri="{FF2B5EF4-FFF2-40B4-BE49-F238E27FC236}">
              <a16:creationId xmlns:a16="http://schemas.microsoft.com/office/drawing/2014/main" id="{B07AC5B5-880D-E7CD-34F5-FC85890AA89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25" name="Text Box 61" hidden="1">
          <a:extLst>
            <a:ext uri="{FF2B5EF4-FFF2-40B4-BE49-F238E27FC236}">
              <a16:creationId xmlns:a16="http://schemas.microsoft.com/office/drawing/2014/main" id="{70CA1E6F-B9FA-F3CB-09A2-A6A65290063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24" name="Text Box 60" hidden="1">
          <a:extLst>
            <a:ext uri="{FF2B5EF4-FFF2-40B4-BE49-F238E27FC236}">
              <a16:creationId xmlns:a16="http://schemas.microsoft.com/office/drawing/2014/main" id="{79D15B07-43F0-03A6-D974-055D19668640}"/>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23" name="Text Box 59" hidden="1">
          <a:extLst>
            <a:ext uri="{FF2B5EF4-FFF2-40B4-BE49-F238E27FC236}">
              <a16:creationId xmlns:a16="http://schemas.microsoft.com/office/drawing/2014/main" id="{FA3B1610-81EF-4C3F-E258-01D1B4AADAB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22" name="Text Box 58" hidden="1">
          <a:extLst>
            <a:ext uri="{FF2B5EF4-FFF2-40B4-BE49-F238E27FC236}">
              <a16:creationId xmlns:a16="http://schemas.microsoft.com/office/drawing/2014/main" id="{F4FECF0D-2675-0B0D-D4D7-00C2F538E71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1" name="Text Box 57" hidden="1">
          <a:extLst>
            <a:ext uri="{FF2B5EF4-FFF2-40B4-BE49-F238E27FC236}">
              <a16:creationId xmlns:a16="http://schemas.microsoft.com/office/drawing/2014/main" id="{C9A03641-9421-1DFF-84D1-733EFA95BEB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0" name="Text Box 56" hidden="1">
          <a:extLst>
            <a:ext uri="{FF2B5EF4-FFF2-40B4-BE49-F238E27FC236}">
              <a16:creationId xmlns:a16="http://schemas.microsoft.com/office/drawing/2014/main" id="{6F906DEF-6A55-CB0C-DFD2-059D2692899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9" name="Text Box 55" hidden="1">
          <a:extLst>
            <a:ext uri="{FF2B5EF4-FFF2-40B4-BE49-F238E27FC236}">
              <a16:creationId xmlns:a16="http://schemas.microsoft.com/office/drawing/2014/main" id="{96393C6A-8D88-7132-BE26-2D1B0AA22FD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8" name="Text Box 54" hidden="1">
          <a:extLst>
            <a:ext uri="{FF2B5EF4-FFF2-40B4-BE49-F238E27FC236}">
              <a16:creationId xmlns:a16="http://schemas.microsoft.com/office/drawing/2014/main" id="{76DD9F1C-A561-8251-B60E-5E190281FB3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17" name="Text Box 53" hidden="1">
          <a:extLst>
            <a:ext uri="{FF2B5EF4-FFF2-40B4-BE49-F238E27FC236}">
              <a16:creationId xmlns:a16="http://schemas.microsoft.com/office/drawing/2014/main" id="{A2B5D2C6-7E77-65BC-E0C0-26B00DEFA56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16" name="Text Box 52" hidden="1">
          <a:extLst>
            <a:ext uri="{FF2B5EF4-FFF2-40B4-BE49-F238E27FC236}">
              <a16:creationId xmlns:a16="http://schemas.microsoft.com/office/drawing/2014/main" id="{228CD3BB-9320-DEE1-7ED0-022F712308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15" name="Text Box 51" hidden="1">
          <a:extLst>
            <a:ext uri="{FF2B5EF4-FFF2-40B4-BE49-F238E27FC236}">
              <a16:creationId xmlns:a16="http://schemas.microsoft.com/office/drawing/2014/main" id="{761531BA-E208-9E31-2EF8-12F4F76C331D}"/>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14" name="Text Box 50" hidden="1">
          <a:extLst>
            <a:ext uri="{FF2B5EF4-FFF2-40B4-BE49-F238E27FC236}">
              <a16:creationId xmlns:a16="http://schemas.microsoft.com/office/drawing/2014/main" id="{3BA38A33-E63D-4B5C-E40F-EB1E6704138F}"/>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13" name="Text Box 49" hidden="1">
          <a:extLst>
            <a:ext uri="{FF2B5EF4-FFF2-40B4-BE49-F238E27FC236}">
              <a16:creationId xmlns:a16="http://schemas.microsoft.com/office/drawing/2014/main" id="{D35AD09C-0767-0041-1429-90D8B4DFF432}"/>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36" name="Text Box 72" hidden="1">
          <a:extLst>
            <a:ext uri="{FF2B5EF4-FFF2-40B4-BE49-F238E27FC236}">
              <a16:creationId xmlns:a16="http://schemas.microsoft.com/office/drawing/2014/main" id="{1D1D086F-A7DF-EE09-CD8F-90DCE04FB31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35" name="Text Box 71" hidden="1">
          <a:extLst>
            <a:ext uri="{FF2B5EF4-FFF2-40B4-BE49-F238E27FC236}">
              <a16:creationId xmlns:a16="http://schemas.microsoft.com/office/drawing/2014/main" id="{1C78291B-E549-8848-E2A0-D6B66EA78CF2}"/>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34" name="Text Box 70" hidden="1">
          <a:extLst>
            <a:ext uri="{FF2B5EF4-FFF2-40B4-BE49-F238E27FC236}">
              <a16:creationId xmlns:a16="http://schemas.microsoft.com/office/drawing/2014/main" id="{357F0416-7D62-0199-9176-E85395E167D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33" name="Text Box 69" hidden="1">
          <a:extLst>
            <a:ext uri="{FF2B5EF4-FFF2-40B4-BE49-F238E27FC236}">
              <a16:creationId xmlns:a16="http://schemas.microsoft.com/office/drawing/2014/main" id="{9DF07217-EF18-6FF2-D17C-8B3EE896FB0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32" name="Text Box 68" hidden="1">
          <a:extLst>
            <a:ext uri="{FF2B5EF4-FFF2-40B4-BE49-F238E27FC236}">
              <a16:creationId xmlns:a16="http://schemas.microsoft.com/office/drawing/2014/main" id="{304D9CC5-8893-5699-9EFB-39E5F98CFF94}"/>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1" name="Text Box 67" hidden="1">
          <a:extLst>
            <a:ext uri="{FF2B5EF4-FFF2-40B4-BE49-F238E27FC236}">
              <a16:creationId xmlns:a16="http://schemas.microsoft.com/office/drawing/2014/main" id="{F015486D-6015-EDFB-2F39-F682B1161A7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0" name="Text Box 66" hidden="1">
          <a:extLst>
            <a:ext uri="{FF2B5EF4-FFF2-40B4-BE49-F238E27FC236}">
              <a16:creationId xmlns:a16="http://schemas.microsoft.com/office/drawing/2014/main" id="{9FC7A553-EC47-E65C-98FB-578696DA9192}"/>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9" name="Text Box 65" hidden="1">
          <a:extLst>
            <a:ext uri="{FF2B5EF4-FFF2-40B4-BE49-F238E27FC236}">
              <a16:creationId xmlns:a16="http://schemas.microsoft.com/office/drawing/2014/main" id="{645B8CBF-230D-73ED-EA3E-DC6B193F2A0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44" name="Text Box 80" hidden="1">
          <a:extLst>
            <a:ext uri="{FF2B5EF4-FFF2-40B4-BE49-F238E27FC236}">
              <a16:creationId xmlns:a16="http://schemas.microsoft.com/office/drawing/2014/main" id="{61AAF747-9DED-6654-9E4B-11FAD88D730E}"/>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43" name="Text Box 79" hidden="1">
          <a:extLst>
            <a:ext uri="{FF2B5EF4-FFF2-40B4-BE49-F238E27FC236}">
              <a16:creationId xmlns:a16="http://schemas.microsoft.com/office/drawing/2014/main" id="{CAB4E33F-CBCB-6547-3CAA-28AFBA1AD5C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42" name="Text Box 78" hidden="1">
          <a:extLst>
            <a:ext uri="{FF2B5EF4-FFF2-40B4-BE49-F238E27FC236}">
              <a16:creationId xmlns:a16="http://schemas.microsoft.com/office/drawing/2014/main" id="{81821B20-B9B9-43E8-1549-E32A01601F84}"/>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1" name="Text Box 77" hidden="1">
          <a:extLst>
            <a:ext uri="{FF2B5EF4-FFF2-40B4-BE49-F238E27FC236}">
              <a16:creationId xmlns:a16="http://schemas.microsoft.com/office/drawing/2014/main" id="{EDEABE79-3184-B6AE-E160-47C00542EF2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0" name="Text Box 76" hidden="1">
          <a:extLst>
            <a:ext uri="{FF2B5EF4-FFF2-40B4-BE49-F238E27FC236}">
              <a16:creationId xmlns:a16="http://schemas.microsoft.com/office/drawing/2014/main" id="{8EF1EAB1-3199-E0F5-22EF-658235F3E20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9" name="Text Box 75" hidden="1">
          <a:extLst>
            <a:ext uri="{FF2B5EF4-FFF2-40B4-BE49-F238E27FC236}">
              <a16:creationId xmlns:a16="http://schemas.microsoft.com/office/drawing/2014/main" id="{089D2138-FE34-E7F3-02EC-B67251B2E068}"/>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8" name="Text Box 74" hidden="1">
          <a:extLst>
            <a:ext uri="{FF2B5EF4-FFF2-40B4-BE49-F238E27FC236}">
              <a16:creationId xmlns:a16="http://schemas.microsoft.com/office/drawing/2014/main" id="{F7FC16D8-B6E0-1F7F-1A58-F8847B5905A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37" name="Text Box 73" hidden="1">
          <a:extLst>
            <a:ext uri="{FF2B5EF4-FFF2-40B4-BE49-F238E27FC236}">
              <a16:creationId xmlns:a16="http://schemas.microsoft.com/office/drawing/2014/main" id="{6BD2AB15-448D-BBB9-3AEF-07B414D8D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52" name="Text Box 88" hidden="1">
          <a:extLst>
            <a:ext uri="{FF2B5EF4-FFF2-40B4-BE49-F238E27FC236}">
              <a16:creationId xmlns:a16="http://schemas.microsoft.com/office/drawing/2014/main" id="{B0A9B6C3-AE5B-88AF-B112-5928A353F62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1" name="Text Box 87" hidden="1">
          <a:extLst>
            <a:ext uri="{FF2B5EF4-FFF2-40B4-BE49-F238E27FC236}">
              <a16:creationId xmlns:a16="http://schemas.microsoft.com/office/drawing/2014/main" id="{B70FC761-7850-759C-BA8C-73D06BC02CCB}"/>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0" name="Text Box 86" hidden="1">
          <a:extLst>
            <a:ext uri="{FF2B5EF4-FFF2-40B4-BE49-F238E27FC236}">
              <a16:creationId xmlns:a16="http://schemas.microsoft.com/office/drawing/2014/main" id="{758C1C7E-E3BF-0EC8-CBE2-6652325D736E}"/>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9" name="Text Box 85" hidden="1">
          <a:extLst>
            <a:ext uri="{FF2B5EF4-FFF2-40B4-BE49-F238E27FC236}">
              <a16:creationId xmlns:a16="http://schemas.microsoft.com/office/drawing/2014/main" id="{F2A8D452-74BA-364C-64A3-87FDCBCB4789}"/>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8" name="Text Box 84" hidden="1">
          <a:extLst>
            <a:ext uri="{FF2B5EF4-FFF2-40B4-BE49-F238E27FC236}">
              <a16:creationId xmlns:a16="http://schemas.microsoft.com/office/drawing/2014/main" id="{6085404B-CD15-3BA4-CBDB-3343F4FEFDE2}"/>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47" name="Text Box 83" hidden="1">
          <a:extLst>
            <a:ext uri="{FF2B5EF4-FFF2-40B4-BE49-F238E27FC236}">
              <a16:creationId xmlns:a16="http://schemas.microsoft.com/office/drawing/2014/main" id="{95DE8D85-2C81-99CB-09AD-063464DC30C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46" name="Text Box 82" hidden="1">
          <a:extLst>
            <a:ext uri="{FF2B5EF4-FFF2-40B4-BE49-F238E27FC236}">
              <a16:creationId xmlns:a16="http://schemas.microsoft.com/office/drawing/2014/main" id="{6027B397-892C-1F5E-42D6-0241A9EAD06C}"/>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45" name="Text Box 81" hidden="1">
          <a:extLst>
            <a:ext uri="{FF2B5EF4-FFF2-40B4-BE49-F238E27FC236}">
              <a16:creationId xmlns:a16="http://schemas.microsoft.com/office/drawing/2014/main" id="{50A4379F-54DB-66BE-4247-E7916D8C8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60" name="Text Box 96" hidden="1">
          <a:extLst>
            <a:ext uri="{FF2B5EF4-FFF2-40B4-BE49-F238E27FC236}">
              <a16:creationId xmlns:a16="http://schemas.microsoft.com/office/drawing/2014/main" id="{F27B7836-5667-B159-826F-B665F8BEA9CD}"/>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9" name="Text Box 95" hidden="1">
          <a:extLst>
            <a:ext uri="{FF2B5EF4-FFF2-40B4-BE49-F238E27FC236}">
              <a16:creationId xmlns:a16="http://schemas.microsoft.com/office/drawing/2014/main" id="{8D8A77F2-18C2-69EC-4BAD-A680EC1843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8" name="Text Box 94" hidden="1">
          <a:extLst>
            <a:ext uri="{FF2B5EF4-FFF2-40B4-BE49-F238E27FC236}">
              <a16:creationId xmlns:a16="http://schemas.microsoft.com/office/drawing/2014/main" id="{E15E7883-B081-2CB4-B6A0-CDEAB683FF80}"/>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57" name="Text Box 93" hidden="1">
          <a:extLst>
            <a:ext uri="{FF2B5EF4-FFF2-40B4-BE49-F238E27FC236}">
              <a16:creationId xmlns:a16="http://schemas.microsoft.com/office/drawing/2014/main" id="{DC098EFD-A2EA-9BB1-BA85-529EF516EEE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56" name="Text Box 92" hidden="1">
          <a:extLst>
            <a:ext uri="{FF2B5EF4-FFF2-40B4-BE49-F238E27FC236}">
              <a16:creationId xmlns:a16="http://schemas.microsoft.com/office/drawing/2014/main" id="{1DED77ED-B752-8AB9-3B26-9DE35FC1AA6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55" name="Text Box 91" hidden="1">
          <a:extLst>
            <a:ext uri="{FF2B5EF4-FFF2-40B4-BE49-F238E27FC236}">
              <a16:creationId xmlns:a16="http://schemas.microsoft.com/office/drawing/2014/main" id="{D6384912-D69F-692C-AD11-176E5D6CCAE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54" name="Text Box 90" hidden="1">
          <a:extLst>
            <a:ext uri="{FF2B5EF4-FFF2-40B4-BE49-F238E27FC236}">
              <a16:creationId xmlns:a16="http://schemas.microsoft.com/office/drawing/2014/main" id="{BF67050F-90AF-6B13-7007-166A9B05DE6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53" name="Text Box 89" hidden="1">
          <a:extLst>
            <a:ext uri="{FF2B5EF4-FFF2-40B4-BE49-F238E27FC236}">
              <a16:creationId xmlns:a16="http://schemas.microsoft.com/office/drawing/2014/main" id="{6B97E2DE-FD5C-F68F-09AB-1244D4136D5F}"/>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697" name="Text Box 9" hidden="1">
          <a:extLst>
            <a:ext uri="{FF2B5EF4-FFF2-40B4-BE49-F238E27FC236}">
              <a16:creationId xmlns:a16="http://schemas.microsoft.com/office/drawing/2014/main" id="{48FD212B-7865-CFCA-89E7-1969A4FC2E6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696" name="Text Box 8" hidden="1">
          <a:extLst>
            <a:ext uri="{FF2B5EF4-FFF2-40B4-BE49-F238E27FC236}">
              <a16:creationId xmlns:a16="http://schemas.microsoft.com/office/drawing/2014/main" id="{D9FE2A2E-0396-0B31-B649-F1BB1C0FEF3C}"/>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695" name="Text Box 7" hidden="1">
          <a:extLst>
            <a:ext uri="{FF2B5EF4-FFF2-40B4-BE49-F238E27FC236}">
              <a16:creationId xmlns:a16="http://schemas.microsoft.com/office/drawing/2014/main" id="{CD59EE58-A16F-4FF1-6112-63636E1A7D0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694" name="Text Box 6" hidden="1">
          <a:extLst>
            <a:ext uri="{FF2B5EF4-FFF2-40B4-BE49-F238E27FC236}">
              <a16:creationId xmlns:a16="http://schemas.microsoft.com/office/drawing/2014/main" id="{B3F670BA-5154-2389-F20A-E2BB8391850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693" name="Text Box 5" hidden="1">
          <a:extLst>
            <a:ext uri="{FF2B5EF4-FFF2-40B4-BE49-F238E27FC236}">
              <a16:creationId xmlns:a16="http://schemas.microsoft.com/office/drawing/2014/main" id="{9789D907-4E8A-E577-4C25-1DF9A6D3DEF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692" name="Text Box 4" hidden="1">
          <a:extLst>
            <a:ext uri="{FF2B5EF4-FFF2-40B4-BE49-F238E27FC236}">
              <a16:creationId xmlns:a16="http://schemas.microsoft.com/office/drawing/2014/main" id="{9BA0AFF1-4F4D-1C72-6FF0-35899AF7382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691" name="Text Box 3" hidden="1">
          <a:extLst>
            <a:ext uri="{FF2B5EF4-FFF2-40B4-BE49-F238E27FC236}">
              <a16:creationId xmlns:a16="http://schemas.microsoft.com/office/drawing/2014/main" id="{6543FD30-8E83-73FA-B4B0-24ED81AD9D75}"/>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0" name="Text Box 2" hidden="1">
          <a:extLst>
            <a:ext uri="{FF2B5EF4-FFF2-40B4-BE49-F238E27FC236}">
              <a16:creationId xmlns:a16="http://schemas.microsoft.com/office/drawing/2014/main" id="{FBADFB1A-3E9F-9C6C-C1E8-F4C357DFB7C3}"/>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89" name="Text Box 1" hidden="1">
          <a:extLst>
            <a:ext uri="{FF2B5EF4-FFF2-40B4-BE49-F238E27FC236}">
              <a16:creationId xmlns:a16="http://schemas.microsoft.com/office/drawing/2014/main" id="{063B4B66-C8CC-06E3-F6DF-48C0B64F9C2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06" name="Text Box 18" hidden="1">
          <a:extLst>
            <a:ext uri="{FF2B5EF4-FFF2-40B4-BE49-F238E27FC236}">
              <a16:creationId xmlns:a16="http://schemas.microsoft.com/office/drawing/2014/main" id="{D84B72CD-C9D1-5D5E-983B-4C82D342488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05" name="Text Box 17" hidden="1">
          <a:extLst>
            <a:ext uri="{FF2B5EF4-FFF2-40B4-BE49-F238E27FC236}">
              <a16:creationId xmlns:a16="http://schemas.microsoft.com/office/drawing/2014/main" id="{ABE3996D-8B34-A51F-1ED0-F73690CCFF68}"/>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04" name="Text Box 16" hidden="1">
          <a:extLst>
            <a:ext uri="{FF2B5EF4-FFF2-40B4-BE49-F238E27FC236}">
              <a16:creationId xmlns:a16="http://schemas.microsoft.com/office/drawing/2014/main" id="{B25EB003-94BC-B976-C22B-90C794D185B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03" name="Text Box 15" hidden="1">
          <a:extLst>
            <a:ext uri="{FF2B5EF4-FFF2-40B4-BE49-F238E27FC236}">
              <a16:creationId xmlns:a16="http://schemas.microsoft.com/office/drawing/2014/main" id="{A76DB991-B741-46B0-7F7F-437A76A829C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02" name="Text Box 14" hidden="1">
          <a:extLst>
            <a:ext uri="{FF2B5EF4-FFF2-40B4-BE49-F238E27FC236}">
              <a16:creationId xmlns:a16="http://schemas.microsoft.com/office/drawing/2014/main" id="{7097E62F-7EC4-3F96-2101-9C10E1A7276B}"/>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01" name="Text Box 13" hidden="1">
          <a:extLst>
            <a:ext uri="{FF2B5EF4-FFF2-40B4-BE49-F238E27FC236}">
              <a16:creationId xmlns:a16="http://schemas.microsoft.com/office/drawing/2014/main" id="{9E9260A0-C4EE-EF70-E649-7CBCE8EA677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0" name="Text Box 12" hidden="1">
          <a:extLst>
            <a:ext uri="{FF2B5EF4-FFF2-40B4-BE49-F238E27FC236}">
              <a16:creationId xmlns:a16="http://schemas.microsoft.com/office/drawing/2014/main" id="{657EE45F-D2A9-206C-43FC-8208A6B8FE4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9" name="Text Box 11" hidden="1">
          <a:extLst>
            <a:ext uri="{FF2B5EF4-FFF2-40B4-BE49-F238E27FC236}">
              <a16:creationId xmlns:a16="http://schemas.microsoft.com/office/drawing/2014/main" id="{1D3F628C-A68A-DDB8-854E-6368C9ABD89B}"/>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98" name="Text Box 10" hidden="1">
          <a:extLst>
            <a:ext uri="{FF2B5EF4-FFF2-40B4-BE49-F238E27FC236}">
              <a16:creationId xmlns:a16="http://schemas.microsoft.com/office/drawing/2014/main" id="{5AB2309C-13D7-2BAF-FA96-0F56641BED46}"/>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15" name="Text Box 27" hidden="1">
          <a:extLst>
            <a:ext uri="{FF2B5EF4-FFF2-40B4-BE49-F238E27FC236}">
              <a16:creationId xmlns:a16="http://schemas.microsoft.com/office/drawing/2014/main" id="{DAD90473-7475-20DB-BA81-F6FA87F7E37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14" name="Text Box 26" hidden="1">
          <a:extLst>
            <a:ext uri="{FF2B5EF4-FFF2-40B4-BE49-F238E27FC236}">
              <a16:creationId xmlns:a16="http://schemas.microsoft.com/office/drawing/2014/main" id="{F71EDBF1-23E9-9C65-937C-B531F830D683}"/>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13" name="Text Box 25" hidden="1">
          <a:extLst>
            <a:ext uri="{FF2B5EF4-FFF2-40B4-BE49-F238E27FC236}">
              <a16:creationId xmlns:a16="http://schemas.microsoft.com/office/drawing/2014/main" id="{1DEE8A0A-9190-A3ED-931E-4B978629865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12" name="Text Box 24" hidden="1">
          <a:extLst>
            <a:ext uri="{FF2B5EF4-FFF2-40B4-BE49-F238E27FC236}">
              <a16:creationId xmlns:a16="http://schemas.microsoft.com/office/drawing/2014/main" id="{45033F3F-D4B6-7252-3F74-4287237F4E54}"/>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11" name="Text Box 23" hidden="1">
          <a:extLst>
            <a:ext uri="{FF2B5EF4-FFF2-40B4-BE49-F238E27FC236}">
              <a16:creationId xmlns:a16="http://schemas.microsoft.com/office/drawing/2014/main" id="{FF8009B1-C8A6-DC2B-6D3E-713B4957F72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0" name="Text Box 22" hidden="1">
          <a:extLst>
            <a:ext uri="{FF2B5EF4-FFF2-40B4-BE49-F238E27FC236}">
              <a16:creationId xmlns:a16="http://schemas.microsoft.com/office/drawing/2014/main" id="{3F65B23C-C97E-C87C-3EA0-8E8857CC870B}"/>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9" name="Text Box 21" hidden="1">
          <a:extLst>
            <a:ext uri="{FF2B5EF4-FFF2-40B4-BE49-F238E27FC236}">
              <a16:creationId xmlns:a16="http://schemas.microsoft.com/office/drawing/2014/main" id="{1B3191BE-053D-75B7-C055-425C8D7C463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08" name="Text Box 20" hidden="1">
          <a:extLst>
            <a:ext uri="{FF2B5EF4-FFF2-40B4-BE49-F238E27FC236}">
              <a16:creationId xmlns:a16="http://schemas.microsoft.com/office/drawing/2014/main" id="{C23FA101-0115-D8DB-F83C-78982B72E7FF}"/>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07" name="Text Box 19" hidden="1">
          <a:extLst>
            <a:ext uri="{FF2B5EF4-FFF2-40B4-BE49-F238E27FC236}">
              <a16:creationId xmlns:a16="http://schemas.microsoft.com/office/drawing/2014/main" id="{880BDBEE-076B-3095-4780-4AFB7900F63A}"/>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24" name="Text Box 36" hidden="1">
          <a:extLst>
            <a:ext uri="{FF2B5EF4-FFF2-40B4-BE49-F238E27FC236}">
              <a16:creationId xmlns:a16="http://schemas.microsoft.com/office/drawing/2014/main" id="{8C2DE350-F7AA-0388-678B-579B941A8351}"/>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23" name="Text Box 35" hidden="1">
          <a:extLst>
            <a:ext uri="{FF2B5EF4-FFF2-40B4-BE49-F238E27FC236}">
              <a16:creationId xmlns:a16="http://schemas.microsoft.com/office/drawing/2014/main" id="{8F2E6E97-1B59-C5E2-D090-B3AFFDB30C5A}"/>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22" name="Text Box 34" hidden="1">
          <a:extLst>
            <a:ext uri="{FF2B5EF4-FFF2-40B4-BE49-F238E27FC236}">
              <a16:creationId xmlns:a16="http://schemas.microsoft.com/office/drawing/2014/main" id="{58672E0E-3AD5-2064-3E59-81F5478825B5}"/>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21" name="Text Box 33" hidden="1">
          <a:extLst>
            <a:ext uri="{FF2B5EF4-FFF2-40B4-BE49-F238E27FC236}">
              <a16:creationId xmlns:a16="http://schemas.microsoft.com/office/drawing/2014/main" id="{B3E6DB80-DF0C-636B-52FD-BD8DF8219B7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0" name="Text Box 32" hidden="1">
          <a:extLst>
            <a:ext uri="{FF2B5EF4-FFF2-40B4-BE49-F238E27FC236}">
              <a16:creationId xmlns:a16="http://schemas.microsoft.com/office/drawing/2014/main" id="{1803AEB8-A8ED-4F19-0892-948AB7822A4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9" name="Text Box 31" hidden="1">
          <a:extLst>
            <a:ext uri="{FF2B5EF4-FFF2-40B4-BE49-F238E27FC236}">
              <a16:creationId xmlns:a16="http://schemas.microsoft.com/office/drawing/2014/main" id="{AB6C105F-916A-D088-D1B9-258488C47C0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18" name="Text Box 30" hidden="1">
          <a:extLst>
            <a:ext uri="{FF2B5EF4-FFF2-40B4-BE49-F238E27FC236}">
              <a16:creationId xmlns:a16="http://schemas.microsoft.com/office/drawing/2014/main" id="{9A27BEE7-53DE-AECF-EC34-CB19216C559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17" name="Text Box 29" hidden="1">
          <a:extLst>
            <a:ext uri="{FF2B5EF4-FFF2-40B4-BE49-F238E27FC236}">
              <a16:creationId xmlns:a16="http://schemas.microsoft.com/office/drawing/2014/main" id="{BD53FE8A-4719-C491-99CE-8DF2BE92021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16" name="Text Box 28" hidden="1">
          <a:extLst>
            <a:ext uri="{FF2B5EF4-FFF2-40B4-BE49-F238E27FC236}">
              <a16:creationId xmlns:a16="http://schemas.microsoft.com/office/drawing/2014/main" id="{654A5B18-72E7-F80A-5428-25A3272C17EC}"/>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33" name="Text Box 45" hidden="1">
          <a:extLst>
            <a:ext uri="{FF2B5EF4-FFF2-40B4-BE49-F238E27FC236}">
              <a16:creationId xmlns:a16="http://schemas.microsoft.com/office/drawing/2014/main" id="{F7976B75-FE4D-9511-02BE-6AED002C060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32" name="Text Box 44" hidden="1">
          <a:extLst>
            <a:ext uri="{FF2B5EF4-FFF2-40B4-BE49-F238E27FC236}">
              <a16:creationId xmlns:a16="http://schemas.microsoft.com/office/drawing/2014/main" id="{EE7DA610-3D87-6875-22EA-6A8BF754574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31" name="Text Box 43" hidden="1">
          <a:extLst>
            <a:ext uri="{FF2B5EF4-FFF2-40B4-BE49-F238E27FC236}">
              <a16:creationId xmlns:a16="http://schemas.microsoft.com/office/drawing/2014/main" id="{07D58282-13AD-E176-D9DB-E3296EE4E69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0" name="Text Box 42" hidden="1">
          <a:extLst>
            <a:ext uri="{FF2B5EF4-FFF2-40B4-BE49-F238E27FC236}">
              <a16:creationId xmlns:a16="http://schemas.microsoft.com/office/drawing/2014/main" id="{3C1EDA1A-95BF-65E7-1B48-C7F94A1B57D1}"/>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9" name="Text Box 41" hidden="1">
          <a:extLst>
            <a:ext uri="{FF2B5EF4-FFF2-40B4-BE49-F238E27FC236}">
              <a16:creationId xmlns:a16="http://schemas.microsoft.com/office/drawing/2014/main" id="{EB25D891-0187-33B4-FDA3-53D470DDEAC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28" name="Text Box 40" hidden="1">
          <a:extLst>
            <a:ext uri="{FF2B5EF4-FFF2-40B4-BE49-F238E27FC236}">
              <a16:creationId xmlns:a16="http://schemas.microsoft.com/office/drawing/2014/main" id="{B261BB5D-BB56-8C0C-007D-BE967FDF4FD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27" name="Text Box 39" hidden="1">
          <a:extLst>
            <a:ext uri="{FF2B5EF4-FFF2-40B4-BE49-F238E27FC236}">
              <a16:creationId xmlns:a16="http://schemas.microsoft.com/office/drawing/2014/main" id="{653575D4-4E5C-1453-68A6-24A4F507287D}"/>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26" name="Text Box 38" hidden="1">
          <a:extLst>
            <a:ext uri="{FF2B5EF4-FFF2-40B4-BE49-F238E27FC236}">
              <a16:creationId xmlns:a16="http://schemas.microsoft.com/office/drawing/2014/main" id="{233C58C0-8666-A836-54E8-D93BB443DF4C}"/>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25" name="Text Box 37" hidden="1">
          <a:extLst>
            <a:ext uri="{FF2B5EF4-FFF2-40B4-BE49-F238E27FC236}">
              <a16:creationId xmlns:a16="http://schemas.microsoft.com/office/drawing/2014/main" id="{64369985-357F-013E-A218-D522C580A2E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42" name="Text Box 54" hidden="1">
          <a:extLst>
            <a:ext uri="{FF2B5EF4-FFF2-40B4-BE49-F238E27FC236}">
              <a16:creationId xmlns:a16="http://schemas.microsoft.com/office/drawing/2014/main" id="{A3FF27BA-F877-8944-6F22-B40F0E51FE6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41" name="Text Box 53" hidden="1">
          <a:extLst>
            <a:ext uri="{FF2B5EF4-FFF2-40B4-BE49-F238E27FC236}">
              <a16:creationId xmlns:a16="http://schemas.microsoft.com/office/drawing/2014/main" id="{119FEFC4-8943-66AD-6049-545559BE403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0" name="Text Box 52" hidden="1">
          <a:extLst>
            <a:ext uri="{FF2B5EF4-FFF2-40B4-BE49-F238E27FC236}">
              <a16:creationId xmlns:a16="http://schemas.microsoft.com/office/drawing/2014/main" id="{501BA0F6-2F67-E027-C50B-BF2C5BEE125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9" name="Text Box 51" hidden="1">
          <a:extLst>
            <a:ext uri="{FF2B5EF4-FFF2-40B4-BE49-F238E27FC236}">
              <a16:creationId xmlns:a16="http://schemas.microsoft.com/office/drawing/2014/main" id="{1D7A5996-F241-4123-7E51-3CB160583D06}"/>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38" name="Text Box 50" hidden="1">
          <a:extLst>
            <a:ext uri="{FF2B5EF4-FFF2-40B4-BE49-F238E27FC236}">
              <a16:creationId xmlns:a16="http://schemas.microsoft.com/office/drawing/2014/main" id="{3BDD2214-E436-5728-FF2D-E8C35C8C8726}"/>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37" name="Text Box 49" hidden="1">
          <a:extLst>
            <a:ext uri="{FF2B5EF4-FFF2-40B4-BE49-F238E27FC236}">
              <a16:creationId xmlns:a16="http://schemas.microsoft.com/office/drawing/2014/main" id="{EDFD3175-FEFB-5417-3A53-1ED47BA5734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36" name="Text Box 48" hidden="1">
          <a:extLst>
            <a:ext uri="{FF2B5EF4-FFF2-40B4-BE49-F238E27FC236}">
              <a16:creationId xmlns:a16="http://schemas.microsoft.com/office/drawing/2014/main" id="{4023181D-62DD-48CA-D853-5FC3BC40650A}"/>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35" name="Text Box 47" hidden="1">
          <a:extLst>
            <a:ext uri="{FF2B5EF4-FFF2-40B4-BE49-F238E27FC236}">
              <a16:creationId xmlns:a16="http://schemas.microsoft.com/office/drawing/2014/main" id="{94D70DF8-1FAE-E85F-390C-2167DB06349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34" name="Text Box 46" hidden="1">
          <a:extLst>
            <a:ext uri="{FF2B5EF4-FFF2-40B4-BE49-F238E27FC236}">
              <a16:creationId xmlns:a16="http://schemas.microsoft.com/office/drawing/2014/main" id="{2DFD929B-776E-AB30-9B8A-6D48C2F8D082}"/>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51" name="Text Box 63" hidden="1">
          <a:extLst>
            <a:ext uri="{FF2B5EF4-FFF2-40B4-BE49-F238E27FC236}">
              <a16:creationId xmlns:a16="http://schemas.microsoft.com/office/drawing/2014/main" id="{A0F2599F-9FA8-0763-A7D0-F6E6B07481C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50" name="Text Box 62" hidden="1">
          <a:extLst>
            <a:ext uri="{FF2B5EF4-FFF2-40B4-BE49-F238E27FC236}">
              <a16:creationId xmlns:a16="http://schemas.microsoft.com/office/drawing/2014/main" id="{8F854404-1F2D-BDBF-3DF8-2F4306DFBB8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9" name="Text Box 61" hidden="1">
          <a:extLst>
            <a:ext uri="{FF2B5EF4-FFF2-40B4-BE49-F238E27FC236}">
              <a16:creationId xmlns:a16="http://schemas.microsoft.com/office/drawing/2014/main" id="{CB15ED4D-6C8F-C645-4F91-C6658D98AF7C}"/>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48" name="Text Box 60" hidden="1">
          <a:extLst>
            <a:ext uri="{FF2B5EF4-FFF2-40B4-BE49-F238E27FC236}">
              <a16:creationId xmlns:a16="http://schemas.microsoft.com/office/drawing/2014/main" id="{69136005-7E81-47EE-A4EE-332362A87A4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47" name="Text Box 59" hidden="1">
          <a:extLst>
            <a:ext uri="{FF2B5EF4-FFF2-40B4-BE49-F238E27FC236}">
              <a16:creationId xmlns:a16="http://schemas.microsoft.com/office/drawing/2014/main" id="{F3A7BCB5-4B22-DE05-55B8-93B9F03110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46" name="Text Box 58" hidden="1">
          <a:extLst>
            <a:ext uri="{FF2B5EF4-FFF2-40B4-BE49-F238E27FC236}">
              <a16:creationId xmlns:a16="http://schemas.microsoft.com/office/drawing/2014/main" id="{B3E09B1A-C658-67EE-CB23-66100BBA950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45" name="Text Box 57" hidden="1">
          <a:extLst>
            <a:ext uri="{FF2B5EF4-FFF2-40B4-BE49-F238E27FC236}">
              <a16:creationId xmlns:a16="http://schemas.microsoft.com/office/drawing/2014/main" id="{EC704C32-E3B5-65F7-682D-2B3ACE9C085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44" name="Text Box 56" hidden="1">
          <a:extLst>
            <a:ext uri="{FF2B5EF4-FFF2-40B4-BE49-F238E27FC236}">
              <a16:creationId xmlns:a16="http://schemas.microsoft.com/office/drawing/2014/main" id="{5DEE3E38-CD5F-44F9-3FA6-91FF427E2CC0}"/>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43" name="Text Box 55" hidden="1">
          <a:extLst>
            <a:ext uri="{FF2B5EF4-FFF2-40B4-BE49-F238E27FC236}">
              <a16:creationId xmlns:a16="http://schemas.microsoft.com/office/drawing/2014/main" id="{5E79D5A1-4F1A-4320-D48B-63DF90ACC871}"/>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0" name="Text Box 72" hidden="1">
          <a:extLst>
            <a:ext uri="{FF2B5EF4-FFF2-40B4-BE49-F238E27FC236}">
              <a16:creationId xmlns:a16="http://schemas.microsoft.com/office/drawing/2014/main" id="{89EC8A42-C711-AF92-E499-F3DFBB705264}"/>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59" name="Text Box 71" hidden="1">
          <a:extLst>
            <a:ext uri="{FF2B5EF4-FFF2-40B4-BE49-F238E27FC236}">
              <a16:creationId xmlns:a16="http://schemas.microsoft.com/office/drawing/2014/main" id="{38F74533-5091-8256-46E8-117A6FFADFCD}"/>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58" name="Text Box 70" hidden="1">
          <a:extLst>
            <a:ext uri="{FF2B5EF4-FFF2-40B4-BE49-F238E27FC236}">
              <a16:creationId xmlns:a16="http://schemas.microsoft.com/office/drawing/2014/main" id="{9F1BB20E-FBE8-2F8A-43D8-063BC8DB4485}"/>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57" name="Text Box 69" hidden="1">
          <a:extLst>
            <a:ext uri="{FF2B5EF4-FFF2-40B4-BE49-F238E27FC236}">
              <a16:creationId xmlns:a16="http://schemas.microsoft.com/office/drawing/2014/main" id="{907DFA04-810B-DC31-3D39-A58AB08ADFAD}"/>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56" name="Text Box 68" hidden="1">
          <a:extLst>
            <a:ext uri="{FF2B5EF4-FFF2-40B4-BE49-F238E27FC236}">
              <a16:creationId xmlns:a16="http://schemas.microsoft.com/office/drawing/2014/main" id="{AD6ADD79-B7E8-EC3C-D602-5F4DF1F15AFB}"/>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55" name="Text Box 67" hidden="1">
          <a:extLst>
            <a:ext uri="{FF2B5EF4-FFF2-40B4-BE49-F238E27FC236}">
              <a16:creationId xmlns:a16="http://schemas.microsoft.com/office/drawing/2014/main" id="{773C04B5-D011-9FC2-68D5-4FD27E663045}"/>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54" name="Text Box 66" hidden="1">
          <a:extLst>
            <a:ext uri="{FF2B5EF4-FFF2-40B4-BE49-F238E27FC236}">
              <a16:creationId xmlns:a16="http://schemas.microsoft.com/office/drawing/2014/main" id="{6B2F52C1-21B6-F379-D1EE-DF1D8804950D}"/>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53" name="Text Box 65" hidden="1">
          <a:extLst>
            <a:ext uri="{FF2B5EF4-FFF2-40B4-BE49-F238E27FC236}">
              <a16:creationId xmlns:a16="http://schemas.microsoft.com/office/drawing/2014/main" id="{EE00B813-4D3C-59C1-57D4-479F08556FE6}"/>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52" name="Text Box 64" hidden="1">
          <a:extLst>
            <a:ext uri="{FF2B5EF4-FFF2-40B4-BE49-F238E27FC236}">
              <a16:creationId xmlns:a16="http://schemas.microsoft.com/office/drawing/2014/main" id="{58F62863-AC54-F491-3B69-4425D9EF582C}"/>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29" name="Text Box 1033" hidden="1">
          <a:extLst>
            <a:ext uri="{FF2B5EF4-FFF2-40B4-BE49-F238E27FC236}">
              <a16:creationId xmlns:a16="http://schemas.microsoft.com/office/drawing/2014/main" id="{DBBC6D1C-2C6E-AD3D-B916-00652364C423}"/>
            </a:ext>
          </a:extLst>
        </xdr:cNvPr>
        <xdr:cNvSpPr txBox="1">
          <a:spLocks noChangeArrowheads="1"/>
        </xdr:cNvSpPr>
      </xdr:nvSpPr>
      <xdr:spPr bwMode="auto">
        <a:xfrm>
          <a:off x="1153795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28" name="Text Box 1032" hidden="1">
          <a:extLst>
            <a:ext uri="{FF2B5EF4-FFF2-40B4-BE49-F238E27FC236}">
              <a16:creationId xmlns:a16="http://schemas.microsoft.com/office/drawing/2014/main" id="{EAA7E16D-AD11-0090-B91A-327B976B256F}"/>
            </a:ext>
          </a:extLst>
        </xdr:cNvPr>
        <xdr:cNvSpPr txBox="1">
          <a:spLocks noChangeArrowheads="1"/>
        </xdr:cNvSpPr>
      </xdr:nvSpPr>
      <xdr:spPr bwMode="auto">
        <a:xfrm>
          <a:off x="1247775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27" name="Text Box 1031" hidden="1">
          <a:extLst>
            <a:ext uri="{FF2B5EF4-FFF2-40B4-BE49-F238E27FC236}">
              <a16:creationId xmlns:a16="http://schemas.microsoft.com/office/drawing/2014/main" id="{B90B071D-E397-C29A-514C-4504B793DE7D}"/>
            </a:ext>
          </a:extLst>
        </xdr:cNvPr>
        <xdr:cNvSpPr txBox="1">
          <a:spLocks noChangeArrowheads="1"/>
        </xdr:cNvSpPr>
      </xdr:nvSpPr>
      <xdr:spPr bwMode="auto">
        <a:xfrm>
          <a:off x="1251585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26" name="Text Box 1030" hidden="1">
          <a:extLst>
            <a:ext uri="{FF2B5EF4-FFF2-40B4-BE49-F238E27FC236}">
              <a16:creationId xmlns:a16="http://schemas.microsoft.com/office/drawing/2014/main" id="{E8935533-4AF6-F81A-CCDF-76EF6733F37F}"/>
            </a:ext>
          </a:extLst>
        </xdr:cNvPr>
        <xdr:cNvSpPr txBox="1">
          <a:spLocks noChangeArrowheads="1"/>
        </xdr:cNvSpPr>
      </xdr:nvSpPr>
      <xdr:spPr bwMode="auto">
        <a:xfrm>
          <a:off x="1296670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25" name="Text Box 1029" hidden="1">
          <a:extLst>
            <a:ext uri="{FF2B5EF4-FFF2-40B4-BE49-F238E27FC236}">
              <a16:creationId xmlns:a16="http://schemas.microsoft.com/office/drawing/2014/main" id="{AA615983-BB30-48B9-4777-0ED57AC78FFA}"/>
            </a:ext>
          </a:extLst>
        </xdr:cNvPr>
        <xdr:cNvSpPr txBox="1">
          <a:spLocks noChangeArrowheads="1"/>
        </xdr:cNvSpPr>
      </xdr:nvSpPr>
      <xdr:spPr bwMode="auto">
        <a:xfrm>
          <a:off x="1243965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24" name="Text Box 1028" hidden="1">
          <a:extLst>
            <a:ext uri="{FF2B5EF4-FFF2-40B4-BE49-F238E27FC236}">
              <a16:creationId xmlns:a16="http://schemas.microsoft.com/office/drawing/2014/main" id="{4255C77B-C35D-93C6-34AC-FACDAA72416B}"/>
            </a:ext>
          </a:extLst>
        </xdr:cNvPr>
        <xdr:cNvSpPr txBox="1">
          <a:spLocks noChangeArrowheads="1"/>
        </xdr:cNvSpPr>
      </xdr:nvSpPr>
      <xdr:spPr bwMode="auto">
        <a:xfrm>
          <a:off x="429260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23" name="Text Box 1027" hidden="1">
          <a:extLst>
            <a:ext uri="{FF2B5EF4-FFF2-40B4-BE49-F238E27FC236}">
              <a16:creationId xmlns:a16="http://schemas.microsoft.com/office/drawing/2014/main" id="{2C8FF1AB-B5DE-62B1-30B9-E8724D2264BF}"/>
            </a:ext>
          </a:extLst>
        </xdr:cNvPr>
        <xdr:cNvSpPr txBox="1">
          <a:spLocks noChangeArrowheads="1"/>
        </xdr:cNvSpPr>
      </xdr:nvSpPr>
      <xdr:spPr bwMode="auto">
        <a:xfrm>
          <a:off x="1383030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22" name="Text Box 1026" hidden="1">
          <a:extLst>
            <a:ext uri="{FF2B5EF4-FFF2-40B4-BE49-F238E27FC236}">
              <a16:creationId xmlns:a16="http://schemas.microsoft.com/office/drawing/2014/main" id="{2968A831-1823-9D0A-C6EE-60DFE7DBCC81}"/>
            </a:ext>
          </a:extLst>
        </xdr:cNvPr>
        <xdr:cNvSpPr txBox="1">
          <a:spLocks noChangeArrowheads="1"/>
        </xdr:cNvSpPr>
      </xdr:nvSpPr>
      <xdr:spPr bwMode="auto">
        <a:xfrm>
          <a:off x="1426210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21" name="Text Box 1025" hidden="1">
          <a:extLst>
            <a:ext uri="{FF2B5EF4-FFF2-40B4-BE49-F238E27FC236}">
              <a16:creationId xmlns:a16="http://schemas.microsoft.com/office/drawing/2014/main" id="{2F07F810-2FCF-AF7B-DC7D-F0DA33F75750}"/>
            </a:ext>
          </a:extLst>
        </xdr:cNvPr>
        <xdr:cNvSpPr txBox="1">
          <a:spLocks noChangeArrowheads="1"/>
        </xdr:cNvSpPr>
      </xdr:nvSpPr>
      <xdr:spPr bwMode="auto">
        <a:xfrm>
          <a:off x="2167890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9" name="Text Box 81" hidden="1">
          <a:extLst>
            <a:ext uri="{FF2B5EF4-FFF2-40B4-BE49-F238E27FC236}">
              <a16:creationId xmlns:a16="http://schemas.microsoft.com/office/drawing/2014/main" id="{5936D9C3-E10D-856E-892D-473FBBDC3C8E}"/>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68" name="Text Box 80" hidden="1">
          <a:extLst>
            <a:ext uri="{FF2B5EF4-FFF2-40B4-BE49-F238E27FC236}">
              <a16:creationId xmlns:a16="http://schemas.microsoft.com/office/drawing/2014/main" id="{A0AEFB31-A6AF-A5C6-AB3E-F47A0A36B352}"/>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67" name="Text Box 79" hidden="1">
          <a:extLst>
            <a:ext uri="{FF2B5EF4-FFF2-40B4-BE49-F238E27FC236}">
              <a16:creationId xmlns:a16="http://schemas.microsoft.com/office/drawing/2014/main" id="{E43C8CB3-7C48-207E-1FAA-3C02254A8E7C}"/>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66" name="Text Box 78" hidden="1">
          <a:extLst>
            <a:ext uri="{FF2B5EF4-FFF2-40B4-BE49-F238E27FC236}">
              <a16:creationId xmlns:a16="http://schemas.microsoft.com/office/drawing/2014/main" id="{A16DAECD-F785-9916-5448-3B76A5F8452B}"/>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65" name="Text Box 77" hidden="1">
          <a:extLst>
            <a:ext uri="{FF2B5EF4-FFF2-40B4-BE49-F238E27FC236}">
              <a16:creationId xmlns:a16="http://schemas.microsoft.com/office/drawing/2014/main" id="{682420AC-2C55-E46A-5349-7D1ED817A7A4}"/>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64" name="Text Box 76" hidden="1">
          <a:extLst>
            <a:ext uri="{FF2B5EF4-FFF2-40B4-BE49-F238E27FC236}">
              <a16:creationId xmlns:a16="http://schemas.microsoft.com/office/drawing/2014/main" id="{B59C239B-C557-63A1-861A-9EDEA0C7DD99}"/>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63" name="Text Box 75" hidden="1">
          <a:extLst>
            <a:ext uri="{FF2B5EF4-FFF2-40B4-BE49-F238E27FC236}">
              <a16:creationId xmlns:a16="http://schemas.microsoft.com/office/drawing/2014/main" id="{873FC379-A433-439B-4006-661827B7A8A0}"/>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62" name="Text Box 74" hidden="1">
          <a:extLst>
            <a:ext uri="{FF2B5EF4-FFF2-40B4-BE49-F238E27FC236}">
              <a16:creationId xmlns:a16="http://schemas.microsoft.com/office/drawing/2014/main" id="{0F02DF40-FA14-F81A-780C-5563D8DEA684}"/>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61" name="Text Box 73" hidden="1">
          <a:extLst>
            <a:ext uri="{FF2B5EF4-FFF2-40B4-BE49-F238E27FC236}">
              <a16:creationId xmlns:a16="http://schemas.microsoft.com/office/drawing/2014/main" id="{86711450-C09C-E2C4-DBB0-1C95C5046817}"/>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38" name="Text Box 18" hidden="1">
          <a:extLst>
            <a:ext uri="{FF2B5EF4-FFF2-40B4-BE49-F238E27FC236}">
              <a16:creationId xmlns:a16="http://schemas.microsoft.com/office/drawing/2014/main" id="{E2B4F075-950E-AF92-3D5A-A5EFBE7921FF}"/>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37" name="Text Box 17" hidden="1">
          <a:extLst>
            <a:ext uri="{FF2B5EF4-FFF2-40B4-BE49-F238E27FC236}">
              <a16:creationId xmlns:a16="http://schemas.microsoft.com/office/drawing/2014/main" id="{C117FEF2-8FCF-80CF-9812-3A35F2D84AB5}"/>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36" name="Text Box 16" hidden="1">
          <a:extLst>
            <a:ext uri="{FF2B5EF4-FFF2-40B4-BE49-F238E27FC236}">
              <a16:creationId xmlns:a16="http://schemas.microsoft.com/office/drawing/2014/main" id="{56FEFA6C-4971-2473-CB6E-DBEB26018448}"/>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35" name="Text Box 15" hidden="1">
          <a:extLst>
            <a:ext uri="{FF2B5EF4-FFF2-40B4-BE49-F238E27FC236}">
              <a16:creationId xmlns:a16="http://schemas.microsoft.com/office/drawing/2014/main" id="{819FA44C-B063-BEEE-444D-7B943F2C45B5}"/>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34" name="Text Box 14" hidden="1">
          <a:extLst>
            <a:ext uri="{FF2B5EF4-FFF2-40B4-BE49-F238E27FC236}">
              <a16:creationId xmlns:a16="http://schemas.microsoft.com/office/drawing/2014/main" id="{4FDF6BA9-C8B6-EE0A-EAEA-6D5E806EF670}"/>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33" name="Text Box 13" hidden="1">
          <a:extLst>
            <a:ext uri="{FF2B5EF4-FFF2-40B4-BE49-F238E27FC236}">
              <a16:creationId xmlns:a16="http://schemas.microsoft.com/office/drawing/2014/main" id="{652F65EA-C520-3616-452F-24CC520ECA34}"/>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32" name="Text Box 12" hidden="1">
          <a:extLst>
            <a:ext uri="{FF2B5EF4-FFF2-40B4-BE49-F238E27FC236}">
              <a16:creationId xmlns:a16="http://schemas.microsoft.com/office/drawing/2014/main" id="{391BC16D-7E3F-95DD-124D-D6E4F2B5C0C5}"/>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31" name="Text Box 11" hidden="1">
          <a:extLst>
            <a:ext uri="{FF2B5EF4-FFF2-40B4-BE49-F238E27FC236}">
              <a16:creationId xmlns:a16="http://schemas.microsoft.com/office/drawing/2014/main" id="{F55F036F-A2CD-E3F5-221C-C2A6F6423328}"/>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30" name="Text Box 10" hidden="1">
          <a:extLst>
            <a:ext uri="{FF2B5EF4-FFF2-40B4-BE49-F238E27FC236}">
              <a16:creationId xmlns:a16="http://schemas.microsoft.com/office/drawing/2014/main" id="{20C6F013-C133-E152-3533-31DF4BB72048}"/>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67389</xdr:colOff>
      <xdr:row>0</xdr:row>
      <xdr:rowOff>88793</xdr:rowOff>
    </xdr:from>
    <xdr:to>
      <xdr:col>0</xdr:col>
      <xdr:colOff>1134439</xdr:colOff>
      <xdr:row>3</xdr:row>
      <xdr:rowOff>10702</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B626476D-F814-4A1D-9653-96AA8CE21ABA}"/>
            </a:ext>
          </a:extLst>
        </xdr:cNvPr>
        <xdr:cNvSpPr/>
      </xdr:nvSpPr>
      <xdr:spPr>
        <a:xfrm>
          <a:off x="67389" y="88793"/>
          <a:ext cx="1067050"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47" name="Text Box 27" hidden="1">
          <a:extLst>
            <a:ext uri="{FF2B5EF4-FFF2-40B4-BE49-F238E27FC236}">
              <a16:creationId xmlns:a16="http://schemas.microsoft.com/office/drawing/2014/main" id="{41433A36-B302-7068-913B-402D4D0975C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46" name="Text Box 26" hidden="1">
          <a:extLst>
            <a:ext uri="{FF2B5EF4-FFF2-40B4-BE49-F238E27FC236}">
              <a16:creationId xmlns:a16="http://schemas.microsoft.com/office/drawing/2014/main" id="{21615EE2-E205-8AE3-9820-1B355DD88FE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45" name="Text Box 25" hidden="1">
          <a:extLst>
            <a:ext uri="{FF2B5EF4-FFF2-40B4-BE49-F238E27FC236}">
              <a16:creationId xmlns:a16="http://schemas.microsoft.com/office/drawing/2014/main" id="{8C396812-4207-8593-B8BC-25AC4769334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44" name="Text Box 24" hidden="1">
          <a:extLst>
            <a:ext uri="{FF2B5EF4-FFF2-40B4-BE49-F238E27FC236}">
              <a16:creationId xmlns:a16="http://schemas.microsoft.com/office/drawing/2014/main" id="{E8D263C6-F97C-D7C1-04AD-ED9C5C8F33E0}"/>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43" name="Text Box 23" hidden="1">
          <a:extLst>
            <a:ext uri="{FF2B5EF4-FFF2-40B4-BE49-F238E27FC236}">
              <a16:creationId xmlns:a16="http://schemas.microsoft.com/office/drawing/2014/main" id="{3D983587-BB16-F462-1455-3A8E7DB9DA5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42" name="Text Box 22" hidden="1">
          <a:extLst>
            <a:ext uri="{FF2B5EF4-FFF2-40B4-BE49-F238E27FC236}">
              <a16:creationId xmlns:a16="http://schemas.microsoft.com/office/drawing/2014/main" id="{1FCFA7AB-D08E-6285-4975-E8F6F64FA926}"/>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41" name="Text Box 21" hidden="1">
          <a:extLst>
            <a:ext uri="{FF2B5EF4-FFF2-40B4-BE49-F238E27FC236}">
              <a16:creationId xmlns:a16="http://schemas.microsoft.com/office/drawing/2014/main" id="{4C59EE41-05C9-8330-5CA6-CB3B80A7BAB6}"/>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0" name="Text Box 20" hidden="1">
          <a:extLst>
            <a:ext uri="{FF2B5EF4-FFF2-40B4-BE49-F238E27FC236}">
              <a16:creationId xmlns:a16="http://schemas.microsoft.com/office/drawing/2014/main" id="{7894B82B-AF1D-A857-AAB3-9A912E933B5B}"/>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39" name="Text Box 19" hidden="1">
          <a:extLst>
            <a:ext uri="{FF2B5EF4-FFF2-40B4-BE49-F238E27FC236}">
              <a16:creationId xmlns:a16="http://schemas.microsoft.com/office/drawing/2014/main" id="{7739E93C-5968-BCF3-CDE9-4F571C71D56A}"/>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56" name="Text Box 36" hidden="1">
          <a:extLst>
            <a:ext uri="{FF2B5EF4-FFF2-40B4-BE49-F238E27FC236}">
              <a16:creationId xmlns:a16="http://schemas.microsoft.com/office/drawing/2014/main" id="{61C05D66-BEAB-4EB2-3670-0F2BD6DEB8A2}"/>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55" name="Text Box 35" hidden="1">
          <a:extLst>
            <a:ext uri="{FF2B5EF4-FFF2-40B4-BE49-F238E27FC236}">
              <a16:creationId xmlns:a16="http://schemas.microsoft.com/office/drawing/2014/main" id="{246F21E9-F869-1D60-E46A-E8A9817E4B8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54" name="Text Box 34" hidden="1">
          <a:extLst>
            <a:ext uri="{FF2B5EF4-FFF2-40B4-BE49-F238E27FC236}">
              <a16:creationId xmlns:a16="http://schemas.microsoft.com/office/drawing/2014/main" id="{FC47971A-8AC8-9D49-622D-97EAC215C43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53" name="Text Box 33" hidden="1">
          <a:extLst>
            <a:ext uri="{FF2B5EF4-FFF2-40B4-BE49-F238E27FC236}">
              <a16:creationId xmlns:a16="http://schemas.microsoft.com/office/drawing/2014/main" id="{3FCC84A7-7BE0-335B-2AEF-E92358EA254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52" name="Text Box 32" hidden="1">
          <a:extLst>
            <a:ext uri="{FF2B5EF4-FFF2-40B4-BE49-F238E27FC236}">
              <a16:creationId xmlns:a16="http://schemas.microsoft.com/office/drawing/2014/main" id="{8913A2EA-9ABF-E900-9E30-6367A953E10E}"/>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51" name="Text Box 31" hidden="1">
          <a:extLst>
            <a:ext uri="{FF2B5EF4-FFF2-40B4-BE49-F238E27FC236}">
              <a16:creationId xmlns:a16="http://schemas.microsoft.com/office/drawing/2014/main" id="{3A263DF7-6FDD-2D25-14F0-4E048F9C6EF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0" name="Text Box 30" hidden="1">
          <a:extLst>
            <a:ext uri="{FF2B5EF4-FFF2-40B4-BE49-F238E27FC236}">
              <a16:creationId xmlns:a16="http://schemas.microsoft.com/office/drawing/2014/main" id="{18D438CB-AF70-A253-105E-F87FA5560AE7}"/>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9" name="Text Box 29" hidden="1">
          <a:extLst>
            <a:ext uri="{FF2B5EF4-FFF2-40B4-BE49-F238E27FC236}">
              <a16:creationId xmlns:a16="http://schemas.microsoft.com/office/drawing/2014/main" id="{D84729F2-4314-2E30-0BA2-E8F9151DB299}"/>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48" name="Text Box 28" hidden="1">
          <a:extLst>
            <a:ext uri="{FF2B5EF4-FFF2-40B4-BE49-F238E27FC236}">
              <a16:creationId xmlns:a16="http://schemas.microsoft.com/office/drawing/2014/main" id="{4F14A262-77DD-8854-1672-846D6A6F7441}"/>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74" name="Text Box 54" hidden="1">
          <a:extLst>
            <a:ext uri="{FF2B5EF4-FFF2-40B4-BE49-F238E27FC236}">
              <a16:creationId xmlns:a16="http://schemas.microsoft.com/office/drawing/2014/main" id="{3185FB7D-EA9D-22C9-6C25-707F71B0577E}"/>
            </a:ext>
          </a:extLst>
        </xdr:cNvPr>
        <xdr:cNvSpPr txBox="1">
          <a:spLocks noChangeArrowheads="1"/>
        </xdr:cNvSpPr>
      </xdr:nvSpPr>
      <xdr:spPr bwMode="auto">
        <a:xfrm>
          <a:off x="1196340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73" name="Text Box 53" hidden="1">
          <a:extLst>
            <a:ext uri="{FF2B5EF4-FFF2-40B4-BE49-F238E27FC236}">
              <a16:creationId xmlns:a16="http://schemas.microsoft.com/office/drawing/2014/main" id="{D6AA876B-316F-84BF-69AE-C2335C1AC3D7}"/>
            </a:ext>
          </a:extLst>
        </xdr:cNvPr>
        <xdr:cNvSpPr txBox="1">
          <a:spLocks noChangeArrowheads="1"/>
        </xdr:cNvSpPr>
      </xdr:nvSpPr>
      <xdr:spPr bwMode="auto">
        <a:xfrm>
          <a:off x="1290320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72" name="Text Box 52" hidden="1">
          <a:extLst>
            <a:ext uri="{FF2B5EF4-FFF2-40B4-BE49-F238E27FC236}">
              <a16:creationId xmlns:a16="http://schemas.microsoft.com/office/drawing/2014/main" id="{71691FBB-1FF0-AE9C-882A-C36572149478}"/>
            </a:ext>
          </a:extLst>
        </xdr:cNvPr>
        <xdr:cNvSpPr txBox="1">
          <a:spLocks noChangeArrowheads="1"/>
        </xdr:cNvSpPr>
      </xdr:nvSpPr>
      <xdr:spPr bwMode="auto">
        <a:xfrm>
          <a:off x="1294130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71" name="Text Box 51" hidden="1">
          <a:extLst>
            <a:ext uri="{FF2B5EF4-FFF2-40B4-BE49-F238E27FC236}">
              <a16:creationId xmlns:a16="http://schemas.microsoft.com/office/drawing/2014/main" id="{3138BE5E-C159-63B4-65D1-B2714F56F409}"/>
            </a:ext>
          </a:extLst>
        </xdr:cNvPr>
        <xdr:cNvSpPr txBox="1">
          <a:spLocks noChangeArrowheads="1"/>
        </xdr:cNvSpPr>
      </xdr:nvSpPr>
      <xdr:spPr bwMode="auto">
        <a:xfrm>
          <a:off x="1339215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0" name="Text Box 50" hidden="1">
          <a:extLst>
            <a:ext uri="{FF2B5EF4-FFF2-40B4-BE49-F238E27FC236}">
              <a16:creationId xmlns:a16="http://schemas.microsoft.com/office/drawing/2014/main" id="{A09ADA6D-2ACC-F909-B8C4-4F3A9C369AB0}"/>
            </a:ext>
          </a:extLst>
        </xdr:cNvPr>
        <xdr:cNvSpPr txBox="1">
          <a:spLocks noChangeArrowheads="1"/>
        </xdr:cNvSpPr>
      </xdr:nvSpPr>
      <xdr:spPr bwMode="auto">
        <a:xfrm>
          <a:off x="1286510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9" name="Text Box 49" hidden="1">
          <a:extLst>
            <a:ext uri="{FF2B5EF4-FFF2-40B4-BE49-F238E27FC236}">
              <a16:creationId xmlns:a16="http://schemas.microsoft.com/office/drawing/2014/main" id="{F2C199C3-08AD-E2BE-EBCD-0E8D43A058E9}"/>
            </a:ext>
          </a:extLst>
        </xdr:cNvPr>
        <xdr:cNvSpPr txBox="1">
          <a:spLocks noChangeArrowheads="1"/>
        </xdr:cNvSpPr>
      </xdr:nvSpPr>
      <xdr:spPr bwMode="auto">
        <a:xfrm>
          <a:off x="471805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68" name="Text Box 48" hidden="1">
          <a:extLst>
            <a:ext uri="{FF2B5EF4-FFF2-40B4-BE49-F238E27FC236}">
              <a16:creationId xmlns:a16="http://schemas.microsoft.com/office/drawing/2014/main" id="{D1077E9B-3971-1373-03A4-28B219DC713E}"/>
            </a:ext>
          </a:extLst>
        </xdr:cNvPr>
        <xdr:cNvSpPr txBox="1">
          <a:spLocks noChangeArrowheads="1"/>
        </xdr:cNvSpPr>
      </xdr:nvSpPr>
      <xdr:spPr bwMode="auto">
        <a:xfrm>
          <a:off x="1425575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67" name="Text Box 47" hidden="1">
          <a:extLst>
            <a:ext uri="{FF2B5EF4-FFF2-40B4-BE49-F238E27FC236}">
              <a16:creationId xmlns:a16="http://schemas.microsoft.com/office/drawing/2014/main" id="{4CF2B907-7C8C-30C8-CAB7-53B5FC548D8A}"/>
            </a:ext>
          </a:extLst>
        </xdr:cNvPr>
        <xdr:cNvSpPr txBox="1">
          <a:spLocks noChangeArrowheads="1"/>
        </xdr:cNvSpPr>
      </xdr:nvSpPr>
      <xdr:spPr bwMode="auto">
        <a:xfrm>
          <a:off x="1468755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66" name="Text Box 46" hidden="1">
          <a:extLst>
            <a:ext uri="{FF2B5EF4-FFF2-40B4-BE49-F238E27FC236}">
              <a16:creationId xmlns:a16="http://schemas.microsoft.com/office/drawing/2014/main" id="{F56A4C10-3ADD-8E75-24FA-0789A8CD9138}"/>
            </a:ext>
          </a:extLst>
        </xdr:cNvPr>
        <xdr:cNvSpPr txBox="1">
          <a:spLocks noChangeArrowheads="1"/>
        </xdr:cNvSpPr>
      </xdr:nvSpPr>
      <xdr:spPr bwMode="auto">
        <a:xfrm>
          <a:off x="2210435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65" name="Text Box 45" hidden="1">
          <a:extLst>
            <a:ext uri="{FF2B5EF4-FFF2-40B4-BE49-F238E27FC236}">
              <a16:creationId xmlns:a16="http://schemas.microsoft.com/office/drawing/2014/main" id="{82CDF4A8-287A-3E87-53CE-8C885FE7F5E0}"/>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64" name="Text Box 44" hidden="1">
          <a:extLst>
            <a:ext uri="{FF2B5EF4-FFF2-40B4-BE49-F238E27FC236}">
              <a16:creationId xmlns:a16="http://schemas.microsoft.com/office/drawing/2014/main" id="{6AF1E885-4B82-252A-A9EE-2E12BE0B964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63" name="Text Box 43" hidden="1">
          <a:extLst>
            <a:ext uri="{FF2B5EF4-FFF2-40B4-BE49-F238E27FC236}">
              <a16:creationId xmlns:a16="http://schemas.microsoft.com/office/drawing/2014/main" id="{EDCB1C5A-2C0B-2E47-2212-8235E822F17C}"/>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62" name="Text Box 42" hidden="1">
          <a:extLst>
            <a:ext uri="{FF2B5EF4-FFF2-40B4-BE49-F238E27FC236}">
              <a16:creationId xmlns:a16="http://schemas.microsoft.com/office/drawing/2014/main" id="{7A9EEDB2-0D2B-6186-55B1-9F6CA242900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61" name="Text Box 41" hidden="1">
          <a:extLst>
            <a:ext uri="{FF2B5EF4-FFF2-40B4-BE49-F238E27FC236}">
              <a16:creationId xmlns:a16="http://schemas.microsoft.com/office/drawing/2014/main" id="{0B9927AC-AC09-4836-273F-7D608D7F3D4F}"/>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0" name="Text Box 40" hidden="1">
          <a:extLst>
            <a:ext uri="{FF2B5EF4-FFF2-40B4-BE49-F238E27FC236}">
              <a16:creationId xmlns:a16="http://schemas.microsoft.com/office/drawing/2014/main" id="{CAF60352-DF7E-7F99-DB78-AB549F142FF9}"/>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9" name="Text Box 39" hidden="1">
          <a:extLst>
            <a:ext uri="{FF2B5EF4-FFF2-40B4-BE49-F238E27FC236}">
              <a16:creationId xmlns:a16="http://schemas.microsoft.com/office/drawing/2014/main" id="{E08924D7-14C2-7832-5093-A29C4387CBDE}"/>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58" name="Text Box 38" hidden="1">
          <a:extLst>
            <a:ext uri="{FF2B5EF4-FFF2-40B4-BE49-F238E27FC236}">
              <a16:creationId xmlns:a16="http://schemas.microsoft.com/office/drawing/2014/main" id="{892FE57E-7411-08D3-0466-BB2CF5DB6C6F}"/>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57" name="Text Box 37" hidden="1">
          <a:extLst>
            <a:ext uri="{FF2B5EF4-FFF2-40B4-BE49-F238E27FC236}">
              <a16:creationId xmlns:a16="http://schemas.microsoft.com/office/drawing/2014/main" id="{21BA8794-96B9-D8F5-9D69-9A0802A0694E}"/>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83" name="Text Box 63" hidden="1">
          <a:extLst>
            <a:ext uri="{FF2B5EF4-FFF2-40B4-BE49-F238E27FC236}">
              <a16:creationId xmlns:a16="http://schemas.microsoft.com/office/drawing/2014/main" id="{046FDBF1-5BCB-71D0-3971-D2E09C44DA0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82" name="Text Box 62" hidden="1">
          <a:extLst>
            <a:ext uri="{FF2B5EF4-FFF2-40B4-BE49-F238E27FC236}">
              <a16:creationId xmlns:a16="http://schemas.microsoft.com/office/drawing/2014/main" id="{6DA3DBC1-7AE9-BCB2-9BCD-E80637401972}"/>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81" name="Text Box 61" hidden="1">
          <a:extLst>
            <a:ext uri="{FF2B5EF4-FFF2-40B4-BE49-F238E27FC236}">
              <a16:creationId xmlns:a16="http://schemas.microsoft.com/office/drawing/2014/main" id="{BE86C220-1AE5-77B6-8D8E-5CEA18C8792F}"/>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0" name="Text Box 60" hidden="1">
          <a:extLst>
            <a:ext uri="{FF2B5EF4-FFF2-40B4-BE49-F238E27FC236}">
              <a16:creationId xmlns:a16="http://schemas.microsoft.com/office/drawing/2014/main" id="{391FC4A3-1641-234B-1DAA-4226972FC638}"/>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9" name="Text Box 59" hidden="1">
          <a:extLst>
            <a:ext uri="{FF2B5EF4-FFF2-40B4-BE49-F238E27FC236}">
              <a16:creationId xmlns:a16="http://schemas.microsoft.com/office/drawing/2014/main" id="{10F98815-EC36-F6BD-43AD-ACC02A7A3C01}"/>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78" name="Text Box 58" hidden="1">
          <a:extLst>
            <a:ext uri="{FF2B5EF4-FFF2-40B4-BE49-F238E27FC236}">
              <a16:creationId xmlns:a16="http://schemas.microsoft.com/office/drawing/2014/main" id="{07540D7A-EEBF-3C23-69D1-D7E1890060F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77" name="Text Box 57" hidden="1">
          <a:extLst>
            <a:ext uri="{FF2B5EF4-FFF2-40B4-BE49-F238E27FC236}">
              <a16:creationId xmlns:a16="http://schemas.microsoft.com/office/drawing/2014/main" id="{4C4703DF-3441-ED79-22A2-09987B20557F}"/>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76" name="Text Box 56" hidden="1">
          <a:extLst>
            <a:ext uri="{FF2B5EF4-FFF2-40B4-BE49-F238E27FC236}">
              <a16:creationId xmlns:a16="http://schemas.microsoft.com/office/drawing/2014/main" id="{5C09323C-F70C-1294-9D44-2824844EE87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75" name="Text Box 55" hidden="1">
          <a:extLst>
            <a:ext uri="{FF2B5EF4-FFF2-40B4-BE49-F238E27FC236}">
              <a16:creationId xmlns:a16="http://schemas.microsoft.com/office/drawing/2014/main" id="{566161AE-21C0-5727-CC0F-6DDDE7D7E5EC}"/>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92" name="Text Box 72" hidden="1">
          <a:extLst>
            <a:ext uri="{FF2B5EF4-FFF2-40B4-BE49-F238E27FC236}">
              <a16:creationId xmlns:a16="http://schemas.microsoft.com/office/drawing/2014/main" id="{65AAC852-753A-EDD3-3E8F-D015CEF44D77}"/>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91" name="Text Box 71" hidden="1">
          <a:extLst>
            <a:ext uri="{FF2B5EF4-FFF2-40B4-BE49-F238E27FC236}">
              <a16:creationId xmlns:a16="http://schemas.microsoft.com/office/drawing/2014/main" id="{AA8DE83B-2390-BC80-EA72-38D7B0139BA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0" name="Text Box 70" hidden="1">
          <a:extLst>
            <a:ext uri="{FF2B5EF4-FFF2-40B4-BE49-F238E27FC236}">
              <a16:creationId xmlns:a16="http://schemas.microsoft.com/office/drawing/2014/main" id="{1CB50C3A-4488-042B-9C76-5313D45F01F7}"/>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9" name="Text Box 69" hidden="1">
          <a:extLst>
            <a:ext uri="{FF2B5EF4-FFF2-40B4-BE49-F238E27FC236}">
              <a16:creationId xmlns:a16="http://schemas.microsoft.com/office/drawing/2014/main" id="{F3B305A7-0A2B-B784-37FD-2191C98DAEFE}"/>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88" name="Text Box 68" hidden="1">
          <a:extLst>
            <a:ext uri="{FF2B5EF4-FFF2-40B4-BE49-F238E27FC236}">
              <a16:creationId xmlns:a16="http://schemas.microsoft.com/office/drawing/2014/main" id="{9F46FDCD-B312-FF51-7E38-40A944D5F412}"/>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87" name="Text Box 67" hidden="1">
          <a:extLst>
            <a:ext uri="{FF2B5EF4-FFF2-40B4-BE49-F238E27FC236}">
              <a16:creationId xmlns:a16="http://schemas.microsoft.com/office/drawing/2014/main" id="{82FC5D34-1A06-9AB5-1A8A-CC05D30B2EC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86" name="Text Box 66" hidden="1">
          <a:extLst>
            <a:ext uri="{FF2B5EF4-FFF2-40B4-BE49-F238E27FC236}">
              <a16:creationId xmlns:a16="http://schemas.microsoft.com/office/drawing/2014/main" id="{59BA9331-81EA-96CB-F2BA-BC32B495EC02}"/>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85" name="Text Box 65" hidden="1">
          <a:extLst>
            <a:ext uri="{FF2B5EF4-FFF2-40B4-BE49-F238E27FC236}">
              <a16:creationId xmlns:a16="http://schemas.microsoft.com/office/drawing/2014/main" id="{4BFC3147-E8EC-DD4C-60D4-8DE8852C66F1}"/>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84" name="Text Box 64" hidden="1">
          <a:extLst>
            <a:ext uri="{FF2B5EF4-FFF2-40B4-BE49-F238E27FC236}">
              <a16:creationId xmlns:a16="http://schemas.microsoft.com/office/drawing/2014/main" id="{DD9CD280-72FD-F14D-EFBE-92AE00FE5DF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01" name="Text Box 81" hidden="1">
          <a:extLst>
            <a:ext uri="{FF2B5EF4-FFF2-40B4-BE49-F238E27FC236}">
              <a16:creationId xmlns:a16="http://schemas.microsoft.com/office/drawing/2014/main" id="{6F5F900E-C87F-3393-AA17-8CBBF41690D5}"/>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0" name="Text Box 80" hidden="1">
          <a:extLst>
            <a:ext uri="{FF2B5EF4-FFF2-40B4-BE49-F238E27FC236}">
              <a16:creationId xmlns:a16="http://schemas.microsoft.com/office/drawing/2014/main" id="{64821A6B-3327-D229-B435-FD21F6F57C09}"/>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9" name="Text Box 79" hidden="1">
          <a:extLst>
            <a:ext uri="{FF2B5EF4-FFF2-40B4-BE49-F238E27FC236}">
              <a16:creationId xmlns:a16="http://schemas.microsoft.com/office/drawing/2014/main" id="{27C08847-E6A5-E167-029C-DB161519C4E5}"/>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98" name="Text Box 78" hidden="1">
          <a:extLst>
            <a:ext uri="{FF2B5EF4-FFF2-40B4-BE49-F238E27FC236}">
              <a16:creationId xmlns:a16="http://schemas.microsoft.com/office/drawing/2014/main" id="{AEA7126C-F062-ED99-29FF-F33C9711C4F3}"/>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97" name="Text Box 77" hidden="1">
          <a:extLst>
            <a:ext uri="{FF2B5EF4-FFF2-40B4-BE49-F238E27FC236}">
              <a16:creationId xmlns:a16="http://schemas.microsoft.com/office/drawing/2014/main" id="{0E4B6660-4F27-AAC5-E50B-39DB5DBB2175}"/>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96" name="Text Box 76" hidden="1">
          <a:extLst>
            <a:ext uri="{FF2B5EF4-FFF2-40B4-BE49-F238E27FC236}">
              <a16:creationId xmlns:a16="http://schemas.microsoft.com/office/drawing/2014/main" id="{00C342F5-7E8B-867A-3E44-B548328E6487}"/>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95" name="Text Box 75" hidden="1">
          <a:extLst>
            <a:ext uri="{FF2B5EF4-FFF2-40B4-BE49-F238E27FC236}">
              <a16:creationId xmlns:a16="http://schemas.microsoft.com/office/drawing/2014/main" id="{66A31C70-97B3-F88F-5B75-D82CEA225CFA}"/>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94" name="Text Box 74" hidden="1">
          <a:extLst>
            <a:ext uri="{FF2B5EF4-FFF2-40B4-BE49-F238E27FC236}">
              <a16:creationId xmlns:a16="http://schemas.microsoft.com/office/drawing/2014/main" id="{E32A6F77-ACCE-10D6-3F83-03E4FFF66658}"/>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93" name="Text Box 73" hidden="1">
          <a:extLst>
            <a:ext uri="{FF2B5EF4-FFF2-40B4-BE49-F238E27FC236}">
              <a16:creationId xmlns:a16="http://schemas.microsoft.com/office/drawing/2014/main" id="{D4204FBF-685E-B805-1123-C7DDC4DA1156}"/>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1</xdr:col>
      <xdr:colOff>1746159</xdr:colOff>
      <xdr:row>21</xdr:row>
      <xdr:rowOff>67259</xdr:rowOff>
    </xdr:from>
    <xdr:to>
      <xdr:col>3</xdr:col>
      <xdr:colOff>488587</xdr:colOff>
      <xdr:row>25</xdr:row>
      <xdr:rowOff>7117</xdr:rowOff>
    </xdr:to>
    <xdr:sp macro="" textlink="">
      <xdr:nvSpPr>
        <xdr:cNvPr id="159745" name="Text Box 1" hidden="1">
          <a:extLst>
            <a:ext uri="{FF2B5EF4-FFF2-40B4-BE49-F238E27FC236}">
              <a16:creationId xmlns:a16="http://schemas.microsoft.com/office/drawing/2014/main" id="{BC54E1BE-977C-4357-BE8C-6D1DB59C9060}"/>
            </a:ext>
          </a:extLst>
        </xdr:cNvPr>
        <xdr:cNvSpPr txBox="1">
          <a:spLocks noChangeArrowheads="1"/>
        </xdr:cNvSpPr>
      </xdr:nvSpPr>
      <xdr:spPr bwMode="auto">
        <a:xfrm>
          <a:off x="2583180" y="4328160"/>
          <a:ext cx="1661160" cy="632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1746159</xdr:colOff>
      <xdr:row>21</xdr:row>
      <xdr:rowOff>67259</xdr:rowOff>
    </xdr:from>
    <xdr:to>
      <xdr:col>3</xdr:col>
      <xdr:colOff>488587</xdr:colOff>
      <xdr:row>25</xdr:row>
      <xdr:rowOff>7117</xdr:rowOff>
    </xdr:to>
    <xdr:sp macro="" textlink="">
      <xdr:nvSpPr>
        <xdr:cNvPr id="254977" name="Text Box 1" hidden="1">
          <a:extLst>
            <a:ext uri="{FF2B5EF4-FFF2-40B4-BE49-F238E27FC236}">
              <a16:creationId xmlns:a16="http://schemas.microsoft.com/office/drawing/2014/main" id="{6E659D6B-F68E-4A42-AB35-1798F1D83432}"/>
            </a:ext>
          </a:extLst>
        </xdr:cNvPr>
        <xdr:cNvSpPr txBox="1">
          <a:spLocks noChangeArrowheads="1"/>
        </xdr:cNvSpPr>
      </xdr:nvSpPr>
      <xdr:spPr bwMode="auto">
        <a:xfrm>
          <a:off x="2505075" y="4400550"/>
          <a:ext cx="1600200" cy="63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121787</xdr:rowOff>
    </xdr:to>
    <xdr:sp macro="" textlink="">
      <xdr:nvSpPr>
        <xdr:cNvPr id="254983" name="Text Box 7" hidden="1">
          <a:extLst>
            <a:ext uri="{FF2B5EF4-FFF2-40B4-BE49-F238E27FC236}">
              <a16:creationId xmlns:a16="http://schemas.microsoft.com/office/drawing/2014/main" id="{12B79786-25D3-41B0-B836-4BE41BE32A66}"/>
            </a:ext>
          </a:extLst>
        </xdr:cNvPr>
        <xdr:cNvSpPr txBox="1">
          <a:spLocks noChangeArrowheads="1"/>
        </xdr:cNvSpPr>
      </xdr:nvSpPr>
      <xdr:spPr bwMode="auto">
        <a:xfrm>
          <a:off x="3028950" y="4352925"/>
          <a:ext cx="1371600" cy="657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121787</xdr:rowOff>
    </xdr:to>
    <xdr:sp macro="" textlink="">
      <xdr:nvSpPr>
        <xdr:cNvPr id="254984" name="Text Box 8" hidden="1">
          <a:extLst>
            <a:ext uri="{FF2B5EF4-FFF2-40B4-BE49-F238E27FC236}">
              <a16:creationId xmlns:a16="http://schemas.microsoft.com/office/drawing/2014/main" id="{2EFA3C81-D9E8-43CC-BC32-A8A5BD689757}"/>
            </a:ext>
          </a:extLst>
        </xdr:cNvPr>
        <xdr:cNvSpPr txBox="1">
          <a:spLocks noChangeArrowheads="1"/>
        </xdr:cNvSpPr>
      </xdr:nvSpPr>
      <xdr:spPr bwMode="auto">
        <a:xfrm>
          <a:off x="3028950" y="4352925"/>
          <a:ext cx="137160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121787</xdr:rowOff>
    </xdr:to>
    <xdr:sp macro="" textlink="">
      <xdr:nvSpPr>
        <xdr:cNvPr id="254985" name="Text Box 9" hidden="1">
          <a:extLst>
            <a:ext uri="{FF2B5EF4-FFF2-40B4-BE49-F238E27FC236}">
              <a16:creationId xmlns:a16="http://schemas.microsoft.com/office/drawing/2014/main" id="{4C0B898D-7FD7-4662-B8AB-AA379418E244}"/>
            </a:ext>
          </a:extLst>
        </xdr:cNvPr>
        <xdr:cNvSpPr txBox="1">
          <a:spLocks noChangeArrowheads="1"/>
        </xdr:cNvSpPr>
      </xdr:nvSpPr>
      <xdr:spPr bwMode="auto">
        <a:xfrm>
          <a:off x="3116580" y="429006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2523</xdr:rowOff>
    </xdr:from>
    <xdr:to>
      <xdr:col>4</xdr:col>
      <xdr:colOff>0</xdr:colOff>
      <xdr:row>24</xdr:row>
      <xdr:rowOff>121787</xdr:rowOff>
    </xdr:to>
    <xdr:sp macro="" textlink="">
      <xdr:nvSpPr>
        <xdr:cNvPr id="254986" name="Text Box 10" hidden="1">
          <a:extLst>
            <a:ext uri="{FF2B5EF4-FFF2-40B4-BE49-F238E27FC236}">
              <a16:creationId xmlns:a16="http://schemas.microsoft.com/office/drawing/2014/main" id="{9AE26B22-D588-4457-95D8-D09286F22483}"/>
            </a:ext>
          </a:extLst>
        </xdr:cNvPr>
        <xdr:cNvSpPr txBox="1">
          <a:spLocks noChangeArrowheads="1"/>
        </xdr:cNvSpPr>
      </xdr:nvSpPr>
      <xdr:spPr bwMode="auto">
        <a:xfrm>
          <a:off x="3116580" y="428244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161618</xdr:rowOff>
    </xdr:from>
    <xdr:to>
      <xdr:col>4</xdr:col>
      <xdr:colOff>0</xdr:colOff>
      <xdr:row>24</xdr:row>
      <xdr:rowOff>121787</xdr:rowOff>
    </xdr:to>
    <xdr:sp macro="" textlink="">
      <xdr:nvSpPr>
        <xdr:cNvPr id="254987" name="Text Box 11" hidden="1">
          <a:extLst>
            <a:ext uri="{FF2B5EF4-FFF2-40B4-BE49-F238E27FC236}">
              <a16:creationId xmlns:a16="http://schemas.microsoft.com/office/drawing/2014/main" id="{D06A8E9F-DD2B-4A89-8116-0F75F9FBCAB7}"/>
            </a:ext>
          </a:extLst>
        </xdr:cNvPr>
        <xdr:cNvSpPr txBox="1">
          <a:spLocks noChangeArrowheads="1"/>
        </xdr:cNvSpPr>
      </xdr:nvSpPr>
      <xdr:spPr bwMode="auto">
        <a:xfrm>
          <a:off x="3028950" y="4333875"/>
          <a:ext cx="137160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88" name="Text Box 12" hidden="1">
          <a:extLst>
            <a:ext uri="{FF2B5EF4-FFF2-40B4-BE49-F238E27FC236}">
              <a16:creationId xmlns:a16="http://schemas.microsoft.com/office/drawing/2014/main" id="{1D62F115-3133-44C6-AF58-5F0199EA47B2}"/>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89" name="Text Box 13" hidden="1">
          <a:extLst>
            <a:ext uri="{FF2B5EF4-FFF2-40B4-BE49-F238E27FC236}">
              <a16:creationId xmlns:a16="http://schemas.microsoft.com/office/drawing/2014/main" id="{64F53FB9-29E6-4F60-B163-17AA0D932941}"/>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0" name="Text Box 14" hidden="1">
          <a:extLst>
            <a:ext uri="{FF2B5EF4-FFF2-40B4-BE49-F238E27FC236}">
              <a16:creationId xmlns:a16="http://schemas.microsoft.com/office/drawing/2014/main" id="{77EF7484-A443-4978-B67F-7FD01FE1B7FE}"/>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1" name="Text Box 15" hidden="1">
          <a:extLst>
            <a:ext uri="{FF2B5EF4-FFF2-40B4-BE49-F238E27FC236}">
              <a16:creationId xmlns:a16="http://schemas.microsoft.com/office/drawing/2014/main" id="{37396FA4-03EC-48AB-9E6E-5CE4048A7BC0}"/>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2" name="Text Box 16" hidden="1">
          <a:extLst>
            <a:ext uri="{FF2B5EF4-FFF2-40B4-BE49-F238E27FC236}">
              <a16:creationId xmlns:a16="http://schemas.microsoft.com/office/drawing/2014/main" id="{0116FCBA-0697-45F4-9858-99156A110324}"/>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3" name="Text Box 17" hidden="1">
          <a:extLst>
            <a:ext uri="{FF2B5EF4-FFF2-40B4-BE49-F238E27FC236}">
              <a16:creationId xmlns:a16="http://schemas.microsoft.com/office/drawing/2014/main" id="{FB801DF9-907F-4280-ACC3-28BBE3B78A24}"/>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4" name="Text Box 18" hidden="1">
          <a:extLst>
            <a:ext uri="{FF2B5EF4-FFF2-40B4-BE49-F238E27FC236}">
              <a16:creationId xmlns:a16="http://schemas.microsoft.com/office/drawing/2014/main" id="{959FF662-5399-45FE-9CF6-C62B329FB196}"/>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111305</xdr:rowOff>
    </xdr:from>
    <xdr:to>
      <xdr:col>4</xdr:col>
      <xdr:colOff>0</xdr:colOff>
      <xdr:row>39</xdr:row>
      <xdr:rowOff>178859</xdr:rowOff>
    </xdr:to>
    <xdr:sp macro="" textlink="">
      <xdr:nvSpPr>
        <xdr:cNvPr id="254995" name="Text Box 19" hidden="1">
          <a:extLst>
            <a:ext uri="{FF2B5EF4-FFF2-40B4-BE49-F238E27FC236}">
              <a16:creationId xmlns:a16="http://schemas.microsoft.com/office/drawing/2014/main" id="{3576AA5F-EA4E-4643-97E0-779CC4C397AD}"/>
            </a:ext>
          </a:extLst>
        </xdr:cNvPr>
        <xdr:cNvSpPr txBox="1">
          <a:spLocks noChangeArrowheads="1"/>
        </xdr:cNvSpPr>
      </xdr:nvSpPr>
      <xdr:spPr bwMode="auto">
        <a:xfrm>
          <a:off x="3028950" y="7077075"/>
          <a:ext cx="1371600" cy="1438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111305</xdr:rowOff>
    </xdr:from>
    <xdr:to>
      <xdr:col>4</xdr:col>
      <xdr:colOff>0</xdr:colOff>
      <xdr:row>39</xdr:row>
      <xdr:rowOff>178859</xdr:rowOff>
    </xdr:to>
    <xdr:sp macro="" textlink="">
      <xdr:nvSpPr>
        <xdr:cNvPr id="254996" name="Text Box 20" hidden="1">
          <a:extLst>
            <a:ext uri="{FF2B5EF4-FFF2-40B4-BE49-F238E27FC236}">
              <a16:creationId xmlns:a16="http://schemas.microsoft.com/office/drawing/2014/main" id="{5E0C705F-1F71-409E-8333-D9539325E5E4}"/>
            </a:ext>
          </a:extLst>
        </xdr:cNvPr>
        <xdr:cNvSpPr txBox="1">
          <a:spLocks noChangeArrowheads="1"/>
        </xdr:cNvSpPr>
      </xdr:nvSpPr>
      <xdr:spPr bwMode="auto">
        <a:xfrm>
          <a:off x="3130550" y="7099300"/>
          <a:ext cx="13716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144962</xdr:rowOff>
    </xdr:to>
    <xdr:sp macro="" textlink="">
      <xdr:nvSpPr>
        <xdr:cNvPr id="254997" name="Text Box 21" hidden="1">
          <a:extLst>
            <a:ext uri="{FF2B5EF4-FFF2-40B4-BE49-F238E27FC236}">
              <a16:creationId xmlns:a16="http://schemas.microsoft.com/office/drawing/2014/main" id="{8EEA13B3-0E0F-4912-A2A1-A987DFDFD63D}"/>
            </a:ext>
          </a:extLst>
        </xdr:cNvPr>
        <xdr:cNvSpPr txBox="1">
          <a:spLocks noChangeArrowheads="1"/>
        </xdr:cNvSpPr>
      </xdr:nvSpPr>
      <xdr:spPr bwMode="auto">
        <a:xfrm>
          <a:off x="3130550" y="6229350"/>
          <a:ext cx="1371600" cy="143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4998" name="Text Box 22" hidden="1">
          <a:extLst>
            <a:ext uri="{FF2B5EF4-FFF2-40B4-BE49-F238E27FC236}">
              <a16:creationId xmlns:a16="http://schemas.microsoft.com/office/drawing/2014/main" id="{BD3B9FD5-B9A1-49B0-A619-308F092A3E5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4999" name="Text Box 23" hidden="1">
          <a:extLst>
            <a:ext uri="{FF2B5EF4-FFF2-40B4-BE49-F238E27FC236}">
              <a16:creationId xmlns:a16="http://schemas.microsoft.com/office/drawing/2014/main" id="{C638D3B4-3F3D-4C40-A1CB-9F43E24A0B6A}"/>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0" name="Text Box 24" hidden="1">
          <a:extLst>
            <a:ext uri="{FF2B5EF4-FFF2-40B4-BE49-F238E27FC236}">
              <a16:creationId xmlns:a16="http://schemas.microsoft.com/office/drawing/2014/main" id="{A7AA7EB7-DA35-475E-AC06-E9BBDE52E202}"/>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3" name="Text Box 27" hidden="1">
          <a:extLst>
            <a:ext uri="{FF2B5EF4-FFF2-40B4-BE49-F238E27FC236}">
              <a16:creationId xmlns:a16="http://schemas.microsoft.com/office/drawing/2014/main" id="{D6DE205F-8B29-41B0-B341-096D1181ED5D}"/>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2" name="Text Box 26" hidden="1">
          <a:extLst>
            <a:ext uri="{FF2B5EF4-FFF2-40B4-BE49-F238E27FC236}">
              <a16:creationId xmlns:a16="http://schemas.microsoft.com/office/drawing/2014/main" id="{CDE98A1E-ACF1-4638-A8B9-072AD64442F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1" name="Text Box 25" hidden="1">
          <a:extLst>
            <a:ext uri="{FF2B5EF4-FFF2-40B4-BE49-F238E27FC236}">
              <a16:creationId xmlns:a16="http://schemas.microsoft.com/office/drawing/2014/main" id="{836FFB0E-5233-4646-BBA0-4598AC4C6AD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6" name="Text Box 30" hidden="1">
          <a:extLst>
            <a:ext uri="{FF2B5EF4-FFF2-40B4-BE49-F238E27FC236}">
              <a16:creationId xmlns:a16="http://schemas.microsoft.com/office/drawing/2014/main" id="{F736C49D-52AE-4347-B120-79B2A5A17E5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5" name="Text Box 29" hidden="1">
          <a:extLst>
            <a:ext uri="{FF2B5EF4-FFF2-40B4-BE49-F238E27FC236}">
              <a16:creationId xmlns:a16="http://schemas.microsoft.com/office/drawing/2014/main" id="{7E25F268-8D34-4975-8DF5-C1714606D17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4" name="Text Box 28" hidden="1">
          <a:extLst>
            <a:ext uri="{FF2B5EF4-FFF2-40B4-BE49-F238E27FC236}">
              <a16:creationId xmlns:a16="http://schemas.microsoft.com/office/drawing/2014/main" id="{15FF75B6-1A5A-4ED4-9DF8-7C05A3CE9701}"/>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7" name="Text Box 31" hidden="1">
          <a:extLst>
            <a:ext uri="{FF2B5EF4-FFF2-40B4-BE49-F238E27FC236}">
              <a16:creationId xmlns:a16="http://schemas.microsoft.com/office/drawing/2014/main" id="{4BC83042-89D7-4585-A8F1-BF72E1DB0326}"/>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8" name="Text Box 32" hidden="1">
          <a:extLst>
            <a:ext uri="{FF2B5EF4-FFF2-40B4-BE49-F238E27FC236}">
              <a16:creationId xmlns:a16="http://schemas.microsoft.com/office/drawing/2014/main" id="{6157CAE3-C247-46D4-BC7A-FF01A72C9EAD}"/>
            </a:ext>
          </a:extLst>
        </xdr:cNvPr>
        <xdr:cNvSpPr txBox="1">
          <a:spLocks noChangeArrowheads="1"/>
        </xdr:cNvSpPr>
      </xdr:nvSpPr>
      <xdr:spPr bwMode="auto">
        <a:xfrm>
          <a:off x="311658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9" name="Text Box 33" hidden="1">
          <a:extLst>
            <a:ext uri="{FF2B5EF4-FFF2-40B4-BE49-F238E27FC236}">
              <a16:creationId xmlns:a16="http://schemas.microsoft.com/office/drawing/2014/main" id="{81D44EF4-4AE9-4976-891A-8530E38A9FAA}"/>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10" name="Text Box 34" hidden="1">
          <a:extLst>
            <a:ext uri="{FF2B5EF4-FFF2-40B4-BE49-F238E27FC236}">
              <a16:creationId xmlns:a16="http://schemas.microsoft.com/office/drawing/2014/main" id="{16912E82-7D9F-4F03-894F-2D060BEB030C}"/>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11" name="Text Box 35" hidden="1">
          <a:extLst>
            <a:ext uri="{FF2B5EF4-FFF2-40B4-BE49-F238E27FC236}">
              <a16:creationId xmlns:a16="http://schemas.microsoft.com/office/drawing/2014/main" id="{73B3882F-B4AC-4184-A1CA-789FE50C7A7B}"/>
            </a:ext>
          </a:extLst>
        </xdr:cNvPr>
        <xdr:cNvSpPr txBox="1">
          <a:spLocks noChangeArrowheads="1"/>
        </xdr:cNvSpPr>
      </xdr:nvSpPr>
      <xdr:spPr bwMode="auto">
        <a:xfrm>
          <a:off x="3038475"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83468</xdr:rowOff>
    </xdr:to>
    <xdr:sp macro="" textlink="">
      <xdr:nvSpPr>
        <xdr:cNvPr id="255012" name="Text Box 36" hidden="1">
          <a:extLst>
            <a:ext uri="{FF2B5EF4-FFF2-40B4-BE49-F238E27FC236}">
              <a16:creationId xmlns:a16="http://schemas.microsoft.com/office/drawing/2014/main" id="{EE97BB65-50BB-493B-AD63-DED731F83399}"/>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55013" name="Text Box 37" hidden="1">
          <a:extLst>
            <a:ext uri="{FF2B5EF4-FFF2-40B4-BE49-F238E27FC236}">
              <a16:creationId xmlns:a16="http://schemas.microsoft.com/office/drawing/2014/main" id="{CE833010-E69E-4B80-B461-4A01B33351E1}"/>
            </a:ext>
          </a:extLst>
        </xdr:cNvPr>
        <xdr:cNvSpPr txBox="1">
          <a:spLocks noChangeArrowheads="1"/>
        </xdr:cNvSpPr>
      </xdr:nvSpPr>
      <xdr:spPr bwMode="auto">
        <a:xfrm>
          <a:off x="15316200" y="372427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21004</xdr:rowOff>
    </xdr:from>
    <xdr:to>
      <xdr:col>3</xdr:col>
      <xdr:colOff>609600</xdr:colOff>
      <xdr:row>30</xdr:row>
      <xdr:rowOff>26771</xdr:rowOff>
    </xdr:to>
    <xdr:sp macro="" textlink="">
      <xdr:nvSpPr>
        <xdr:cNvPr id="255014" name="Text Box 38" hidden="1">
          <a:extLst>
            <a:ext uri="{FF2B5EF4-FFF2-40B4-BE49-F238E27FC236}">
              <a16:creationId xmlns:a16="http://schemas.microsoft.com/office/drawing/2014/main" id="{EF6913EB-1B76-4A39-B8B6-F3106D8CE9D4}"/>
            </a:ext>
          </a:extLst>
        </xdr:cNvPr>
        <xdr:cNvSpPr txBox="1">
          <a:spLocks noChangeArrowheads="1"/>
        </xdr:cNvSpPr>
      </xdr:nvSpPr>
      <xdr:spPr bwMode="auto">
        <a:xfrm>
          <a:off x="2981325" y="5505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84527</xdr:rowOff>
    </xdr:to>
    <xdr:sp macro="" textlink="">
      <xdr:nvSpPr>
        <xdr:cNvPr id="296963" name="Text Box 3" hidden="1">
          <a:extLst>
            <a:ext uri="{FF2B5EF4-FFF2-40B4-BE49-F238E27FC236}">
              <a16:creationId xmlns:a16="http://schemas.microsoft.com/office/drawing/2014/main" id="{40E621B9-3D9B-46C4-AE53-A62478D34A03}"/>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2" name="Text Box 2" hidden="1">
          <a:extLst>
            <a:ext uri="{FF2B5EF4-FFF2-40B4-BE49-F238E27FC236}">
              <a16:creationId xmlns:a16="http://schemas.microsoft.com/office/drawing/2014/main" id="{0B30606B-8BCD-42C9-8C02-6446EC1E8491}"/>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84527</xdr:rowOff>
    </xdr:to>
    <xdr:sp macro="" textlink="">
      <xdr:nvSpPr>
        <xdr:cNvPr id="296965" name="Text Box 5" hidden="1">
          <a:extLst>
            <a:ext uri="{FF2B5EF4-FFF2-40B4-BE49-F238E27FC236}">
              <a16:creationId xmlns:a16="http://schemas.microsoft.com/office/drawing/2014/main" id="{D47DCC58-9544-47E8-9F14-0D67DC12DD52}"/>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4" name="Text Box 4" hidden="1">
          <a:extLst>
            <a:ext uri="{FF2B5EF4-FFF2-40B4-BE49-F238E27FC236}">
              <a16:creationId xmlns:a16="http://schemas.microsoft.com/office/drawing/2014/main" id="{4780371A-8DDD-4ECB-AEC0-E8D553BCA747}"/>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84527</xdr:rowOff>
    </xdr:to>
    <xdr:sp macro="" textlink="">
      <xdr:nvSpPr>
        <xdr:cNvPr id="296967" name="Text Box 7" hidden="1">
          <a:extLst>
            <a:ext uri="{FF2B5EF4-FFF2-40B4-BE49-F238E27FC236}">
              <a16:creationId xmlns:a16="http://schemas.microsoft.com/office/drawing/2014/main" id="{8E133E73-CEEF-4223-994C-4DB9C8A32C5B}"/>
            </a:ext>
          </a:extLst>
        </xdr:cNvPr>
        <xdr:cNvSpPr txBox="1">
          <a:spLocks noChangeArrowheads="1"/>
        </xdr:cNvSpPr>
      </xdr:nvSpPr>
      <xdr:spPr bwMode="auto">
        <a:xfrm>
          <a:off x="3136900" y="4648200"/>
          <a:ext cx="137160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6" name="Text Box 6" hidden="1">
          <a:extLst>
            <a:ext uri="{FF2B5EF4-FFF2-40B4-BE49-F238E27FC236}">
              <a16:creationId xmlns:a16="http://schemas.microsoft.com/office/drawing/2014/main" id="{557E48D0-5EB0-4178-8F3E-781C9618386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159472</xdr:rowOff>
    </xdr:from>
    <xdr:to>
      <xdr:col>4</xdr:col>
      <xdr:colOff>0</xdr:colOff>
      <xdr:row>29</xdr:row>
      <xdr:rowOff>64418</xdr:rowOff>
    </xdr:to>
    <xdr:sp macro="" textlink="">
      <xdr:nvSpPr>
        <xdr:cNvPr id="296969" name="Text Box 9" hidden="1">
          <a:extLst>
            <a:ext uri="{FF2B5EF4-FFF2-40B4-BE49-F238E27FC236}">
              <a16:creationId xmlns:a16="http://schemas.microsoft.com/office/drawing/2014/main" id="{9BD90012-4133-4DEE-B49C-97EF88B8380B}"/>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8" name="Text Box 8" hidden="1">
          <a:extLst>
            <a:ext uri="{FF2B5EF4-FFF2-40B4-BE49-F238E27FC236}">
              <a16:creationId xmlns:a16="http://schemas.microsoft.com/office/drawing/2014/main" id="{3DD94746-1C8F-40F9-B761-574509264355}"/>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313107</xdr:rowOff>
    </xdr:from>
    <xdr:to>
      <xdr:col>24</xdr:col>
      <xdr:colOff>161925</xdr:colOff>
      <xdr:row>23</xdr:row>
      <xdr:rowOff>160066</xdr:rowOff>
    </xdr:to>
    <xdr:sp macro="" textlink="">
      <xdr:nvSpPr>
        <xdr:cNvPr id="296973" name="Text Box 13" hidden="1">
          <a:extLst>
            <a:ext uri="{FF2B5EF4-FFF2-40B4-BE49-F238E27FC236}">
              <a16:creationId xmlns:a16="http://schemas.microsoft.com/office/drawing/2014/main" id="{74636BA2-EAE5-4B15-B56E-26D9869C62B9}"/>
            </a:ext>
          </a:extLst>
        </xdr:cNvPr>
        <xdr:cNvSpPr txBox="1">
          <a:spLocks noChangeArrowheads="1"/>
        </xdr:cNvSpPr>
      </xdr:nvSpPr>
      <xdr:spPr bwMode="auto">
        <a:xfrm>
          <a:off x="15894050" y="4032250"/>
          <a:ext cx="13589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164906</xdr:rowOff>
    </xdr:from>
    <xdr:to>
      <xdr:col>4</xdr:col>
      <xdr:colOff>0</xdr:colOff>
      <xdr:row>29</xdr:row>
      <xdr:rowOff>64418</xdr:rowOff>
    </xdr:to>
    <xdr:sp macro="" textlink="">
      <xdr:nvSpPr>
        <xdr:cNvPr id="296976" name="Text Box 16" hidden="1">
          <a:extLst>
            <a:ext uri="{FF2B5EF4-FFF2-40B4-BE49-F238E27FC236}">
              <a16:creationId xmlns:a16="http://schemas.microsoft.com/office/drawing/2014/main" id="{C9194B46-F472-48CF-ADC1-67AC5D58C44E}"/>
            </a:ext>
          </a:extLst>
        </xdr:cNvPr>
        <xdr:cNvSpPr txBox="1">
          <a:spLocks noChangeArrowheads="1"/>
        </xdr:cNvSpPr>
      </xdr:nvSpPr>
      <xdr:spPr bwMode="auto">
        <a:xfrm>
          <a:off x="3038475" y="4676775"/>
          <a:ext cx="1371600" cy="1400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75" name="Text Box 15" hidden="1">
          <a:extLst>
            <a:ext uri="{FF2B5EF4-FFF2-40B4-BE49-F238E27FC236}">
              <a16:creationId xmlns:a16="http://schemas.microsoft.com/office/drawing/2014/main" id="{5096604A-7A3E-4525-A326-C791B114BB74}"/>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313107</xdr:rowOff>
    </xdr:from>
    <xdr:to>
      <xdr:col>24</xdr:col>
      <xdr:colOff>161925</xdr:colOff>
      <xdr:row>23</xdr:row>
      <xdr:rowOff>160066</xdr:rowOff>
    </xdr:to>
    <xdr:sp macro="" textlink="">
      <xdr:nvSpPr>
        <xdr:cNvPr id="296974" name="Text Box 14" hidden="1">
          <a:extLst>
            <a:ext uri="{FF2B5EF4-FFF2-40B4-BE49-F238E27FC236}">
              <a16:creationId xmlns:a16="http://schemas.microsoft.com/office/drawing/2014/main" id="{E4879193-7B2D-4BAE-9077-6326B1BF4C98}"/>
            </a:ext>
          </a:extLst>
        </xdr:cNvPr>
        <xdr:cNvSpPr txBox="1">
          <a:spLocks noChangeArrowheads="1"/>
        </xdr:cNvSpPr>
      </xdr:nvSpPr>
      <xdr:spPr bwMode="auto">
        <a:xfrm>
          <a:off x="15316200" y="4067175"/>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19</xdr:row>
      <xdr:rowOff>344857</xdr:rowOff>
    </xdr:from>
    <xdr:to>
      <xdr:col>23</xdr:col>
      <xdr:colOff>142875</xdr:colOff>
      <xdr:row>23</xdr:row>
      <xdr:rowOff>160066</xdr:rowOff>
    </xdr:to>
    <xdr:sp macro="" textlink="">
      <xdr:nvSpPr>
        <xdr:cNvPr id="296977" name="Text Box 17" hidden="1">
          <a:extLst>
            <a:ext uri="{FF2B5EF4-FFF2-40B4-BE49-F238E27FC236}">
              <a16:creationId xmlns:a16="http://schemas.microsoft.com/office/drawing/2014/main" id="{649AC6CE-314D-4A66-A00B-D02D1F4C115F}"/>
            </a:ext>
          </a:extLst>
        </xdr:cNvPr>
        <xdr:cNvSpPr txBox="1">
          <a:spLocks noChangeArrowheads="1"/>
        </xdr:cNvSpPr>
      </xdr:nvSpPr>
      <xdr:spPr bwMode="auto">
        <a:xfrm>
          <a:off x="14725650" y="4086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38</xdr:row>
      <xdr:rowOff>67721</xdr:rowOff>
    </xdr:from>
    <xdr:to>
      <xdr:col>23</xdr:col>
      <xdr:colOff>142875</xdr:colOff>
      <xdr:row>41</xdr:row>
      <xdr:rowOff>295394</xdr:rowOff>
    </xdr:to>
    <xdr:sp macro="" textlink="">
      <xdr:nvSpPr>
        <xdr:cNvPr id="296978" name="Text Box 18" hidden="1">
          <a:extLst>
            <a:ext uri="{FF2B5EF4-FFF2-40B4-BE49-F238E27FC236}">
              <a16:creationId xmlns:a16="http://schemas.microsoft.com/office/drawing/2014/main" id="{8C2F162C-ABEA-4BC6-871B-E6D1CCB5CBA4}"/>
            </a:ext>
          </a:extLst>
        </xdr:cNvPr>
        <xdr:cNvSpPr txBox="1">
          <a:spLocks noChangeArrowheads="1"/>
        </xdr:cNvSpPr>
      </xdr:nvSpPr>
      <xdr:spPr bwMode="auto">
        <a:xfrm>
          <a:off x="14725650" y="8229600"/>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64418</xdr:rowOff>
    </xdr:to>
    <xdr:sp macro="" textlink="">
      <xdr:nvSpPr>
        <xdr:cNvPr id="309253" name="Text Box 5" hidden="1">
          <a:extLst>
            <a:ext uri="{FF2B5EF4-FFF2-40B4-BE49-F238E27FC236}">
              <a16:creationId xmlns:a16="http://schemas.microsoft.com/office/drawing/2014/main" id="{755C2774-EDFE-4E9C-A245-7E5CEB3F4420}"/>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52" name="Text Box 4" hidden="1">
          <a:extLst>
            <a:ext uri="{FF2B5EF4-FFF2-40B4-BE49-F238E27FC236}">
              <a16:creationId xmlns:a16="http://schemas.microsoft.com/office/drawing/2014/main" id="{6E2D48C2-DFEE-45EF-B2F2-C5D7A064A8B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4" name="Text Box 6" hidden="1">
          <a:extLst>
            <a:ext uri="{FF2B5EF4-FFF2-40B4-BE49-F238E27FC236}">
              <a16:creationId xmlns:a16="http://schemas.microsoft.com/office/drawing/2014/main" id="{38121E5C-06E5-4395-8B8C-F347C681C7EB}"/>
            </a:ext>
          </a:extLst>
        </xdr:cNvPr>
        <xdr:cNvSpPr txBox="1">
          <a:spLocks noChangeArrowheads="1"/>
        </xdr:cNvSpPr>
      </xdr:nvSpPr>
      <xdr:spPr bwMode="auto">
        <a:xfrm>
          <a:off x="15932150" y="4724400"/>
          <a:ext cx="12827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64418</xdr:rowOff>
    </xdr:to>
    <xdr:sp macro="" textlink="">
      <xdr:nvSpPr>
        <xdr:cNvPr id="309257" name="Text Box 9" hidden="1">
          <a:extLst>
            <a:ext uri="{FF2B5EF4-FFF2-40B4-BE49-F238E27FC236}">
              <a16:creationId xmlns:a16="http://schemas.microsoft.com/office/drawing/2014/main" id="{7C723656-3460-40E2-AC18-38D17E488E37}"/>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56" name="Text Box 8" hidden="1">
          <a:extLst>
            <a:ext uri="{FF2B5EF4-FFF2-40B4-BE49-F238E27FC236}">
              <a16:creationId xmlns:a16="http://schemas.microsoft.com/office/drawing/2014/main" id="{8A7BD8CF-1A8C-46DA-BBCE-490CB8819861}"/>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5" name="Text Box 7" hidden="1">
          <a:extLst>
            <a:ext uri="{FF2B5EF4-FFF2-40B4-BE49-F238E27FC236}">
              <a16:creationId xmlns:a16="http://schemas.microsoft.com/office/drawing/2014/main" id="{BEB29F7A-D791-4677-99A8-C35D0A6F399A}"/>
            </a:ext>
          </a:extLst>
        </xdr:cNvPr>
        <xdr:cNvSpPr txBox="1">
          <a:spLocks noChangeArrowheads="1"/>
        </xdr:cNvSpPr>
      </xdr:nvSpPr>
      <xdr:spPr bwMode="auto">
        <a:xfrm>
          <a:off x="15932150" y="4724400"/>
          <a:ext cx="12827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64418</xdr:rowOff>
    </xdr:to>
    <xdr:sp macro="" textlink="">
      <xdr:nvSpPr>
        <xdr:cNvPr id="309260" name="Text Box 12" hidden="1">
          <a:extLst>
            <a:ext uri="{FF2B5EF4-FFF2-40B4-BE49-F238E27FC236}">
              <a16:creationId xmlns:a16="http://schemas.microsoft.com/office/drawing/2014/main" id="{06C08D3B-0558-067C-C1B5-A38F41256F1F}"/>
            </a:ext>
          </a:extLst>
        </xdr:cNvPr>
        <xdr:cNvSpPr txBox="1">
          <a:spLocks noChangeArrowheads="1"/>
        </xdr:cNvSpPr>
      </xdr:nvSpPr>
      <xdr:spPr bwMode="auto">
        <a:xfrm>
          <a:off x="3136900" y="464185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59" name="Text Box 11" hidden="1">
          <a:extLst>
            <a:ext uri="{FF2B5EF4-FFF2-40B4-BE49-F238E27FC236}">
              <a16:creationId xmlns:a16="http://schemas.microsoft.com/office/drawing/2014/main" id="{42F23561-1300-E588-3D41-1EDBBB31B6EF}"/>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292100</xdr:colOff>
      <xdr:row>38</xdr:row>
      <xdr:rowOff>67721</xdr:rowOff>
    </xdr:to>
    <xdr:sp macro="" textlink="">
      <xdr:nvSpPr>
        <xdr:cNvPr id="309261" name="Text Box 13" hidden="1">
          <a:extLst>
            <a:ext uri="{FF2B5EF4-FFF2-40B4-BE49-F238E27FC236}">
              <a16:creationId xmlns:a16="http://schemas.microsoft.com/office/drawing/2014/main" id="{2838243C-76D4-A31C-2E89-0D6EBFDF9396}"/>
            </a:ext>
          </a:extLst>
        </xdr:cNvPr>
        <xdr:cNvSpPr txBox="1">
          <a:spLocks noChangeArrowheads="1"/>
        </xdr:cNvSpPr>
      </xdr:nvSpPr>
      <xdr:spPr bwMode="auto">
        <a:xfrm>
          <a:off x="15970250" y="7397750"/>
          <a:ext cx="14224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09264" name="Text Box 16" hidden="1">
          <a:extLst>
            <a:ext uri="{FF2B5EF4-FFF2-40B4-BE49-F238E27FC236}">
              <a16:creationId xmlns:a16="http://schemas.microsoft.com/office/drawing/2014/main" id="{165B4ABB-D881-3113-D8E0-9FAB01A349EF}"/>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63" name="Text Box 15" hidden="1">
          <a:extLst>
            <a:ext uri="{FF2B5EF4-FFF2-40B4-BE49-F238E27FC236}">
              <a16:creationId xmlns:a16="http://schemas.microsoft.com/office/drawing/2014/main" id="{20792653-3AF8-D57B-C0DE-4A09F9C608B3}"/>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09262" name="Text Box 14" hidden="1">
          <a:extLst>
            <a:ext uri="{FF2B5EF4-FFF2-40B4-BE49-F238E27FC236}">
              <a16:creationId xmlns:a16="http://schemas.microsoft.com/office/drawing/2014/main" id="{35A8EB0E-97B3-1513-0605-A7875557E056}"/>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09265" name="Text Box 17" hidden="1">
          <a:extLst>
            <a:ext uri="{FF2B5EF4-FFF2-40B4-BE49-F238E27FC236}">
              <a16:creationId xmlns:a16="http://schemas.microsoft.com/office/drawing/2014/main" id="{A60E1D04-4118-B882-DA80-E407CFE50C67}"/>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09266" name="Text Box 18" hidden="1">
          <a:extLst>
            <a:ext uri="{FF2B5EF4-FFF2-40B4-BE49-F238E27FC236}">
              <a16:creationId xmlns:a16="http://schemas.microsoft.com/office/drawing/2014/main" id="{AAA4F079-EF91-B8B0-47BF-24BA3B92BC25}"/>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698" name="Text Box 10" hidden="1">
          <a:extLst>
            <a:ext uri="{FF2B5EF4-FFF2-40B4-BE49-F238E27FC236}">
              <a16:creationId xmlns:a16="http://schemas.microsoft.com/office/drawing/2014/main" id="{856FE23B-3ADE-127F-879F-0996097CABC2}"/>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697" name="Text Box 9" hidden="1">
          <a:extLst>
            <a:ext uri="{FF2B5EF4-FFF2-40B4-BE49-F238E27FC236}">
              <a16:creationId xmlns:a16="http://schemas.microsoft.com/office/drawing/2014/main" id="{9DBF09AD-853B-2C77-C580-AE77F301D23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696" name="Text Box 8" hidden="1">
          <a:extLst>
            <a:ext uri="{FF2B5EF4-FFF2-40B4-BE49-F238E27FC236}">
              <a16:creationId xmlns:a16="http://schemas.microsoft.com/office/drawing/2014/main" id="{98DB02AB-897F-D97B-AABE-4527A9F593AF}"/>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695" name="Text Box 7" hidden="1">
          <a:extLst>
            <a:ext uri="{FF2B5EF4-FFF2-40B4-BE49-F238E27FC236}">
              <a16:creationId xmlns:a16="http://schemas.microsoft.com/office/drawing/2014/main" id="{89E83E91-B4C1-7AD3-DEBB-E55749FE4932}"/>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4" name="Text Box 6" hidden="1">
          <a:extLst>
            <a:ext uri="{FF2B5EF4-FFF2-40B4-BE49-F238E27FC236}">
              <a16:creationId xmlns:a16="http://schemas.microsoft.com/office/drawing/2014/main" id="{71BD4394-83B8-C08B-294E-A618453E2530}"/>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693" name="Text Box 5" hidden="1">
          <a:extLst>
            <a:ext uri="{FF2B5EF4-FFF2-40B4-BE49-F238E27FC236}">
              <a16:creationId xmlns:a16="http://schemas.microsoft.com/office/drawing/2014/main" id="{AFFD47E8-5AF9-1E65-06D0-69D2872B26C6}"/>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692" name="Text Box 4" hidden="1">
          <a:extLst>
            <a:ext uri="{FF2B5EF4-FFF2-40B4-BE49-F238E27FC236}">
              <a16:creationId xmlns:a16="http://schemas.microsoft.com/office/drawing/2014/main" id="{321DCF27-7753-48FE-23D9-40266A97F68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691" name="Text Box 3" hidden="1">
          <a:extLst>
            <a:ext uri="{FF2B5EF4-FFF2-40B4-BE49-F238E27FC236}">
              <a16:creationId xmlns:a16="http://schemas.microsoft.com/office/drawing/2014/main" id="{5E05BA31-97F9-2953-88DC-9143F66AAE19}"/>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690" name="Text Box 2" hidden="1">
          <a:extLst>
            <a:ext uri="{FF2B5EF4-FFF2-40B4-BE49-F238E27FC236}">
              <a16:creationId xmlns:a16="http://schemas.microsoft.com/office/drawing/2014/main" id="{427B2709-9F8D-C108-6A54-8763BCEC7925}"/>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89" name="Text Box 1" hidden="1">
          <a:extLst>
            <a:ext uri="{FF2B5EF4-FFF2-40B4-BE49-F238E27FC236}">
              <a16:creationId xmlns:a16="http://schemas.microsoft.com/office/drawing/2014/main" id="{246D367E-A196-DF20-2BC3-B2FF7B17AD9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03" name="Text Box 15" hidden="1">
          <a:extLst>
            <a:ext uri="{FF2B5EF4-FFF2-40B4-BE49-F238E27FC236}">
              <a16:creationId xmlns:a16="http://schemas.microsoft.com/office/drawing/2014/main" id="{C6BF4DD2-8802-C765-AD33-731F9945CD4C}"/>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02" name="Text Box 14" hidden="1">
          <a:extLst>
            <a:ext uri="{FF2B5EF4-FFF2-40B4-BE49-F238E27FC236}">
              <a16:creationId xmlns:a16="http://schemas.microsoft.com/office/drawing/2014/main" id="{C1549618-867B-B6A6-07D0-D10FED1D092C}"/>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01" name="Text Box 13" hidden="1">
          <a:extLst>
            <a:ext uri="{FF2B5EF4-FFF2-40B4-BE49-F238E27FC236}">
              <a16:creationId xmlns:a16="http://schemas.microsoft.com/office/drawing/2014/main" id="{5857A37F-DB07-5B80-9B77-5DDE47ACBB0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00" name="Text Box 12" hidden="1">
          <a:extLst>
            <a:ext uri="{FF2B5EF4-FFF2-40B4-BE49-F238E27FC236}">
              <a16:creationId xmlns:a16="http://schemas.microsoft.com/office/drawing/2014/main" id="{F04EBEAA-BE3F-5AC4-1989-8DA0CD8E1511}"/>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9" name="Text Box 11" hidden="1">
          <a:extLst>
            <a:ext uri="{FF2B5EF4-FFF2-40B4-BE49-F238E27FC236}">
              <a16:creationId xmlns:a16="http://schemas.microsoft.com/office/drawing/2014/main" id="{5DFA3C2E-8A73-2E9A-4B4F-F3958C92B81D}"/>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06" name="Text Box 18" hidden="1">
          <a:extLst>
            <a:ext uri="{FF2B5EF4-FFF2-40B4-BE49-F238E27FC236}">
              <a16:creationId xmlns:a16="http://schemas.microsoft.com/office/drawing/2014/main" id="{611614E0-27A3-9ECD-3CD7-6DFA2BC57F5E}"/>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12" name="Text Box 24" hidden="1">
          <a:extLst>
            <a:ext uri="{FF2B5EF4-FFF2-40B4-BE49-F238E27FC236}">
              <a16:creationId xmlns:a16="http://schemas.microsoft.com/office/drawing/2014/main" id="{673D916D-1B05-1333-EED7-2855862902D7}"/>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11" name="Text Box 23" hidden="1">
          <a:extLst>
            <a:ext uri="{FF2B5EF4-FFF2-40B4-BE49-F238E27FC236}">
              <a16:creationId xmlns:a16="http://schemas.microsoft.com/office/drawing/2014/main" id="{D964AD14-9B48-E525-6718-07281FD62FF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10" name="Text Box 22" hidden="1">
          <a:extLst>
            <a:ext uri="{FF2B5EF4-FFF2-40B4-BE49-F238E27FC236}">
              <a16:creationId xmlns:a16="http://schemas.microsoft.com/office/drawing/2014/main" id="{87903352-C057-1001-BD9F-5E4A249080F5}"/>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09" name="Text Box 21" hidden="1">
          <a:extLst>
            <a:ext uri="{FF2B5EF4-FFF2-40B4-BE49-F238E27FC236}">
              <a16:creationId xmlns:a16="http://schemas.microsoft.com/office/drawing/2014/main" id="{09CD8AC2-4FCA-1859-904A-64198765CCE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08" name="Text Box 20" hidden="1">
          <a:extLst>
            <a:ext uri="{FF2B5EF4-FFF2-40B4-BE49-F238E27FC236}">
              <a16:creationId xmlns:a16="http://schemas.microsoft.com/office/drawing/2014/main" id="{CA3919A5-E23D-E846-9365-121C7CDDBCFF}"/>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07" name="Text Box 19" hidden="1">
          <a:extLst>
            <a:ext uri="{FF2B5EF4-FFF2-40B4-BE49-F238E27FC236}">
              <a16:creationId xmlns:a16="http://schemas.microsoft.com/office/drawing/2014/main" id="{BECD0D51-0D23-BD81-E5C9-0EC6DFED7107}"/>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13" name="Text Box 25" hidden="1">
          <a:extLst>
            <a:ext uri="{FF2B5EF4-FFF2-40B4-BE49-F238E27FC236}">
              <a16:creationId xmlns:a16="http://schemas.microsoft.com/office/drawing/2014/main" id="{7BB1D5D9-2831-D5EB-2BF7-4DBC78CB1EFD}"/>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20" name="Text Box 32" hidden="1">
          <a:extLst>
            <a:ext uri="{FF2B5EF4-FFF2-40B4-BE49-F238E27FC236}">
              <a16:creationId xmlns:a16="http://schemas.microsoft.com/office/drawing/2014/main" id="{6987DC2C-D4DD-6F18-0470-8FE969F590B1}"/>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19" name="Text Box 31" hidden="1">
          <a:extLst>
            <a:ext uri="{FF2B5EF4-FFF2-40B4-BE49-F238E27FC236}">
              <a16:creationId xmlns:a16="http://schemas.microsoft.com/office/drawing/2014/main" id="{B07CEC68-592F-D7AD-994A-B2BE41154B1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18" name="Text Box 30" hidden="1">
          <a:extLst>
            <a:ext uri="{FF2B5EF4-FFF2-40B4-BE49-F238E27FC236}">
              <a16:creationId xmlns:a16="http://schemas.microsoft.com/office/drawing/2014/main" id="{D23505D1-39AC-3FAC-32A3-DF8C6BDEBA1E}"/>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17" name="Text Box 29" hidden="1">
          <a:extLst>
            <a:ext uri="{FF2B5EF4-FFF2-40B4-BE49-F238E27FC236}">
              <a16:creationId xmlns:a16="http://schemas.microsoft.com/office/drawing/2014/main" id="{FC47A7C5-93D3-3FED-7064-2553B5A49C88}"/>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16" name="Text Box 28" hidden="1">
          <a:extLst>
            <a:ext uri="{FF2B5EF4-FFF2-40B4-BE49-F238E27FC236}">
              <a16:creationId xmlns:a16="http://schemas.microsoft.com/office/drawing/2014/main" id="{D3754FB0-7ADE-1ACA-D46B-48102D3E23A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15" name="Text Box 27" hidden="1">
          <a:extLst>
            <a:ext uri="{FF2B5EF4-FFF2-40B4-BE49-F238E27FC236}">
              <a16:creationId xmlns:a16="http://schemas.microsoft.com/office/drawing/2014/main" id="{873FCDBF-AA28-A300-12AD-31EB1F8CB945}"/>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14" name="Text Box 26" hidden="1">
          <a:extLst>
            <a:ext uri="{FF2B5EF4-FFF2-40B4-BE49-F238E27FC236}">
              <a16:creationId xmlns:a16="http://schemas.microsoft.com/office/drawing/2014/main" id="{1555602B-1F7B-939F-15B4-4FB753128A88}"/>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27" name="Text Box 39" hidden="1">
          <a:extLst>
            <a:ext uri="{FF2B5EF4-FFF2-40B4-BE49-F238E27FC236}">
              <a16:creationId xmlns:a16="http://schemas.microsoft.com/office/drawing/2014/main" id="{E3C40CBC-1BF0-E77E-B7D7-74C219868EF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26" name="Text Box 38" hidden="1">
          <a:extLst>
            <a:ext uri="{FF2B5EF4-FFF2-40B4-BE49-F238E27FC236}">
              <a16:creationId xmlns:a16="http://schemas.microsoft.com/office/drawing/2014/main" id="{AFA6A7E6-6E4C-43CB-6225-23287F85AB8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25" name="Text Box 37" hidden="1">
          <a:extLst>
            <a:ext uri="{FF2B5EF4-FFF2-40B4-BE49-F238E27FC236}">
              <a16:creationId xmlns:a16="http://schemas.microsoft.com/office/drawing/2014/main" id="{B687F4AF-37C4-201B-9CF9-7A5FE533A67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24" name="Text Box 36" hidden="1">
          <a:extLst>
            <a:ext uri="{FF2B5EF4-FFF2-40B4-BE49-F238E27FC236}">
              <a16:creationId xmlns:a16="http://schemas.microsoft.com/office/drawing/2014/main" id="{50240B5A-64F8-B03C-5050-20A0CF16BE9E}"/>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23" name="Text Box 35" hidden="1">
          <a:extLst>
            <a:ext uri="{FF2B5EF4-FFF2-40B4-BE49-F238E27FC236}">
              <a16:creationId xmlns:a16="http://schemas.microsoft.com/office/drawing/2014/main" id="{F64579FF-A2C1-E08E-C892-08D9FDB673F6}"/>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22" name="Text Box 34" hidden="1">
          <a:extLst>
            <a:ext uri="{FF2B5EF4-FFF2-40B4-BE49-F238E27FC236}">
              <a16:creationId xmlns:a16="http://schemas.microsoft.com/office/drawing/2014/main" id="{EAE5C52F-F8F8-A3E1-7A3E-BF26A156230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21" name="Text Box 33" hidden="1">
          <a:extLst>
            <a:ext uri="{FF2B5EF4-FFF2-40B4-BE49-F238E27FC236}">
              <a16:creationId xmlns:a16="http://schemas.microsoft.com/office/drawing/2014/main" id="{DE5BA30C-9C5B-1D91-5474-259C3BF75717}"/>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41" name="Text Box 53" hidden="1">
          <a:extLst>
            <a:ext uri="{FF2B5EF4-FFF2-40B4-BE49-F238E27FC236}">
              <a16:creationId xmlns:a16="http://schemas.microsoft.com/office/drawing/2014/main" id="{31A14855-EE10-9767-98C8-06E036BFE64B}"/>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40" name="Text Box 52" hidden="1">
          <a:extLst>
            <a:ext uri="{FF2B5EF4-FFF2-40B4-BE49-F238E27FC236}">
              <a16:creationId xmlns:a16="http://schemas.microsoft.com/office/drawing/2014/main" id="{F6442943-0990-2A30-6AD6-72CA4E1E5D12}"/>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39" name="Text Box 51" hidden="1">
          <a:extLst>
            <a:ext uri="{FF2B5EF4-FFF2-40B4-BE49-F238E27FC236}">
              <a16:creationId xmlns:a16="http://schemas.microsoft.com/office/drawing/2014/main" id="{72E6AFB1-BD3A-8212-B832-FEAEFD7BFF9E}"/>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38" name="Text Box 50" hidden="1">
          <a:extLst>
            <a:ext uri="{FF2B5EF4-FFF2-40B4-BE49-F238E27FC236}">
              <a16:creationId xmlns:a16="http://schemas.microsoft.com/office/drawing/2014/main" id="{FE263C3D-FDF0-FA77-5558-8453D6B27D3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7" name="Text Box 49" hidden="1">
          <a:extLst>
            <a:ext uri="{FF2B5EF4-FFF2-40B4-BE49-F238E27FC236}">
              <a16:creationId xmlns:a16="http://schemas.microsoft.com/office/drawing/2014/main" id="{39486346-5873-E8D2-7548-20602A30E2E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36" name="Text Box 48" hidden="1">
          <a:extLst>
            <a:ext uri="{FF2B5EF4-FFF2-40B4-BE49-F238E27FC236}">
              <a16:creationId xmlns:a16="http://schemas.microsoft.com/office/drawing/2014/main" id="{296531F7-F240-B3F7-6476-4BD7002F9C43}"/>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35" name="Text Box 47" hidden="1">
          <a:extLst>
            <a:ext uri="{FF2B5EF4-FFF2-40B4-BE49-F238E27FC236}">
              <a16:creationId xmlns:a16="http://schemas.microsoft.com/office/drawing/2014/main" id="{F4C5CAED-E92A-2727-B2D7-11614AD2A7DF}"/>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34" name="Text Box 46" hidden="1">
          <a:extLst>
            <a:ext uri="{FF2B5EF4-FFF2-40B4-BE49-F238E27FC236}">
              <a16:creationId xmlns:a16="http://schemas.microsoft.com/office/drawing/2014/main" id="{BDF1957C-2CD5-F5D1-842E-94D0884B97AC}"/>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33" name="Text Box 45" hidden="1">
          <a:extLst>
            <a:ext uri="{FF2B5EF4-FFF2-40B4-BE49-F238E27FC236}">
              <a16:creationId xmlns:a16="http://schemas.microsoft.com/office/drawing/2014/main" id="{EB252647-D92E-5097-9C12-90CD07DCCB43}"/>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32" name="Text Box 44" hidden="1">
          <a:extLst>
            <a:ext uri="{FF2B5EF4-FFF2-40B4-BE49-F238E27FC236}">
              <a16:creationId xmlns:a16="http://schemas.microsoft.com/office/drawing/2014/main" id="{6BFEFD41-FCCC-5591-BEFA-28A961DDDFA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31" name="Text Box 43" hidden="1">
          <a:extLst>
            <a:ext uri="{FF2B5EF4-FFF2-40B4-BE49-F238E27FC236}">
              <a16:creationId xmlns:a16="http://schemas.microsoft.com/office/drawing/2014/main" id="{8E9FC2B5-D778-4BB1-0E9A-C64556743232}"/>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0" name="Text Box 42" hidden="1">
          <a:extLst>
            <a:ext uri="{FF2B5EF4-FFF2-40B4-BE49-F238E27FC236}">
              <a16:creationId xmlns:a16="http://schemas.microsoft.com/office/drawing/2014/main" id="{F67B1DD9-D6F5-05AD-C8A5-028A3CDD4EC2}"/>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29" name="Text Box 41" hidden="1">
          <a:extLst>
            <a:ext uri="{FF2B5EF4-FFF2-40B4-BE49-F238E27FC236}">
              <a16:creationId xmlns:a16="http://schemas.microsoft.com/office/drawing/2014/main" id="{61E500D5-C90E-89BF-814D-BE0AEA16808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28" name="Text Box 40" hidden="1">
          <a:extLst>
            <a:ext uri="{FF2B5EF4-FFF2-40B4-BE49-F238E27FC236}">
              <a16:creationId xmlns:a16="http://schemas.microsoft.com/office/drawing/2014/main" id="{FBF2E8B0-33CE-E53D-FCC5-C7025A2A8A51}"/>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48" name="Text Box 60" hidden="1">
          <a:extLst>
            <a:ext uri="{FF2B5EF4-FFF2-40B4-BE49-F238E27FC236}">
              <a16:creationId xmlns:a16="http://schemas.microsoft.com/office/drawing/2014/main" id="{DD110B10-487D-20E7-7CF3-0009974BC985}"/>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47" name="Text Box 59" hidden="1">
          <a:extLst>
            <a:ext uri="{FF2B5EF4-FFF2-40B4-BE49-F238E27FC236}">
              <a16:creationId xmlns:a16="http://schemas.microsoft.com/office/drawing/2014/main" id="{4A7143C5-27E5-2671-13D6-718FB7D86F7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67721</xdr:rowOff>
    </xdr:to>
    <xdr:sp macro="" textlink="">
      <xdr:nvSpPr>
        <xdr:cNvPr id="370746" name="Text Box 58" hidden="1">
          <a:extLst>
            <a:ext uri="{FF2B5EF4-FFF2-40B4-BE49-F238E27FC236}">
              <a16:creationId xmlns:a16="http://schemas.microsoft.com/office/drawing/2014/main" id="{85C5E3D1-04E9-3E4F-19DE-17CE90061BF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45" name="Text Box 57" hidden="1">
          <a:extLst>
            <a:ext uri="{FF2B5EF4-FFF2-40B4-BE49-F238E27FC236}">
              <a16:creationId xmlns:a16="http://schemas.microsoft.com/office/drawing/2014/main" id="{1C4475FB-DACC-2C20-AFD6-46E9A7C7BEE7}"/>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44" name="Text Box 56" hidden="1">
          <a:extLst>
            <a:ext uri="{FF2B5EF4-FFF2-40B4-BE49-F238E27FC236}">
              <a16:creationId xmlns:a16="http://schemas.microsoft.com/office/drawing/2014/main" id="{75AA1296-2D62-2510-0F03-159B7808CFD1}"/>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43" name="Text Box 55" hidden="1">
          <a:extLst>
            <a:ext uri="{FF2B5EF4-FFF2-40B4-BE49-F238E27FC236}">
              <a16:creationId xmlns:a16="http://schemas.microsoft.com/office/drawing/2014/main" id="{08B552BF-323F-14E6-1137-C8D00CA19499}"/>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42" name="Text Box 54" hidden="1">
          <a:extLst>
            <a:ext uri="{FF2B5EF4-FFF2-40B4-BE49-F238E27FC236}">
              <a16:creationId xmlns:a16="http://schemas.microsoft.com/office/drawing/2014/main" id="{A344DD03-310D-2474-A639-ABB135A1A42C}"/>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55" name="Text Box 67" hidden="1">
          <a:extLst>
            <a:ext uri="{FF2B5EF4-FFF2-40B4-BE49-F238E27FC236}">
              <a16:creationId xmlns:a16="http://schemas.microsoft.com/office/drawing/2014/main" id="{378FC88D-B456-B92F-752D-C02B49A65425}"/>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54" name="Text Box 66" hidden="1">
          <a:extLst>
            <a:ext uri="{FF2B5EF4-FFF2-40B4-BE49-F238E27FC236}">
              <a16:creationId xmlns:a16="http://schemas.microsoft.com/office/drawing/2014/main" id="{9D5AA01F-90E0-E32B-3AE6-BA3A43CB67C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42</xdr:row>
      <xdr:rowOff>26119</xdr:rowOff>
    </xdr:from>
    <xdr:to>
      <xdr:col>24</xdr:col>
      <xdr:colOff>295275</xdr:colOff>
      <xdr:row>46</xdr:row>
      <xdr:rowOff>11734</xdr:rowOff>
    </xdr:to>
    <xdr:sp macro="" textlink="">
      <xdr:nvSpPr>
        <xdr:cNvPr id="370753" name="Text Box 65" hidden="1">
          <a:extLst>
            <a:ext uri="{FF2B5EF4-FFF2-40B4-BE49-F238E27FC236}">
              <a16:creationId xmlns:a16="http://schemas.microsoft.com/office/drawing/2014/main" id="{BFC2D8BD-8AFA-5FB2-4ED6-19F561F05294}"/>
            </a:ext>
          </a:extLst>
        </xdr:cNvPr>
        <xdr:cNvSpPr txBox="1">
          <a:spLocks noChangeArrowheads="1"/>
        </xdr:cNvSpPr>
      </xdr:nvSpPr>
      <xdr:spPr bwMode="auto">
        <a:xfrm>
          <a:off x="15970250" y="9048750"/>
          <a:ext cx="1416050" cy="95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41</xdr:row>
      <xdr:rowOff>77877</xdr:rowOff>
    </xdr:from>
    <xdr:to>
      <xdr:col>25</xdr:col>
      <xdr:colOff>161925</xdr:colOff>
      <xdr:row>46</xdr:row>
      <xdr:rowOff>85373</xdr:rowOff>
    </xdr:to>
    <xdr:sp macro="" textlink="">
      <xdr:nvSpPr>
        <xdr:cNvPr id="370752" name="Text Box 64" hidden="1">
          <a:extLst>
            <a:ext uri="{FF2B5EF4-FFF2-40B4-BE49-F238E27FC236}">
              <a16:creationId xmlns:a16="http://schemas.microsoft.com/office/drawing/2014/main" id="{9737E792-424E-1554-4C04-D19761325DEE}"/>
            </a:ext>
          </a:extLst>
        </xdr:cNvPr>
        <xdr:cNvSpPr txBox="1">
          <a:spLocks noChangeArrowheads="1"/>
        </xdr:cNvSpPr>
      </xdr:nvSpPr>
      <xdr:spPr bwMode="auto">
        <a:xfrm>
          <a:off x="16554450" y="8699500"/>
          <a:ext cx="1339850" cy="1358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51" name="Text Box 63" hidden="1">
          <a:extLst>
            <a:ext uri="{FF2B5EF4-FFF2-40B4-BE49-F238E27FC236}">
              <a16:creationId xmlns:a16="http://schemas.microsoft.com/office/drawing/2014/main" id="{79989197-A0F8-79D7-F0F8-66C4CCC89A1F}"/>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50" name="Text Box 62" hidden="1">
          <a:extLst>
            <a:ext uri="{FF2B5EF4-FFF2-40B4-BE49-F238E27FC236}">
              <a16:creationId xmlns:a16="http://schemas.microsoft.com/office/drawing/2014/main" id="{C1CAADD9-E592-D45E-A3A7-202E7DAAF434}"/>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49" name="Text Box 61" hidden="1">
          <a:extLst>
            <a:ext uri="{FF2B5EF4-FFF2-40B4-BE49-F238E27FC236}">
              <a16:creationId xmlns:a16="http://schemas.microsoft.com/office/drawing/2014/main" id="{5A14E0C7-1391-1732-A361-EF08FA3597C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33</xdr:row>
      <xdr:rowOff>160379</xdr:rowOff>
    </xdr:from>
    <xdr:to>
      <xdr:col>3</xdr:col>
      <xdr:colOff>647700</xdr:colOff>
      <xdr:row>36</xdr:row>
      <xdr:rowOff>220852</xdr:rowOff>
    </xdr:to>
    <xdr:sp macro="" textlink="">
      <xdr:nvSpPr>
        <xdr:cNvPr id="370756" name="Text Box 68" hidden="1">
          <a:extLst>
            <a:ext uri="{FF2B5EF4-FFF2-40B4-BE49-F238E27FC236}">
              <a16:creationId xmlns:a16="http://schemas.microsoft.com/office/drawing/2014/main" id="{998A8E64-D6BD-4847-6BE0-1C2023866221}"/>
            </a:ext>
          </a:extLst>
        </xdr:cNvPr>
        <xdr:cNvSpPr txBox="1">
          <a:spLocks noChangeArrowheads="1"/>
        </xdr:cNvSpPr>
      </xdr:nvSpPr>
      <xdr:spPr bwMode="auto">
        <a:xfrm>
          <a:off x="3079750" y="7073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39</xdr:row>
      <xdr:rowOff>76687</xdr:rowOff>
    </xdr:from>
    <xdr:to>
      <xdr:col>9</xdr:col>
      <xdr:colOff>368300</xdr:colOff>
      <xdr:row>42</xdr:row>
      <xdr:rowOff>45169</xdr:rowOff>
    </xdr:to>
    <xdr:sp macro="" textlink="">
      <xdr:nvSpPr>
        <xdr:cNvPr id="370757" name="Text Box 69" hidden="1">
          <a:extLst>
            <a:ext uri="{FF2B5EF4-FFF2-40B4-BE49-F238E27FC236}">
              <a16:creationId xmlns:a16="http://schemas.microsoft.com/office/drawing/2014/main" id="{1C4E7468-EF48-DA26-848F-F163E1E47747}"/>
            </a:ext>
          </a:extLst>
        </xdr:cNvPr>
        <xdr:cNvSpPr txBox="1">
          <a:spLocks noChangeArrowheads="1"/>
        </xdr:cNvSpPr>
      </xdr:nvSpPr>
      <xdr:spPr bwMode="auto">
        <a:xfrm>
          <a:off x="67056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39</xdr:row>
      <xdr:rowOff>76687</xdr:rowOff>
    </xdr:from>
    <xdr:to>
      <xdr:col>10</xdr:col>
      <xdr:colOff>371475</xdr:colOff>
      <xdr:row>42</xdr:row>
      <xdr:rowOff>45169</xdr:rowOff>
    </xdr:to>
    <xdr:sp macro="" textlink="">
      <xdr:nvSpPr>
        <xdr:cNvPr id="370758" name="Text Box 70" hidden="1">
          <a:extLst>
            <a:ext uri="{FF2B5EF4-FFF2-40B4-BE49-F238E27FC236}">
              <a16:creationId xmlns:a16="http://schemas.microsoft.com/office/drawing/2014/main" id="{A553F19C-AFD1-108B-CE69-EF4FB489E9F1}"/>
            </a:ext>
          </a:extLst>
        </xdr:cNvPr>
        <xdr:cNvSpPr txBox="1">
          <a:spLocks noChangeArrowheads="1"/>
        </xdr:cNvSpPr>
      </xdr:nvSpPr>
      <xdr:spPr bwMode="auto">
        <a:xfrm>
          <a:off x="72263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68" name="Text Box 80" hidden="1">
          <a:extLst>
            <a:ext uri="{FF2B5EF4-FFF2-40B4-BE49-F238E27FC236}">
              <a16:creationId xmlns:a16="http://schemas.microsoft.com/office/drawing/2014/main" id="{0E2AA959-35E3-45F0-C8B3-A8D70BCFA7C9}"/>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67" name="Text Box 79" hidden="1">
          <a:extLst>
            <a:ext uri="{FF2B5EF4-FFF2-40B4-BE49-F238E27FC236}">
              <a16:creationId xmlns:a16="http://schemas.microsoft.com/office/drawing/2014/main" id="{77E72EC2-BE05-6AAB-38C7-A012170F618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0766" name="Text Box 78" hidden="1">
          <a:extLst>
            <a:ext uri="{FF2B5EF4-FFF2-40B4-BE49-F238E27FC236}">
              <a16:creationId xmlns:a16="http://schemas.microsoft.com/office/drawing/2014/main" id="{2A67A1DE-B87F-DDC6-7672-6DD3BBCEAE70}"/>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0765" name="Text Box 77" hidden="1">
          <a:extLst>
            <a:ext uri="{FF2B5EF4-FFF2-40B4-BE49-F238E27FC236}">
              <a16:creationId xmlns:a16="http://schemas.microsoft.com/office/drawing/2014/main" id="{D6C35F4A-BBEA-D025-3F15-0A195BE215E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64" name="Text Box 76" hidden="1">
          <a:extLst>
            <a:ext uri="{FF2B5EF4-FFF2-40B4-BE49-F238E27FC236}">
              <a16:creationId xmlns:a16="http://schemas.microsoft.com/office/drawing/2014/main" id="{7E98C0D6-8867-A81A-97AD-3F4A9100DC1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63" name="Text Box 75" hidden="1">
          <a:extLst>
            <a:ext uri="{FF2B5EF4-FFF2-40B4-BE49-F238E27FC236}">
              <a16:creationId xmlns:a16="http://schemas.microsoft.com/office/drawing/2014/main" id="{643228E3-13CD-6D3B-EA86-8FC2E1F70609}"/>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62" name="Text Box 74" hidden="1">
          <a:extLst>
            <a:ext uri="{FF2B5EF4-FFF2-40B4-BE49-F238E27FC236}">
              <a16:creationId xmlns:a16="http://schemas.microsoft.com/office/drawing/2014/main" id="{A6E28C89-7F69-8B51-BA81-BD0271E4F69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0775" name="Text Box 87" hidden="1">
          <a:extLst>
            <a:ext uri="{FF2B5EF4-FFF2-40B4-BE49-F238E27FC236}">
              <a16:creationId xmlns:a16="http://schemas.microsoft.com/office/drawing/2014/main" id="{25C50424-C7FC-F8F4-C040-A67510E7A82A}"/>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74" name="Text Box 86" hidden="1">
          <a:extLst>
            <a:ext uri="{FF2B5EF4-FFF2-40B4-BE49-F238E27FC236}">
              <a16:creationId xmlns:a16="http://schemas.microsoft.com/office/drawing/2014/main" id="{4ECBBCBF-B94D-E971-7EC2-C73A39470768}"/>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0773" name="Text Box 85" hidden="1">
          <a:extLst>
            <a:ext uri="{FF2B5EF4-FFF2-40B4-BE49-F238E27FC236}">
              <a16:creationId xmlns:a16="http://schemas.microsoft.com/office/drawing/2014/main" id="{8FD45D86-2C91-5A63-D54E-2B50B51F3307}"/>
            </a:ext>
          </a:extLst>
        </xdr:cNvPr>
        <xdr:cNvSpPr txBox="1">
          <a:spLocks noChangeArrowheads="1"/>
        </xdr:cNvSpPr>
      </xdr:nvSpPr>
      <xdr:spPr bwMode="auto">
        <a:xfrm>
          <a:off x="15970250" y="7639050"/>
          <a:ext cx="14160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0772" name="Text Box 84" hidden="1">
          <a:extLst>
            <a:ext uri="{FF2B5EF4-FFF2-40B4-BE49-F238E27FC236}">
              <a16:creationId xmlns:a16="http://schemas.microsoft.com/office/drawing/2014/main" id="{A53641C6-1EEA-0447-7EB7-0BDAB09597C3}"/>
            </a:ext>
          </a:extLst>
        </xdr:cNvPr>
        <xdr:cNvSpPr txBox="1">
          <a:spLocks noChangeArrowheads="1"/>
        </xdr:cNvSpPr>
      </xdr:nvSpPr>
      <xdr:spPr bwMode="auto">
        <a:xfrm>
          <a:off x="16554450" y="7340600"/>
          <a:ext cx="133985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71" name="Text Box 83" hidden="1">
          <a:extLst>
            <a:ext uri="{FF2B5EF4-FFF2-40B4-BE49-F238E27FC236}">
              <a16:creationId xmlns:a16="http://schemas.microsoft.com/office/drawing/2014/main" id="{A66BA7FB-BF4F-99F6-096A-93ECF86C7F75}"/>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70" name="Text Box 82" hidden="1">
          <a:extLst>
            <a:ext uri="{FF2B5EF4-FFF2-40B4-BE49-F238E27FC236}">
              <a16:creationId xmlns:a16="http://schemas.microsoft.com/office/drawing/2014/main" id="{2DE268AB-99C7-F123-EA93-74C64F02D76B}"/>
            </a:ext>
          </a:extLst>
        </xdr:cNvPr>
        <xdr:cNvSpPr txBox="1">
          <a:spLocks noChangeArrowheads="1"/>
        </xdr:cNvSpPr>
      </xdr:nvSpPr>
      <xdr:spPr bwMode="auto">
        <a:xfrm>
          <a:off x="72263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69" name="Text Box 81" hidden="1">
          <a:extLst>
            <a:ext uri="{FF2B5EF4-FFF2-40B4-BE49-F238E27FC236}">
              <a16:creationId xmlns:a16="http://schemas.microsoft.com/office/drawing/2014/main" id="{4002C366-E9AE-A965-0EAE-FB9C293D6142}"/>
            </a:ext>
          </a:extLst>
        </xdr:cNvPr>
        <xdr:cNvSpPr txBox="1">
          <a:spLocks noChangeArrowheads="1"/>
        </xdr:cNvSpPr>
      </xdr:nvSpPr>
      <xdr:spPr bwMode="auto">
        <a:xfrm>
          <a:off x="67056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19" name="Text Box 7" hidden="1">
          <a:extLst>
            <a:ext uri="{FF2B5EF4-FFF2-40B4-BE49-F238E27FC236}">
              <a16:creationId xmlns:a16="http://schemas.microsoft.com/office/drawing/2014/main" id="{48EE7FA5-0D9B-D598-9E41-DD96D2A0B66E}"/>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18" name="Text Box 6" hidden="1">
          <a:extLst>
            <a:ext uri="{FF2B5EF4-FFF2-40B4-BE49-F238E27FC236}">
              <a16:creationId xmlns:a16="http://schemas.microsoft.com/office/drawing/2014/main" id="{611583D3-0BB2-F942-A6B8-DAAA5F5580D7}"/>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17" name="Text Box 5" hidden="1">
          <a:extLst>
            <a:ext uri="{FF2B5EF4-FFF2-40B4-BE49-F238E27FC236}">
              <a16:creationId xmlns:a16="http://schemas.microsoft.com/office/drawing/2014/main" id="{E489195E-F419-B5FC-9A26-FDA7679F4BD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16" name="Text Box 4" hidden="1">
          <a:extLst>
            <a:ext uri="{FF2B5EF4-FFF2-40B4-BE49-F238E27FC236}">
              <a16:creationId xmlns:a16="http://schemas.microsoft.com/office/drawing/2014/main" id="{C200C11A-435D-36A6-7EC7-8ABD9D45DE9F}"/>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15" name="Text Box 3" hidden="1">
          <a:extLst>
            <a:ext uri="{FF2B5EF4-FFF2-40B4-BE49-F238E27FC236}">
              <a16:creationId xmlns:a16="http://schemas.microsoft.com/office/drawing/2014/main" id="{21A2A100-2E86-9996-A3B4-167A2D099320}"/>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1714" name="Text Box 2" hidden="1">
          <a:extLst>
            <a:ext uri="{FF2B5EF4-FFF2-40B4-BE49-F238E27FC236}">
              <a16:creationId xmlns:a16="http://schemas.microsoft.com/office/drawing/2014/main" id="{186D1B53-0413-6A8F-41F8-94B7D41CFB9B}"/>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1713" name="Text Box 1" hidden="1">
          <a:extLst>
            <a:ext uri="{FF2B5EF4-FFF2-40B4-BE49-F238E27FC236}">
              <a16:creationId xmlns:a16="http://schemas.microsoft.com/office/drawing/2014/main" id="{BE8AF546-9BA3-9AFD-4E6A-81D380742B5C}"/>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26" name="Text Box 14" hidden="1">
          <a:extLst>
            <a:ext uri="{FF2B5EF4-FFF2-40B4-BE49-F238E27FC236}">
              <a16:creationId xmlns:a16="http://schemas.microsoft.com/office/drawing/2014/main" id="{26DCC8A2-D04E-A495-272E-AC4AC377D520}"/>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25" name="Text Box 13" hidden="1">
          <a:extLst>
            <a:ext uri="{FF2B5EF4-FFF2-40B4-BE49-F238E27FC236}">
              <a16:creationId xmlns:a16="http://schemas.microsoft.com/office/drawing/2014/main" id="{85FF23E3-290F-1BFE-7D12-F84AF869358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24" name="Text Box 12" hidden="1">
          <a:extLst>
            <a:ext uri="{FF2B5EF4-FFF2-40B4-BE49-F238E27FC236}">
              <a16:creationId xmlns:a16="http://schemas.microsoft.com/office/drawing/2014/main" id="{5F871FE6-7313-3AB0-994E-B118F391E527}"/>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23" name="Text Box 11" hidden="1">
          <a:extLst>
            <a:ext uri="{FF2B5EF4-FFF2-40B4-BE49-F238E27FC236}">
              <a16:creationId xmlns:a16="http://schemas.microsoft.com/office/drawing/2014/main" id="{DDC32EBF-CE2B-265B-7CC7-BB2A6C3DD988}"/>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2" name="Text Box 10" hidden="1">
          <a:extLst>
            <a:ext uri="{FF2B5EF4-FFF2-40B4-BE49-F238E27FC236}">
              <a16:creationId xmlns:a16="http://schemas.microsoft.com/office/drawing/2014/main" id="{3A0C280B-6012-8AAC-E8B2-9E9D450F70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1721" name="Text Box 9" hidden="1">
          <a:extLst>
            <a:ext uri="{FF2B5EF4-FFF2-40B4-BE49-F238E27FC236}">
              <a16:creationId xmlns:a16="http://schemas.microsoft.com/office/drawing/2014/main" id="{4A3B6C97-2C6F-DE03-5F1E-CDFC092B22E0}"/>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1720" name="Text Box 8" hidden="1">
          <a:extLst>
            <a:ext uri="{FF2B5EF4-FFF2-40B4-BE49-F238E27FC236}">
              <a16:creationId xmlns:a16="http://schemas.microsoft.com/office/drawing/2014/main" id="{50AEA468-C7CB-B741-9657-4764E93D78F4}"/>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33" name="Text Box 21" hidden="1">
          <a:extLst>
            <a:ext uri="{FF2B5EF4-FFF2-40B4-BE49-F238E27FC236}">
              <a16:creationId xmlns:a16="http://schemas.microsoft.com/office/drawing/2014/main" id="{C20A5E1B-5997-04FD-6554-7C4116E34DD8}"/>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32" name="Text Box 20" hidden="1">
          <a:extLst>
            <a:ext uri="{FF2B5EF4-FFF2-40B4-BE49-F238E27FC236}">
              <a16:creationId xmlns:a16="http://schemas.microsoft.com/office/drawing/2014/main" id="{0EC07130-F54D-02DF-C51F-31FFC1E3B35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31" name="Text Box 19" hidden="1">
          <a:extLst>
            <a:ext uri="{FF2B5EF4-FFF2-40B4-BE49-F238E27FC236}">
              <a16:creationId xmlns:a16="http://schemas.microsoft.com/office/drawing/2014/main" id="{4A85DC28-7B5C-2D11-378C-C1D218479F6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30" name="Text Box 18" hidden="1">
          <a:extLst>
            <a:ext uri="{FF2B5EF4-FFF2-40B4-BE49-F238E27FC236}">
              <a16:creationId xmlns:a16="http://schemas.microsoft.com/office/drawing/2014/main" id="{D64E7059-2ADC-B05F-728F-5103D0539C0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9" name="Text Box 17" hidden="1">
          <a:extLst>
            <a:ext uri="{FF2B5EF4-FFF2-40B4-BE49-F238E27FC236}">
              <a16:creationId xmlns:a16="http://schemas.microsoft.com/office/drawing/2014/main" id="{FEFAC81B-E206-9EB6-906B-1930D6F712FB}"/>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36" name="Text Box 24" hidden="1">
          <a:extLst>
            <a:ext uri="{FF2B5EF4-FFF2-40B4-BE49-F238E27FC236}">
              <a16:creationId xmlns:a16="http://schemas.microsoft.com/office/drawing/2014/main" id="{82BFC7BC-BF84-BB0E-6D66-B0042A77AB92}"/>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42" name="Text Box 30" hidden="1">
          <a:extLst>
            <a:ext uri="{FF2B5EF4-FFF2-40B4-BE49-F238E27FC236}">
              <a16:creationId xmlns:a16="http://schemas.microsoft.com/office/drawing/2014/main" id="{AE63C8C8-F2B0-29A8-E0B8-A99F9B18A107}"/>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41" name="Text Box 29" hidden="1">
          <a:extLst>
            <a:ext uri="{FF2B5EF4-FFF2-40B4-BE49-F238E27FC236}">
              <a16:creationId xmlns:a16="http://schemas.microsoft.com/office/drawing/2014/main" id="{9DFB919B-7020-5A57-ED8B-45410B48D0E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40" name="Text Box 28" hidden="1">
          <a:extLst>
            <a:ext uri="{FF2B5EF4-FFF2-40B4-BE49-F238E27FC236}">
              <a16:creationId xmlns:a16="http://schemas.microsoft.com/office/drawing/2014/main" id="{99D2DA30-6EF1-5C53-40EB-3F2ABDE2C42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39" name="Text Box 27" hidden="1">
          <a:extLst>
            <a:ext uri="{FF2B5EF4-FFF2-40B4-BE49-F238E27FC236}">
              <a16:creationId xmlns:a16="http://schemas.microsoft.com/office/drawing/2014/main" id="{96AFD9E8-34AD-82AA-F893-37B31AE21FC2}"/>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38" name="Text Box 26" hidden="1">
          <a:extLst>
            <a:ext uri="{FF2B5EF4-FFF2-40B4-BE49-F238E27FC236}">
              <a16:creationId xmlns:a16="http://schemas.microsoft.com/office/drawing/2014/main" id="{95AA0451-A8F0-8BFD-B8D0-F7EBE9FDD357}"/>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37" name="Text Box 25" hidden="1">
          <a:extLst>
            <a:ext uri="{FF2B5EF4-FFF2-40B4-BE49-F238E27FC236}">
              <a16:creationId xmlns:a16="http://schemas.microsoft.com/office/drawing/2014/main" id="{A5593621-A9C8-34CA-8038-2912B269A49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48" name="Text Box 36" hidden="1">
          <a:extLst>
            <a:ext uri="{FF2B5EF4-FFF2-40B4-BE49-F238E27FC236}">
              <a16:creationId xmlns:a16="http://schemas.microsoft.com/office/drawing/2014/main" id="{469185C4-497D-C4CF-C14A-1792A7F2A79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47" name="Text Box 35" hidden="1">
          <a:extLst>
            <a:ext uri="{FF2B5EF4-FFF2-40B4-BE49-F238E27FC236}">
              <a16:creationId xmlns:a16="http://schemas.microsoft.com/office/drawing/2014/main" id="{B5CA23D1-EE46-C9BE-991F-5522657CE0A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46" name="Text Box 34" hidden="1">
          <a:extLst>
            <a:ext uri="{FF2B5EF4-FFF2-40B4-BE49-F238E27FC236}">
              <a16:creationId xmlns:a16="http://schemas.microsoft.com/office/drawing/2014/main" id="{5C90CE4A-7A32-B946-3816-DE0C9B66129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45" name="Text Box 33" hidden="1">
          <a:extLst>
            <a:ext uri="{FF2B5EF4-FFF2-40B4-BE49-F238E27FC236}">
              <a16:creationId xmlns:a16="http://schemas.microsoft.com/office/drawing/2014/main" id="{E8D24362-E4B4-75F1-6DF7-7F9AE9B5F6B3}"/>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44" name="Text Box 32" hidden="1">
          <a:extLst>
            <a:ext uri="{FF2B5EF4-FFF2-40B4-BE49-F238E27FC236}">
              <a16:creationId xmlns:a16="http://schemas.microsoft.com/office/drawing/2014/main" id="{893F0613-27D7-65F4-E431-6C21B02BEC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43" name="Text Box 31" hidden="1">
          <a:extLst>
            <a:ext uri="{FF2B5EF4-FFF2-40B4-BE49-F238E27FC236}">
              <a16:creationId xmlns:a16="http://schemas.microsoft.com/office/drawing/2014/main" id="{35D64B66-6F73-4278-386C-9B099B1FC9E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54" name="Text Box 42" hidden="1">
          <a:extLst>
            <a:ext uri="{FF2B5EF4-FFF2-40B4-BE49-F238E27FC236}">
              <a16:creationId xmlns:a16="http://schemas.microsoft.com/office/drawing/2014/main" id="{687321C9-F9F2-5411-47FC-2FD996632D3B}"/>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53" name="Text Box 41" hidden="1">
          <a:extLst>
            <a:ext uri="{FF2B5EF4-FFF2-40B4-BE49-F238E27FC236}">
              <a16:creationId xmlns:a16="http://schemas.microsoft.com/office/drawing/2014/main" id="{5A13EFF5-92C5-D06A-6834-DC7306E54055}"/>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52" name="Text Box 40" hidden="1">
          <a:extLst>
            <a:ext uri="{FF2B5EF4-FFF2-40B4-BE49-F238E27FC236}">
              <a16:creationId xmlns:a16="http://schemas.microsoft.com/office/drawing/2014/main" id="{E8252682-BEA4-211F-10CF-C638BE6E99D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51" name="Text Box 39" hidden="1">
          <a:extLst>
            <a:ext uri="{FF2B5EF4-FFF2-40B4-BE49-F238E27FC236}">
              <a16:creationId xmlns:a16="http://schemas.microsoft.com/office/drawing/2014/main" id="{DCBF18AF-96FB-89C3-6139-E90F1218E6F4}"/>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0" name="Text Box 38" hidden="1">
          <a:extLst>
            <a:ext uri="{FF2B5EF4-FFF2-40B4-BE49-F238E27FC236}">
              <a16:creationId xmlns:a16="http://schemas.microsoft.com/office/drawing/2014/main" id="{09284809-EDFE-0997-4FB0-EBD6FFBE039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49" name="Text Box 37" hidden="1">
          <a:extLst>
            <a:ext uri="{FF2B5EF4-FFF2-40B4-BE49-F238E27FC236}">
              <a16:creationId xmlns:a16="http://schemas.microsoft.com/office/drawing/2014/main" id="{72DE6E13-F545-0198-108A-201578E61BB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67593</xdr:rowOff>
    </xdr:to>
    <xdr:sp macro="" textlink="">
      <xdr:nvSpPr>
        <xdr:cNvPr id="371760" name="Text Box 48" hidden="1">
          <a:extLst>
            <a:ext uri="{FF2B5EF4-FFF2-40B4-BE49-F238E27FC236}">
              <a16:creationId xmlns:a16="http://schemas.microsoft.com/office/drawing/2014/main" id="{5E5BB3DD-A2E9-B9DD-00BF-9394E2D128BD}"/>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59" name="Text Box 47" hidden="1">
          <a:extLst>
            <a:ext uri="{FF2B5EF4-FFF2-40B4-BE49-F238E27FC236}">
              <a16:creationId xmlns:a16="http://schemas.microsoft.com/office/drawing/2014/main" id="{CEF238E0-DADE-0483-24EA-0EC70D06831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58" name="Text Box 46" hidden="1">
          <a:extLst>
            <a:ext uri="{FF2B5EF4-FFF2-40B4-BE49-F238E27FC236}">
              <a16:creationId xmlns:a16="http://schemas.microsoft.com/office/drawing/2014/main" id="{091EE176-F7F1-C354-94C4-67F74A4EBDC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57" name="Text Box 45" hidden="1">
          <a:extLst>
            <a:ext uri="{FF2B5EF4-FFF2-40B4-BE49-F238E27FC236}">
              <a16:creationId xmlns:a16="http://schemas.microsoft.com/office/drawing/2014/main" id="{FBFA5CEA-6183-FD78-A79F-5F915DF41C09}"/>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6" name="Text Box 44" hidden="1">
          <a:extLst>
            <a:ext uri="{FF2B5EF4-FFF2-40B4-BE49-F238E27FC236}">
              <a16:creationId xmlns:a16="http://schemas.microsoft.com/office/drawing/2014/main" id="{1507433C-B5E9-4581-45BC-28E6735BEB81}"/>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55" name="Text Box 43" hidden="1">
          <a:extLst>
            <a:ext uri="{FF2B5EF4-FFF2-40B4-BE49-F238E27FC236}">
              <a16:creationId xmlns:a16="http://schemas.microsoft.com/office/drawing/2014/main" id="{782DCA88-0EE7-79AC-F7DA-13EBBEAE6CD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371766" name="Text Box 54" hidden="1">
          <a:extLst>
            <a:ext uri="{FF2B5EF4-FFF2-40B4-BE49-F238E27FC236}">
              <a16:creationId xmlns:a16="http://schemas.microsoft.com/office/drawing/2014/main" id="{D057D1A6-8AB8-841D-57CB-AC18E8B43F67}"/>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371765" name="Text Box 53" hidden="1">
          <a:extLst>
            <a:ext uri="{FF2B5EF4-FFF2-40B4-BE49-F238E27FC236}">
              <a16:creationId xmlns:a16="http://schemas.microsoft.com/office/drawing/2014/main" id="{7125B1C5-E800-D226-DCF9-052C0F923936}"/>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57</xdr:row>
      <xdr:rowOff>97306</xdr:rowOff>
    </xdr:to>
    <xdr:sp macro="" textlink="">
      <xdr:nvSpPr>
        <xdr:cNvPr id="371764" name="Text Box 52" hidden="1">
          <a:extLst>
            <a:ext uri="{FF2B5EF4-FFF2-40B4-BE49-F238E27FC236}">
              <a16:creationId xmlns:a16="http://schemas.microsoft.com/office/drawing/2014/main" id="{BC76CADF-05EE-659F-3736-EE3AF5B08BB2}"/>
            </a:ext>
          </a:extLst>
        </xdr:cNvPr>
        <xdr:cNvSpPr txBox="1">
          <a:spLocks noChangeArrowheads="1"/>
        </xdr:cNvSpPr>
      </xdr:nvSpPr>
      <xdr:spPr bwMode="auto">
        <a:xfrm>
          <a:off x="15970250" y="7639050"/>
          <a:ext cx="33401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25402</xdr:rowOff>
    </xdr:to>
    <xdr:sp macro="" textlink="">
      <xdr:nvSpPr>
        <xdr:cNvPr id="371763" name="Text Box 51" hidden="1">
          <a:extLst>
            <a:ext uri="{FF2B5EF4-FFF2-40B4-BE49-F238E27FC236}">
              <a16:creationId xmlns:a16="http://schemas.microsoft.com/office/drawing/2014/main" id="{AD35FA2A-44E0-54F1-71CE-65B9455D333D}"/>
            </a:ext>
          </a:extLst>
        </xdr:cNvPr>
        <xdr:cNvSpPr txBox="1">
          <a:spLocks noChangeArrowheads="1"/>
        </xdr:cNvSpPr>
      </xdr:nvSpPr>
      <xdr:spPr bwMode="auto">
        <a:xfrm>
          <a:off x="16554450" y="7340600"/>
          <a:ext cx="3530600" cy="490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371762" name="Text Box 50" hidden="1">
          <a:extLst>
            <a:ext uri="{FF2B5EF4-FFF2-40B4-BE49-F238E27FC236}">
              <a16:creationId xmlns:a16="http://schemas.microsoft.com/office/drawing/2014/main" id="{684C664F-1B96-2B35-991F-3F787C00C8AC}"/>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49</xdr:row>
      <xdr:rowOff>11667</xdr:rowOff>
    </xdr:to>
    <xdr:sp macro="" textlink="">
      <xdr:nvSpPr>
        <xdr:cNvPr id="371761" name="Text Box 49" hidden="1">
          <a:extLst>
            <a:ext uri="{FF2B5EF4-FFF2-40B4-BE49-F238E27FC236}">
              <a16:creationId xmlns:a16="http://schemas.microsoft.com/office/drawing/2014/main" id="{D8380F44-08B3-85CC-DE46-BA0C8EB0D1EB}"/>
            </a:ext>
          </a:extLst>
        </xdr:cNvPr>
        <xdr:cNvSpPr txBox="1">
          <a:spLocks noChangeArrowheads="1"/>
        </xdr:cNvSpPr>
      </xdr:nvSpPr>
      <xdr:spPr bwMode="auto">
        <a:xfrm>
          <a:off x="7226300" y="5848350"/>
          <a:ext cx="318135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88108</xdr:rowOff>
    </xdr:to>
    <xdr:sp macro="" textlink="">
      <xdr:nvSpPr>
        <xdr:cNvPr id="371767" name="Text Box 55" hidden="1">
          <a:extLst>
            <a:ext uri="{FF2B5EF4-FFF2-40B4-BE49-F238E27FC236}">
              <a16:creationId xmlns:a16="http://schemas.microsoft.com/office/drawing/2014/main" id="{53AC7C61-9A53-2BDC-58F4-B7AFFB6043D8}"/>
            </a:ext>
          </a:extLst>
        </xdr:cNvPr>
        <xdr:cNvSpPr txBox="1">
          <a:spLocks noChangeArrowheads="1"/>
        </xdr:cNvSpPr>
      </xdr:nvSpPr>
      <xdr:spPr bwMode="auto">
        <a:xfrm>
          <a:off x="29229050" y="7562850"/>
          <a:ext cx="373380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51" name="Text Box 1031" hidden="1">
          <a:extLst>
            <a:ext uri="{FF2B5EF4-FFF2-40B4-BE49-F238E27FC236}">
              <a16:creationId xmlns:a16="http://schemas.microsoft.com/office/drawing/2014/main" id="{69E3F218-E5BD-D7E5-6236-AC2BBE843DEE}"/>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50" name="Text Box 1030" hidden="1">
          <a:extLst>
            <a:ext uri="{FF2B5EF4-FFF2-40B4-BE49-F238E27FC236}">
              <a16:creationId xmlns:a16="http://schemas.microsoft.com/office/drawing/2014/main" id="{E94734CE-3B97-5066-066D-5490D7240E64}"/>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49" name="Text Box 1029" hidden="1">
          <a:extLst>
            <a:ext uri="{FF2B5EF4-FFF2-40B4-BE49-F238E27FC236}">
              <a16:creationId xmlns:a16="http://schemas.microsoft.com/office/drawing/2014/main" id="{33E74B6A-F274-8FAE-7FA9-DCE1B8A30C12}"/>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102162</xdr:rowOff>
    </xdr:to>
    <xdr:sp macro="" textlink="">
      <xdr:nvSpPr>
        <xdr:cNvPr id="415748" name="Text Box 1028" hidden="1">
          <a:extLst>
            <a:ext uri="{FF2B5EF4-FFF2-40B4-BE49-F238E27FC236}">
              <a16:creationId xmlns:a16="http://schemas.microsoft.com/office/drawing/2014/main" id="{B38F03D6-46D4-E6D9-48AF-62C86469A0EE}"/>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47" name="Text Box 1027" hidden="1">
          <a:extLst>
            <a:ext uri="{FF2B5EF4-FFF2-40B4-BE49-F238E27FC236}">
              <a16:creationId xmlns:a16="http://schemas.microsoft.com/office/drawing/2014/main" id="{7C36766E-4D72-D15B-E8E5-4A2A97A5F073}"/>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46" name="Text Box 1026" hidden="1">
          <a:extLst>
            <a:ext uri="{FF2B5EF4-FFF2-40B4-BE49-F238E27FC236}">
              <a16:creationId xmlns:a16="http://schemas.microsoft.com/office/drawing/2014/main" id="{4A00A680-1BA3-26DC-9A58-45CB628F687F}"/>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45" name="Text Box 1025" hidden="1">
          <a:extLst>
            <a:ext uri="{FF2B5EF4-FFF2-40B4-BE49-F238E27FC236}">
              <a16:creationId xmlns:a16="http://schemas.microsoft.com/office/drawing/2014/main" id="{5144E9E8-E333-6E8C-5D91-904526BD939A}"/>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371774" name="Text Box 62" hidden="1">
          <a:extLst>
            <a:ext uri="{FF2B5EF4-FFF2-40B4-BE49-F238E27FC236}">
              <a16:creationId xmlns:a16="http://schemas.microsoft.com/office/drawing/2014/main" id="{C1D84E06-71D1-8001-0F91-7453196A6A9D}"/>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371773" name="Text Box 61" hidden="1">
          <a:extLst>
            <a:ext uri="{FF2B5EF4-FFF2-40B4-BE49-F238E27FC236}">
              <a16:creationId xmlns:a16="http://schemas.microsoft.com/office/drawing/2014/main" id="{7F3EEE54-45CC-76D7-B6D3-32403E1BD1DE}"/>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371772" name="Text Box 60" hidden="1">
          <a:extLst>
            <a:ext uri="{FF2B5EF4-FFF2-40B4-BE49-F238E27FC236}">
              <a16:creationId xmlns:a16="http://schemas.microsoft.com/office/drawing/2014/main" id="{CBD82C70-2728-A390-96DB-ED6D9EE64D2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102162</xdr:rowOff>
    </xdr:to>
    <xdr:sp macro="" textlink="">
      <xdr:nvSpPr>
        <xdr:cNvPr id="371771" name="Text Box 59" hidden="1">
          <a:extLst>
            <a:ext uri="{FF2B5EF4-FFF2-40B4-BE49-F238E27FC236}">
              <a16:creationId xmlns:a16="http://schemas.microsoft.com/office/drawing/2014/main" id="{A0F0C8FF-8A94-5932-C8F4-A421274C9DB4}"/>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371770" name="Text Box 58" hidden="1">
          <a:extLst>
            <a:ext uri="{FF2B5EF4-FFF2-40B4-BE49-F238E27FC236}">
              <a16:creationId xmlns:a16="http://schemas.microsoft.com/office/drawing/2014/main" id="{93DCCC29-1761-5AEE-CFF8-EFCE640F165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371769" name="Text Box 57" hidden="1">
          <a:extLst>
            <a:ext uri="{FF2B5EF4-FFF2-40B4-BE49-F238E27FC236}">
              <a16:creationId xmlns:a16="http://schemas.microsoft.com/office/drawing/2014/main" id="{B3B3B705-F4EC-6E6F-1231-044AF4B01BC7}"/>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371768" name="Text Box 56" hidden="1">
          <a:extLst>
            <a:ext uri="{FF2B5EF4-FFF2-40B4-BE49-F238E27FC236}">
              <a16:creationId xmlns:a16="http://schemas.microsoft.com/office/drawing/2014/main" id="{04D951AE-C29C-52F2-CBFB-B648E325628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58" name="Text Box 14" hidden="1">
          <a:extLst>
            <a:ext uri="{FF2B5EF4-FFF2-40B4-BE49-F238E27FC236}">
              <a16:creationId xmlns:a16="http://schemas.microsoft.com/office/drawing/2014/main" id="{ACA46E39-C8C0-76C7-E355-2DD6FE2A6A60}"/>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57" name="Text Box 13" hidden="1">
          <a:extLst>
            <a:ext uri="{FF2B5EF4-FFF2-40B4-BE49-F238E27FC236}">
              <a16:creationId xmlns:a16="http://schemas.microsoft.com/office/drawing/2014/main" id="{FBA71C84-E490-1C00-56DE-E88C35DF501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56" name="Text Box 12" hidden="1">
          <a:extLst>
            <a:ext uri="{FF2B5EF4-FFF2-40B4-BE49-F238E27FC236}">
              <a16:creationId xmlns:a16="http://schemas.microsoft.com/office/drawing/2014/main" id="{08496CE1-A263-71A9-2C79-B62982936F0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55" name="Text Box 11" hidden="1">
          <a:extLst>
            <a:ext uri="{FF2B5EF4-FFF2-40B4-BE49-F238E27FC236}">
              <a16:creationId xmlns:a16="http://schemas.microsoft.com/office/drawing/2014/main" id="{0E3274C9-5115-5DCA-7B78-FE7FFC774290}"/>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54" name="Text Box 10" hidden="1">
          <a:extLst>
            <a:ext uri="{FF2B5EF4-FFF2-40B4-BE49-F238E27FC236}">
              <a16:creationId xmlns:a16="http://schemas.microsoft.com/office/drawing/2014/main" id="{18F55633-2A76-98BF-EB61-A0F53409CC93}"/>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53" name="Text Box 9" hidden="1">
          <a:extLst>
            <a:ext uri="{FF2B5EF4-FFF2-40B4-BE49-F238E27FC236}">
              <a16:creationId xmlns:a16="http://schemas.microsoft.com/office/drawing/2014/main" id="{C607DB3C-FE72-E03A-F685-D021ADC54440}"/>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52" name="Text Box 8" hidden="1">
          <a:extLst>
            <a:ext uri="{FF2B5EF4-FFF2-40B4-BE49-F238E27FC236}">
              <a16:creationId xmlns:a16="http://schemas.microsoft.com/office/drawing/2014/main" id="{4F939A83-5694-FCC8-AF06-35D797D67B1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56029</xdr:colOff>
      <xdr:row>0</xdr:row>
      <xdr:rowOff>33617</xdr:rowOff>
    </xdr:from>
    <xdr:to>
      <xdr:col>0</xdr:col>
      <xdr:colOff>715495</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847E98E-1D5B-405B-82CF-0EB123161800}"/>
            </a:ext>
          </a:extLst>
        </xdr:cNvPr>
        <xdr:cNvSpPr/>
      </xdr:nvSpPr>
      <xdr:spPr>
        <a:xfrm>
          <a:off x="56029"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65" name="Text Box 21" hidden="1">
          <a:extLst>
            <a:ext uri="{FF2B5EF4-FFF2-40B4-BE49-F238E27FC236}">
              <a16:creationId xmlns:a16="http://schemas.microsoft.com/office/drawing/2014/main" id="{D2C2A966-DED6-6F75-F054-719283E0CB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64" name="Text Box 20" hidden="1">
          <a:extLst>
            <a:ext uri="{FF2B5EF4-FFF2-40B4-BE49-F238E27FC236}">
              <a16:creationId xmlns:a16="http://schemas.microsoft.com/office/drawing/2014/main" id="{5B0908C0-52CD-F232-911D-B5EA3CEB2117}"/>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63" name="Text Box 19" hidden="1">
          <a:extLst>
            <a:ext uri="{FF2B5EF4-FFF2-40B4-BE49-F238E27FC236}">
              <a16:creationId xmlns:a16="http://schemas.microsoft.com/office/drawing/2014/main" id="{D397FDE7-4238-A698-BA28-E2007ECAB289}"/>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102162</xdr:rowOff>
    </xdr:to>
    <xdr:sp macro="" textlink="">
      <xdr:nvSpPr>
        <xdr:cNvPr id="415762" name="Text Box 18" hidden="1">
          <a:extLst>
            <a:ext uri="{FF2B5EF4-FFF2-40B4-BE49-F238E27FC236}">
              <a16:creationId xmlns:a16="http://schemas.microsoft.com/office/drawing/2014/main" id="{C9BF519C-D581-01DA-7A90-908225DA127C}"/>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61" name="Text Box 17" hidden="1">
          <a:extLst>
            <a:ext uri="{FF2B5EF4-FFF2-40B4-BE49-F238E27FC236}">
              <a16:creationId xmlns:a16="http://schemas.microsoft.com/office/drawing/2014/main" id="{93D952E6-076D-434D-2BDA-6328C4D93A2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60" name="Text Box 16" hidden="1">
          <a:extLst>
            <a:ext uri="{FF2B5EF4-FFF2-40B4-BE49-F238E27FC236}">
              <a16:creationId xmlns:a16="http://schemas.microsoft.com/office/drawing/2014/main" id="{B528C6CD-C32A-5D5C-7DC5-0E9EDF07CE5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59" name="Text Box 15" hidden="1">
          <a:extLst>
            <a:ext uri="{FF2B5EF4-FFF2-40B4-BE49-F238E27FC236}">
              <a16:creationId xmlns:a16="http://schemas.microsoft.com/office/drawing/2014/main" id="{5EB4F624-1E8D-DAAD-A529-91629064D22D}"/>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72" name="Text Box 28" hidden="1">
          <a:extLst>
            <a:ext uri="{FF2B5EF4-FFF2-40B4-BE49-F238E27FC236}">
              <a16:creationId xmlns:a16="http://schemas.microsoft.com/office/drawing/2014/main" id="{8B765E91-A131-03F4-F838-CE5CCA13D8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71" name="Text Box 27" hidden="1">
          <a:extLst>
            <a:ext uri="{FF2B5EF4-FFF2-40B4-BE49-F238E27FC236}">
              <a16:creationId xmlns:a16="http://schemas.microsoft.com/office/drawing/2014/main" id="{39A44509-A266-7086-F3F7-CE821397FF9A}"/>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70" name="Text Box 26" hidden="1">
          <a:extLst>
            <a:ext uri="{FF2B5EF4-FFF2-40B4-BE49-F238E27FC236}">
              <a16:creationId xmlns:a16="http://schemas.microsoft.com/office/drawing/2014/main" id="{1D335498-13BD-F1EB-A474-79D564FDD8EE}"/>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102162</xdr:rowOff>
    </xdr:to>
    <xdr:sp macro="" textlink="">
      <xdr:nvSpPr>
        <xdr:cNvPr id="415769" name="Text Box 25" hidden="1">
          <a:extLst>
            <a:ext uri="{FF2B5EF4-FFF2-40B4-BE49-F238E27FC236}">
              <a16:creationId xmlns:a16="http://schemas.microsoft.com/office/drawing/2014/main" id="{411438B5-0057-9A5C-DDFA-A30F0E1125F2}"/>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68" name="Text Box 24" hidden="1">
          <a:extLst>
            <a:ext uri="{FF2B5EF4-FFF2-40B4-BE49-F238E27FC236}">
              <a16:creationId xmlns:a16="http://schemas.microsoft.com/office/drawing/2014/main" id="{EC5FDE5C-3A8B-09E8-04D6-D268D2A3042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67" name="Text Box 23" hidden="1">
          <a:extLst>
            <a:ext uri="{FF2B5EF4-FFF2-40B4-BE49-F238E27FC236}">
              <a16:creationId xmlns:a16="http://schemas.microsoft.com/office/drawing/2014/main" id="{09495327-6E23-4A26-0D63-DDB72C46EC9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66" name="Text Box 22" hidden="1">
          <a:extLst>
            <a:ext uri="{FF2B5EF4-FFF2-40B4-BE49-F238E27FC236}">
              <a16:creationId xmlns:a16="http://schemas.microsoft.com/office/drawing/2014/main" id="{2C7668FB-1AC1-AD2C-ED01-D36DD361EFBF}"/>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86" name="Text Box 42" hidden="1">
          <a:extLst>
            <a:ext uri="{FF2B5EF4-FFF2-40B4-BE49-F238E27FC236}">
              <a16:creationId xmlns:a16="http://schemas.microsoft.com/office/drawing/2014/main" id="{29434357-AA9E-666D-D4A1-C67D26147491}"/>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85" name="Text Box 41" hidden="1">
          <a:extLst>
            <a:ext uri="{FF2B5EF4-FFF2-40B4-BE49-F238E27FC236}">
              <a16:creationId xmlns:a16="http://schemas.microsoft.com/office/drawing/2014/main" id="{11E538A1-AFEC-B7E4-30C0-D34F57E1F38C}"/>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84" name="Text Box 40" hidden="1">
          <a:extLst>
            <a:ext uri="{FF2B5EF4-FFF2-40B4-BE49-F238E27FC236}">
              <a16:creationId xmlns:a16="http://schemas.microsoft.com/office/drawing/2014/main" id="{2F489F2C-52EF-BAF5-3783-5231B3CAAF2B}"/>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83" name="Text Box 39" hidden="1">
          <a:extLst>
            <a:ext uri="{FF2B5EF4-FFF2-40B4-BE49-F238E27FC236}">
              <a16:creationId xmlns:a16="http://schemas.microsoft.com/office/drawing/2014/main" id="{2D634691-93C8-6A13-8D15-790A8D1E5594}"/>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82" name="Text Box 38" hidden="1">
          <a:extLst>
            <a:ext uri="{FF2B5EF4-FFF2-40B4-BE49-F238E27FC236}">
              <a16:creationId xmlns:a16="http://schemas.microsoft.com/office/drawing/2014/main" id="{58521A23-05A7-2B16-11AD-F9D6F853D639}"/>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81" name="Text Box 37" hidden="1">
          <a:extLst>
            <a:ext uri="{FF2B5EF4-FFF2-40B4-BE49-F238E27FC236}">
              <a16:creationId xmlns:a16="http://schemas.microsoft.com/office/drawing/2014/main" id="{B27E1FD6-62DA-5DDE-4FC6-F5054A1BF805}"/>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80" name="Text Box 36" hidden="1">
          <a:extLst>
            <a:ext uri="{FF2B5EF4-FFF2-40B4-BE49-F238E27FC236}">
              <a16:creationId xmlns:a16="http://schemas.microsoft.com/office/drawing/2014/main" id="{E2B50238-E942-825C-ADD7-B7D6D33A58D2}"/>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79" name="Text Box 35" hidden="1">
          <a:extLst>
            <a:ext uri="{FF2B5EF4-FFF2-40B4-BE49-F238E27FC236}">
              <a16:creationId xmlns:a16="http://schemas.microsoft.com/office/drawing/2014/main" id="{171B5CE2-4D36-3558-1AD9-AB3B70D44505}"/>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78" name="Text Box 34" hidden="1">
          <a:extLst>
            <a:ext uri="{FF2B5EF4-FFF2-40B4-BE49-F238E27FC236}">
              <a16:creationId xmlns:a16="http://schemas.microsoft.com/office/drawing/2014/main" id="{230042F3-5723-3233-CF3B-230CE0745683}"/>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77" name="Text Box 33" hidden="1">
          <a:extLst>
            <a:ext uri="{FF2B5EF4-FFF2-40B4-BE49-F238E27FC236}">
              <a16:creationId xmlns:a16="http://schemas.microsoft.com/office/drawing/2014/main" id="{61202394-E43F-67D4-98C8-EA34D5704AD4}"/>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76" name="Text Box 32" hidden="1">
          <a:extLst>
            <a:ext uri="{FF2B5EF4-FFF2-40B4-BE49-F238E27FC236}">
              <a16:creationId xmlns:a16="http://schemas.microsoft.com/office/drawing/2014/main" id="{FE8EBA13-5913-B212-D46A-1823AD5B189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75" name="Text Box 31" hidden="1">
          <a:extLst>
            <a:ext uri="{FF2B5EF4-FFF2-40B4-BE49-F238E27FC236}">
              <a16:creationId xmlns:a16="http://schemas.microsoft.com/office/drawing/2014/main" id="{86D21C99-4080-D7A9-C0CE-E2FAC1D207A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74" name="Text Box 30" hidden="1">
          <a:extLst>
            <a:ext uri="{FF2B5EF4-FFF2-40B4-BE49-F238E27FC236}">
              <a16:creationId xmlns:a16="http://schemas.microsoft.com/office/drawing/2014/main" id="{7B460DDB-EADC-F701-6F9D-CC0C8CE6D10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73" name="Text Box 29" hidden="1">
          <a:extLst>
            <a:ext uri="{FF2B5EF4-FFF2-40B4-BE49-F238E27FC236}">
              <a16:creationId xmlns:a16="http://schemas.microsoft.com/office/drawing/2014/main" id="{BA476174-289D-A216-8E82-A1F7C01D1395}"/>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93" name="Text Box 49" hidden="1">
          <a:extLst>
            <a:ext uri="{FF2B5EF4-FFF2-40B4-BE49-F238E27FC236}">
              <a16:creationId xmlns:a16="http://schemas.microsoft.com/office/drawing/2014/main" id="{B2853B33-1564-C638-53EB-094D8BE0930B}"/>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92" name="Text Box 48" hidden="1">
          <a:extLst>
            <a:ext uri="{FF2B5EF4-FFF2-40B4-BE49-F238E27FC236}">
              <a16:creationId xmlns:a16="http://schemas.microsoft.com/office/drawing/2014/main" id="{BF39C2BF-F87F-6C66-B8FA-4A53AF70AA3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91" name="Text Box 47" hidden="1">
          <a:extLst>
            <a:ext uri="{FF2B5EF4-FFF2-40B4-BE49-F238E27FC236}">
              <a16:creationId xmlns:a16="http://schemas.microsoft.com/office/drawing/2014/main" id="{6ECC9101-DD32-7978-1FA8-853F35D65CFD}"/>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90" name="Text Box 46" hidden="1">
          <a:extLst>
            <a:ext uri="{FF2B5EF4-FFF2-40B4-BE49-F238E27FC236}">
              <a16:creationId xmlns:a16="http://schemas.microsoft.com/office/drawing/2014/main" id="{5E887195-7B22-6A1B-4859-58A1B4803A6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89" name="Text Box 45" hidden="1">
          <a:extLst>
            <a:ext uri="{FF2B5EF4-FFF2-40B4-BE49-F238E27FC236}">
              <a16:creationId xmlns:a16="http://schemas.microsoft.com/office/drawing/2014/main" id="{B00EDB4D-76DB-A1B8-EBE6-DC47ACCBB014}"/>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88" name="Text Box 44" hidden="1">
          <a:extLst>
            <a:ext uri="{FF2B5EF4-FFF2-40B4-BE49-F238E27FC236}">
              <a16:creationId xmlns:a16="http://schemas.microsoft.com/office/drawing/2014/main" id="{4A0770AF-B5D1-014F-8EC5-1B3D6E56B7D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87" name="Text Box 43" hidden="1">
          <a:extLst>
            <a:ext uri="{FF2B5EF4-FFF2-40B4-BE49-F238E27FC236}">
              <a16:creationId xmlns:a16="http://schemas.microsoft.com/office/drawing/2014/main" id="{271C6410-71C6-519C-88ED-D557A2641F34}"/>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800" name="Text Box 56" hidden="1">
          <a:extLst>
            <a:ext uri="{FF2B5EF4-FFF2-40B4-BE49-F238E27FC236}">
              <a16:creationId xmlns:a16="http://schemas.microsoft.com/office/drawing/2014/main" id="{498EE8E4-859B-EE91-4716-336D9874DC59}"/>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99" name="Text Box 55" hidden="1">
          <a:extLst>
            <a:ext uri="{FF2B5EF4-FFF2-40B4-BE49-F238E27FC236}">
              <a16:creationId xmlns:a16="http://schemas.microsoft.com/office/drawing/2014/main" id="{51A579C1-5FCB-944F-E30C-65E91B82F191}"/>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98" name="Text Box 54" hidden="1">
          <a:extLst>
            <a:ext uri="{FF2B5EF4-FFF2-40B4-BE49-F238E27FC236}">
              <a16:creationId xmlns:a16="http://schemas.microsoft.com/office/drawing/2014/main" id="{AE2B9C81-8BEA-0871-95B3-6ABB3D9904BC}"/>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102162</xdr:rowOff>
    </xdr:to>
    <xdr:sp macro="" textlink="">
      <xdr:nvSpPr>
        <xdr:cNvPr id="415797" name="Text Box 53" hidden="1">
          <a:extLst>
            <a:ext uri="{FF2B5EF4-FFF2-40B4-BE49-F238E27FC236}">
              <a16:creationId xmlns:a16="http://schemas.microsoft.com/office/drawing/2014/main" id="{227E4D7F-E3D4-5698-2815-46AD58D889A6}"/>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96" name="Text Box 52" hidden="1">
          <a:extLst>
            <a:ext uri="{FF2B5EF4-FFF2-40B4-BE49-F238E27FC236}">
              <a16:creationId xmlns:a16="http://schemas.microsoft.com/office/drawing/2014/main" id="{8A6D8814-B3A2-86FD-0DD1-5A10B414DD65}"/>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12565</xdr:rowOff>
    </xdr:to>
    <xdr:sp macro="" textlink="">
      <xdr:nvSpPr>
        <xdr:cNvPr id="415795" name="Text Box 51" hidden="1">
          <a:extLst>
            <a:ext uri="{FF2B5EF4-FFF2-40B4-BE49-F238E27FC236}">
              <a16:creationId xmlns:a16="http://schemas.microsoft.com/office/drawing/2014/main" id="{3278D10E-9335-AF37-4195-2AAE38610C41}"/>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94" name="Text Box 50" hidden="1">
          <a:extLst>
            <a:ext uri="{FF2B5EF4-FFF2-40B4-BE49-F238E27FC236}">
              <a16:creationId xmlns:a16="http://schemas.microsoft.com/office/drawing/2014/main" id="{817DE31B-1C11-38C1-EAD3-88B2DD3ACCEE}"/>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31</xdr:row>
      <xdr:rowOff>158750</xdr:rowOff>
    </xdr:to>
    <xdr:sp macro="" textlink="">
      <xdr:nvSpPr>
        <xdr:cNvPr id="416114" name="Text Box 370" hidden="1">
          <a:extLst>
            <a:ext uri="{FF2B5EF4-FFF2-40B4-BE49-F238E27FC236}">
              <a16:creationId xmlns:a16="http://schemas.microsoft.com/office/drawing/2014/main" id="{5976F137-68EE-437B-27C4-4561CEA8AADE}"/>
            </a:ext>
          </a:extLst>
        </xdr:cNvPr>
        <xdr:cNvSpPr txBox="1">
          <a:spLocks noChangeArrowheads="1"/>
        </xdr:cNvSpPr>
      </xdr:nvSpPr>
      <xdr:spPr bwMode="auto">
        <a:xfrm>
          <a:off x="15913100" y="3695700"/>
          <a:ext cx="32639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31</xdr:row>
      <xdr:rowOff>158750</xdr:rowOff>
    </xdr:to>
    <xdr:sp macro="" textlink="">
      <xdr:nvSpPr>
        <xdr:cNvPr id="416115" name="Text Box 371" hidden="1">
          <a:extLst>
            <a:ext uri="{FF2B5EF4-FFF2-40B4-BE49-F238E27FC236}">
              <a16:creationId xmlns:a16="http://schemas.microsoft.com/office/drawing/2014/main" id="{1372B9D4-C8D9-A259-DA09-4B3D4D66C11E}"/>
            </a:ext>
          </a:extLst>
        </xdr:cNvPr>
        <xdr:cNvSpPr txBox="1">
          <a:spLocks noChangeArrowheads="1"/>
        </xdr:cNvSpPr>
      </xdr:nvSpPr>
      <xdr:spPr bwMode="auto">
        <a:xfrm>
          <a:off x="16554450" y="3695700"/>
          <a:ext cx="35306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114300</xdr:rowOff>
    </xdr:from>
    <xdr:to>
      <xdr:col>7</xdr:col>
      <xdr:colOff>0</xdr:colOff>
      <xdr:row>35</xdr:row>
      <xdr:rowOff>158750</xdr:rowOff>
    </xdr:to>
    <xdr:sp macro="" textlink="">
      <xdr:nvSpPr>
        <xdr:cNvPr id="416254" name="Text Box 510" hidden="1">
          <a:extLst>
            <a:ext uri="{FF2B5EF4-FFF2-40B4-BE49-F238E27FC236}">
              <a16:creationId xmlns:a16="http://schemas.microsoft.com/office/drawing/2014/main" id="{3ED07E2A-A47F-2AB8-C95C-266CDBCDC25C}"/>
            </a:ext>
          </a:extLst>
        </xdr:cNvPr>
        <xdr:cNvSpPr txBox="1">
          <a:spLocks noChangeArrowheads="1"/>
        </xdr:cNvSpPr>
      </xdr:nvSpPr>
      <xdr:spPr bwMode="auto">
        <a:xfrm>
          <a:off x="3079750" y="4597400"/>
          <a:ext cx="3530600" cy="509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15</xdr:row>
      <xdr:rowOff>171450</xdr:rowOff>
    </xdr:from>
    <xdr:to>
      <xdr:col>7</xdr:col>
      <xdr:colOff>0</xdr:colOff>
      <xdr:row>36</xdr:row>
      <xdr:rowOff>25400</xdr:rowOff>
    </xdr:to>
    <xdr:sp macro="" textlink="">
      <xdr:nvSpPr>
        <xdr:cNvPr id="416255" name="Text Box 511" hidden="1">
          <a:extLst>
            <a:ext uri="{FF2B5EF4-FFF2-40B4-BE49-F238E27FC236}">
              <a16:creationId xmlns:a16="http://schemas.microsoft.com/office/drawing/2014/main" id="{FEB175DC-E58F-2414-258D-90253A6B560C}"/>
            </a:ext>
          </a:extLst>
        </xdr:cNvPr>
        <xdr:cNvSpPr txBox="1">
          <a:spLocks noChangeArrowheads="1"/>
        </xdr:cNvSpPr>
      </xdr:nvSpPr>
      <xdr:spPr bwMode="auto">
        <a:xfrm>
          <a:off x="3079750" y="4838700"/>
          <a:ext cx="3530600" cy="496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86518</xdr:rowOff>
    </xdr:from>
    <xdr:to>
      <xdr:col>28</xdr:col>
      <xdr:colOff>133350</xdr:colOff>
      <xdr:row>48</xdr:row>
      <xdr:rowOff>65088</xdr:rowOff>
    </xdr:to>
    <xdr:sp macro="" textlink="">
      <xdr:nvSpPr>
        <xdr:cNvPr id="416256" name="Text Box 512" hidden="1">
          <a:extLst>
            <a:ext uri="{FF2B5EF4-FFF2-40B4-BE49-F238E27FC236}">
              <a16:creationId xmlns:a16="http://schemas.microsoft.com/office/drawing/2014/main" id="{7CC0906A-4AE0-BA70-FD99-372ED2677A29}"/>
            </a:ext>
          </a:extLst>
        </xdr:cNvPr>
        <xdr:cNvSpPr txBox="1">
          <a:spLocks noChangeArrowheads="1"/>
        </xdr:cNvSpPr>
      </xdr:nvSpPr>
      <xdr:spPr bwMode="auto">
        <a:xfrm>
          <a:off x="16554450" y="7696200"/>
          <a:ext cx="35115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27</xdr:row>
      <xdr:rowOff>86518</xdr:rowOff>
    </xdr:from>
    <xdr:to>
      <xdr:col>45</xdr:col>
      <xdr:colOff>647700</xdr:colOff>
      <xdr:row>48</xdr:row>
      <xdr:rowOff>65088</xdr:rowOff>
    </xdr:to>
    <xdr:sp macro="" textlink="">
      <xdr:nvSpPr>
        <xdr:cNvPr id="416257" name="Text Box 513" hidden="1">
          <a:extLst>
            <a:ext uri="{FF2B5EF4-FFF2-40B4-BE49-F238E27FC236}">
              <a16:creationId xmlns:a16="http://schemas.microsoft.com/office/drawing/2014/main" id="{53C6B3E1-3815-BE41-FDA8-EC1301077BBF}"/>
            </a:ext>
          </a:extLst>
        </xdr:cNvPr>
        <xdr:cNvSpPr txBox="1">
          <a:spLocks noChangeArrowheads="1"/>
        </xdr:cNvSpPr>
      </xdr:nvSpPr>
      <xdr:spPr bwMode="auto">
        <a:xfrm>
          <a:off x="29171900" y="7696200"/>
          <a:ext cx="43624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28</xdr:row>
      <xdr:rowOff>65087</xdr:rowOff>
    </xdr:from>
    <xdr:to>
      <xdr:col>27</xdr:col>
      <xdr:colOff>133350</xdr:colOff>
      <xdr:row>49</xdr:row>
      <xdr:rowOff>82550</xdr:rowOff>
    </xdr:to>
    <xdr:sp macro="" textlink="">
      <xdr:nvSpPr>
        <xdr:cNvPr id="416258" name="Text Box 514" hidden="1">
          <a:extLst>
            <a:ext uri="{FF2B5EF4-FFF2-40B4-BE49-F238E27FC236}">
              <a16:creationId xmlns:a16="http://schemas.microsoft.com/office/drawing/2014/main" id="{AFF69815-0EFC-78E2-B4FE-388868682563}"/>
            </a:ext>
          </a:extLst>
        </xdr:cNvPr>
        <xdr:cNvSpPr txBox="1">
          <a:spLocks noChangeArrowheads="1"/>
        </xdr:cNvSpPr>
      </xdr:nvSpPr>
      <xdr:spPr bwMode="auto">
        <a:xfrm>
          <a:off x="15913100" y="7918450"/>
          <a:ext cx="324485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483658</xdr:colOff>
      <xdr:row>21</xdr:row>
      <xdr:rowOff>102446</xdr:rowOff>
    </xdr:from>
    <xdr:to>
      <xdr:col>5</xdr:col>
      <xdr:colOff>45509</xdr:colOff>
      <xdr:row>24</xdr:row>
      <xdr:rowOff>101952</xdr:rowOff>
    </xdr:to>
    <xdr:sp macro="" textlink="">
      <xdr:nvSpPr>
        <xdr:cNvPr id="108546" name="Text Box 2" hidden="1">
          <a:extLst>
            <a:ext uri="{FF2B5EF4-FFF2-40B4-BE49-F238E27FC236}">
              <a16:creationId xmlns:a16="http://schemas.microsoft.com/office/drawing/2014/main" id="{900E1889-D4EE-4029-9358-E4D26DF5A003}"/>
            </a:ext>
          </a:extLst>
        </xdr:cNvPr>
        <xdr:cNvSpPr txBox="1">
          <a:spLocks noChangeArrowheads="1"/>
        </xdr:cNvSpPr>
      </xdr:nvSpPr>
      <xdr:spPr bwMode="auto">
        <a:xfrm>
          <a:off x="4762500" y="4312920"/>
          <a:ext cx="127254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108551" name="Text Box 7" hidden="1">
          <a:extLst>
            <a:ext uri="{FF2B5EF4-FFF2-40B4-BE49-F238E27FC236}">
              <a16:creationId xmlns:a16="http://schemas.microsoft.com/office/drawing/2014/main" id="{6E178364-2A9F-41BB-B410-0297935D84D3}"/>
            </a:ext>
          </a:extLst>
        </xdr:cNvPr>
        <xdr:cNvSpPr txBox="1">
          <a:spLocks noChangeArrowheads="1"/>
        </xdr:cNvSpPr>
      </xdr:nvSpPr>
      <xdr:spPr bwMode="auto">
        <a:xfrm>
          <a:off x="3794760" y="5234940"/>
          <a:ext cx="125730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483658</xdr:colOff>
      <xdr:row>21</xdr:row>
      <xdr:rowOff>102446</xdr:rowOff>
    </xdr:from>
    <xdr:to>
      <xdr:col>5</xdr:col>
      <xdr:colOff>45509</xdr:colOff>
      <xdr:row>24</xdr:row>
      <xdr:rowOff>101952</xdr:rowOff>
    </xdr:to>
    <xdr:sp macro="" textlink="">
      <xdr:nvSpPr>
        <xdr:cNvPr id="256002" name="Text Box 2" hidden="1">
          <a:extLst>
            <a:ext uri="{FF2B5EF4-FFF2-40B4-BE49-F238E27FC236}">
              <a16:creationId xmlns:a16="http://schemas.microsoft.com/office/drawing/2014/main" id="{3BCD75F0-92D3-4413-9A62-3F2B2595D15F}"/>
            </a:ext>
          </a:extLst>
        </xdr:cNvPr>
        <xdr:cNvSpPr txBox="1">
          <a:spLocks noChangeArrowheads="1"/>
        </xdr:cNvSpPr>
      </xdr:nvSpPr>
      <xdr:spPr bwMode="auto">
        <a:xfrm>
          <a:off x="4638675" y="4457700"/>
          <a:ext cx="1228725"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256001" name="Text Box 1" hidden="1">
          <a:extLst>
            <a:ext uri="{FF2B5EF4-FFF2-40B4-BE49-F238E27FC236}">
              <a16:creationId xmlns:a16="http://schemas.microsoft.com/office/drawing/2014/main" id="{F2A004A8-8BFB-49A9-BCB6-B57380CB3CBF}"/>
            </a:ext>
          </a:extLst>
        </xdr:cNvPr>
        <xdr:cNvSpPr txBox="1">
          <a:spLocks noChangeArrowheads="1"/>
        </xdr:cNvSpPr>
      </xdr:nvSpPr>
      <xdr:spPr bwMode="auto">
        <a:xfrm>
          <a:off x="3686175" y="5400675"/>
          <a:ext cx="122872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22</xdr:row>
      <xdr:rowOff>57150</xdr:rowOff>
    </xdr:from>
    <xdr:to>
      <xdr:col>3</xdr:col>
      <xdr:colOff>492548</xdr:colOff>
      <xdr:row>26</xdr:row>
      <xdr:rowOff>9594</xdr:rowOff>
    </xdr:to>
    <xdr:sp macro="" textlink="">
      <xdr:nvSpPr>
        <xdr:cNvPr id="256005" name="Text Box 5" hidden="1">
          <a:extLst>
            <a:ext uri="{FF2B5EF4-FFF2-40B4-BE49-F238E27FC236}">
              <a16:creationId xmlns:a16="http://schemas.microsoft.com/office/drawing/2014/main" id="{328A59C4-6FDA-4AD2-BE7A-25E8C6DC11B5}"/>
            </a:ext>
          </a:extLst>
        </xdr:cNvPr>
        <xdr:cNvSpPr txBox="1">
          <a:spLocks noChangeArrowheads="1"/>
        </xdr:cNvSpPr>
      </xdr:nvSpPr>
      <xdr:spPr bwMode="auto">
        <a:xfrm>
          <a:off x="3752850" y="4695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6" name="Text Box 6" hidden="1">
          <a:extLst>
            <a:ext uri="{FF2B5EF4-FFF2-40B4-BE49-F238E27FC236}">
              <a16:creationId xmlns:a16="http://schemas.microsoft.com/office/drawing/2014/main" id="{B654904C-473D-4E82-B418-6833052CBE3F}"/>
            </a:ext>
          </a:extLst>
        </xdr:cNvPr>
        <xdr:cNvSpPr txBox="1">
          <a:spLocks noChangeArrowheads="1"/>
        </xdr:cNvSpPr>
      </xdr:nvSpPr>
      <xdr:spPr bwMode="auto">
        <a:xfrm>
          <a:off x="375285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7" name="Text Box 7" hidden="1">
          <a:extLst>
            <a:ext uri="{FF2B5EF4-FFF2-40B4-BE49-F238E27FC236}">
              <a16:creationId xmlns:a16="http://schemas.microsoft.com/office/drawing/2014/main" id="{76380ABA-64CB-43E9-81D2-449849275894}"/>
            </a:ext>
          </a:extLst>
        </xdr:cNvPr>
        <xdr:cNvSpPr txBox="1">
          <a:spLocks noChangeArrowheads="1"/>
        </xdr:cNvSpPr>
      </xdr:nvSpPr>
      <xdr:spPr bwMode="auto">
        <a:xfrm>
          <a:off x="385572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8" name="Text Box 8" hidden="1">
          <a:extLst>
            <a:ext uri="{FF2B5EF4-FFF2-40B4-BE49-F238E27FC236}">
              <a16:creationId xmlns:a16="http://schemas.microsoft.com/office/drawing/2014/main" id="{D9D2912B-38B1-4B89-9F5C-86AEE60BF522}"/>
            </a:ext>
          </a:extLst>
        </xdr:cNvPr>
        <xdr:cNvSpPr txBox="1">
          <a:spLocks noChangeArrowheads="1"/>
        </xdr:cNvSpPr>
      </xdr:nvSpPr>
      <xdr:spPr bwMode="auto">
        <a:xfrm>
          <a:off x="384810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464608</xdr:colOff>
      <xdr:row>21</xdr:row>
      <xdr:rowOff>221897</xdr:rowOff>
    </xdr:to>
    <xdr:sp macro="" textlink="">
      <xdr:nvSpPr>
        <xdr:cNvPr id="256009" name="Text Box 9" hidden="1">
          <a:extLst>
            <a:ext uri="{FF2B5EF4-FFF2-40B4-BE49-F238E27FC236}">
              <a16:creationId xmlns:a16="http://schemas.microsoft.com/office/drawing/2014/main" id="{7DEB3C0F-3C4D-48E8-B366-F7721C0F7129}"/>
            </a:ext>
          </a:extLst>
        </xdr:cNvPr>
        <xdr:cNvSpPr txBox="1">
          <a:spLocks noChangeArrowheads="1"/>
        </xdr:cNvSpPr>
      </xdr:nvSpPr>
      <xdr:spPr bwMode="auto">
        <a:xfrm>
          <a:off x="373380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0" name="Text Box 10" hidden="1">
          <a:extLst>
            <a:ext uri="{FF2B5EF4-FFF2-40B4-BE49-F238E27FC236}">
              <a16:creationId xmlns:a16="http://schemas.microsoft.com/office/drawing/2014/main" id="{84FC4EC6-831B-4D6C-90C5-FBEABEA68D4C}"/>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1" name="Text Box 11" hidden="1">
          <a:extLst>
            <a:ext uri="{FF2B5EF4-FFF2-40B4-BE49-F238E27FC236}">
              <a16:creationId xmlns:a16="http://schemas.microsoft.com/office/drawing/2014/main" id="{22F9C6AA-B4C6-46C1-9D41-EA05023379D5}"/>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2" name="Text Box 12" hidden="1">
          <a:extLst>
            <a:ext uri="{FF2B5EF4-FFF2-40B4-BE49-F238E27FC236}">
              <a16:creationId xmlns:a16="http://schemas.microsoft.com/office/drawing/2014/main" id="{DDED9C77-7325-48A9-8CD0-FEA399E34F19}"/>
            </a:ext>
          </a:extLst>
        </xdr:cNvPr>
        <xdr:cNvSpPr txBox="1">
          <a:spLocks noChangeArrowheads="1"/>
        </xdr:cNvSpPr>
      </xdr:nvSpPr>
      <xdr:spPr bwMode="auto">
        <a:xfrm>
          <a:off x="3832860" y="3985260"/>
          <a:ext cx="1409700" cy="4800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3" name="Text Box 13" hidden="1">
          <a:extLst>
            <a:ext uri="{FF2B5EF4-FFF2-40B4-BE49-F238E27FC236}">
              <a16:creationId xmlns:a16="http://schemas.microsoft.com/office/drawing/2014/main" id="{1D6851AD-3363-46A4-B2B7-549A514B762A}"/>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4" name="Text Box 14" hidden="1">
          <a:extLst>
            <a:ext uri="{FF2B5EF4-FFF2-40B4-BE49-F238E27FC236}">
              <a16:creationId xmlns:a16="http://schemas.microsoft.com/office/drawing/2014/main" id="{D76B6E1A-7425-4B8B-B4B1-964E6955A688}"/>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5" name="Text Box 15" hidden="1">
          <a:extLst>
            <a:ext uri="{FF2B5EF4-FFF2-40B4-BE49-F238E27FC236}">
              <a16:creationId xmlns:a16="http://schemas.microsoft.com/office/drawing/2014/main" id="{97F82287-25DD-41DB-BB3B-3A173A579629}"/>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217875</xdr:rowOff>
    </xdr:from>
    <xdr:to>
      <xdr:col>3</xdr:col>
      <xdr:colOff>464608</xdr:colOff>
      <xdr:row>22</xdr:row>
      <xdr:rowOff>216816</xdr:rowOff>
    </xdr:to>
    <xdr:sp macro="" textlink="">
      <xdr:nvSpPr>
        <xdr:cNvPr id="256016" name="Text Box 16" hidden="1">
          <a:extLst>
            <a:ext uri="{FF2B5EF4-FFF2-40B4-BE49-F238E27FC236}">
              <a16:creationId xmlns:a16="http://schemas.microsoft.com/office/drawing/2014/main" id="{076ECF08-B952-4940-9F0E-40D9161D6FEB}"/>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226342</xdr:rowOff>
    </xdr:from>
    <xdr:to>
      <xdr:col>3</xdr:col>
      <xdr:colOff>464608</xdr:colOff>
      <xdr:row>22</xdr:row>
      <xdr:rowOff>217875</xdr:rowOff>
    </xdr:to>
    <xdr:sp macro="" textlink="">
      <xdr:nvSpPr>
        <xdr:cNvPr id="256017" name="Text Box 17" hidden="1">
          <a:extLst>
            <a:ext uri="{FF2B5EF4-FFF2-40B4-BE49-F238E27FC236}">
              <a16:creationId xmlns:a16="http://schemas.microsoft.com/office/drawing/2014/main" id="{5EE8F155-5599-46F0-A518-3F02323F6B20}"/>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199672</xdr:rowOff>
    </xdr:from>
    <xdr:to>
      <xdr:col>3</xdr:col>
      <xdr:colOff>464608</xdr:colOff>
      <xdr:row>22</xdr:row>
      <xdr:rowOff>216605</xdr:rowOff>
    </xdr:to>
    <xdr:sp macro="" textlink="">
      <xdr:nvSpPr>
        <xdr:cNvPr id="256018" name="Text Box 18" hidden="1">
          <a:extLst>
            <a:ext uri="{FF2B5EF4-FFF2-40B4-BE49-F238E27FC236}">
              <a16:creationId xmlns:a16="http://schemas.microsoft.com/office/drawing/2014/main" id="{21D181B2-1ECB-4075-8308-5AA626D16D90}"/>
            </a:ext>
          </a:extLst>
        </xdr:cNvPr>
        <xdr:cNvSpPr txBox="1">
          <a:spLocks noChangeArrowheads="1"/>
        </xdr:cNvSpPr>
      </xdr:nvSpPr>
      <xdr:spPr bwMode="auto">
        <a:xfrm>
          <a:off x="3860800" y="4203700"/>
          <a:ext cx="1435100" cy="55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46566</xdr:rowOff>
    </xdr:to>
    <xdr:sp macro="" textlink="">
      <xdr:nvSpPr>
        <xdr:cNvPr id="256019" name="Text Box 19" hidden="1">
          <a:extLst>
            <a:ext uri="{FF2B5EF4-FFF2-40B4-BE49-F238E27FC236}">
              <a16:creationId xmlns:a16="http://schemas.microsoft.com/office/drawing/2014/main" id="{D15EB188-D9FA-411A-9EEC-351DF119091E}"/>
            </a:ext>
          </a:extLst>
        </xdr:cNvPr>
        <xdr:cNvSpPr txBox="1">
          <a:spLocks noChangeArrowheads="1"/>
        </xdr:cNvSpPr>
      </xdr:nvSpPr>
      <xdr:spPr bwMode="auto">
        <a:xfrm>
          <a:off x="3860800" y="2921000"/>
          <a:ext cx="143510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0" name="Text Box 20" hidden="1">
          <a:extLst>
            <a:ext uri="{FF2B5EF4-FFF2-40B4-BE49-F238E27FC236}">
              <a16:creationId xmlns:a16="http://schemas.microsoft.com/office/drawing/2014/main" id="{FE3A46FA-0211-46B9-9A76-C3236C68F01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1" name="Text Box 21" hidden="1">
          <a:extLst>
            <a:ext uri="{FF2B5EF4-FFF2-40B4-BE49-F238E27FC236}">
              <a16:creationId xmlns:a16="http://schemas.microsoft.com/office/drawing/2014/main" id="{03B35F61-803B-414C-AA7C-572C93B5B17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2" name="Text Box 22" hidden="1">
          <a:extLst>
            <a:ext uri="{FF2B5EF4-FFF2-40B4-BE49-F238E27FC236}">
              <a16:creationId xmlns:a16="http://schemas.microsoft.com/office/drawing/2014/main" id="{CFDBACB4-263B-4BB1-A01F-B0EEE79938A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5" name="Text Box 25" hidden="1">
          <a:extLst>
            <a:ext uri="{FF2B5EF4-FFF2-40B4-BE49-F238E27FC236}">
              <a16:creationId xmlns:a16="http://schemas.microsoft.com/office/drawing/2014/main" id="{FD08C76C-13FB-4AD2-967E-4A40998ABC49}"/>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4" name="Text Box 24" hidden="1">
          <a:extLst>
            <a:ext uri="{FF2B5EF4-FFF2-40B4-BE49-F238E27FC236}">
              <a16:creationId xmlns:a16="http://schemas.microsoft.com/office/drawing/2014/main" id="{45125E05-B1B2-4D55-8353-F21C5AEFC12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3" name="Text Box 23" hidden="1">
          <a:extLst>
            <a:ext uri="{FF2B5EF4-FFF2-40B4-BE49-F238E27FC236}">
              <a16:creationId xmlns:a16="http://schemas.microsoft.com/office/drawing/2014/main" id="{EFC6E660-4234-49C4-9C4F-62A6A9B8A77D}"/>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8" name="Text Box 28" hidden="1">
          <a:extLst>
            <a:ext uri="{FF2B5EF4-FFF2-40B4-BE49-F238E27FC236}">
              <a16:creationId xmlns:a16="http://schemas.microsoft.com/office/drawing/2014/main" id="{58356043-98C7-4E77-95D5-7523213E47FF}"/>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7" name="Text Box 27" hidden="1">
          <a:extLst>
            <a:ext uri="{FF2B5EF4-FFF2-40B4-BE49-F238E27FC236}">
              <a16:creationId xmlns:a16="http://schemas.microsoft.com/office/drawing/2014/main" id="{4DBF4FB8-B46C-471A-9EFA-FACFAF8B8E4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6" name="Text Box 26" hidden="1">
          <a:extLst>
            <a:ext uri="{FF2B5EF4-FFF2-40B4-BE49-F238E27FC236}">
              <a16:creationId xmlns:a16="http://schemas.microsoft.com/office/drawing/2014/main" id="{21B4DC36-EEBC-45B6-8598-133AD7A0377C}"/>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9" name="Text Box 29" hidden="1">
          <a:extLst>
            <a:ext uri="{FF2B5EF4-FFF2-40B4-BE49-F238E27FC236}">
              <a16:creationId xmlns:a16="http://schemas.microsoft.com/office/drawing/2014/main" id="{751B28B0-6F37-4047-BA56-03B094FCDAC6}"/>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0" name="Text Box 30" hidden="1">
          <a:extLst>
            <a:ext uri="{FF2B5EF4-FFF2-40B4-BE49-F238E27FC236}">
              <a16:creationId xmlns:a16="http://schemas.microsoft.com/office/drawing/2014/main" id="{0ED066DE-B462-4739-A319-B269BF38D925}"/>
            </a:ext>
          </a:extLst>
        </xdr:cNvPr>
        <xdr:cNvSpPr txBox="1">
          <a:spLocks noChangeArrowheads="1"/>
        </xdr:cNvSpPr>
      </xdr:nvSpPr>
      <xdr:spPr bwMode="auto">
        <a:xfrm>
          <a:off x="3832860" y="2903220"/>
          <a:ext cx="140970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1" name="Text Box 31" hidden="1">
          <a:extLst>
            <a:ext uri="{FF2B5EF4-FFF2-40B4-BE49-F238E27FC236}">
              <a16:creationId xmlns:a16="http://schemas.microsoft.com/office/drawing/2014/main" id="{41EA70D7-D237-445E-ADD6-79BE780C1958}"/>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2" name="Text Box 32" hidden="1">
          <a:extLst>
            <a:ext uri="{FF2B5EF4-FFF2-40B4-BE49-F238E27FC236}">
              <a16:creationId xmlns:a16="http://schemas.microsoft.com/office/drawing/2014/main" id="{725D078F-9263-4FE4-9A8C-4BAC1814A12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3" name="Text Box 33" hidden="1">
          <a:extLst>
            <a:ext uri="{FF2B5EF4-FFF2-40B4-BE49-F238E27FC236}">
              <a16:creationId xmlns:a16="http://schemas.microsoft.com/office/drawing/2014/main" id="{C0C50E55-1475-47AA-93D7-D98B491D1E9F}"/>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4" name="Text Box 34" hidden="1">
          <a:extLst>
            <a:ext uri="{FF2B5EF4-FFF2-40B4-BE49-F238E27FC236}">
              <a16:creationId xmlns:a16="http://schemas.microsoft.com/office/drawing/2014/main" id="{87498CA8-FA23-48E2-A7CB-A6600F7398B1}"/>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17</xdr:row>
      <xdr:rowOff>151341</xdr:rowOff>
    </xdr:from>
    <xdr:to>
      <xdr:col>3</xdr:col>
      <xdr:colOff>312208</xdr:colOff>
      <xdr:row>21</xdr:row>
      <xdr:rowOff>142875</xdr:rowOff>
    </xdr:to>
    <xdr:sp macro="" textlink="">
      <xdr:nvSpPr>
        <xdr:cNvPr id="256035" name="Text Box 35" hidden="1">
          <a:extLst>
            <a:ext uri="{FF2B5EF4-FFF2-40B4-BE49-F238E27FC236}">
              <a16:creationId xmlns:a16="http://schemas.microsoft.com/office/drawing/2014/main" id="{9BE6D443-0576-406F-B703-F89F54405A79}"/>
            </a:ext>
          </a:extLst>
        </xdr:cNvPr>
        <xdr:cNvSpPr txBox="1">
          <a:spLocks noChangeArrowheads="1"/>
        </xdr:cNvSpPr>
      </xdr:nvSpPr>
      <xdr:spPr bwMode="auto">
        <a:xfrm>
          <a:off x="3714750" y="364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6" name="Text Box 2" hidden="1">
          <a:extLst>
            <a:ext uri="{FF2B5EF4-FFF2-40B4-BE49-F238E27FC236}">
              <a16:creationId xmlns:a16="http://schemas.microsoft.com/office/drawing/2014/main" id="{3D2F1FBB-10F3-4DA5-8E17-9015E6050C88}"/>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7" name="Text Box 3" hidden="1">
          <a:extLst>
            <a:ext uri="{FF2B5EF4-FFF2-40B4-BE49-F238E27FC236}">
              <a16:creationId xmlns:a16="http://schemas.microsoft.com/office/drawing/2014/main" id="{74D3E717-6D2A-4506-8395-67FE19DF98EC}"/>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8" name="Text Box 4" hidden="1">
          <a:extLst>
            <a:ext uri="{FF2B5EF4-FFF2-40B4-BE49-F238E27FC236}">
              <a16:creationId xmlns:a16="http://schemas.microsoft.com/office/drawing/2014/main" id="{AECA57F0-4CDD-41A0-AEA8-ECFA73E556DB}"/>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9" name="Text Box 5" hidden="1">
          <a:extLst>
            <a:ext uri="{FF2B5EF4-FFF2-40B4-BE49-F238E27FC236}">
              <a16:creationId xmlns:a16="http://schemas.microsoft.com/office/drawing/2014/main" id="{8758B5AB-9953-4E63-BE4B-73387FC2F4D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90" name="Text Box 6" hidden="1">
          <a:extLst>
            <a:ext uri="{FF2B5EF4-FFF2-40B4-BE49-F238E27FC236}">
              <a16:creationId xmlns:a16="http://schemas.microsoft.com/office/drawing/2014/main" id="{7E6DB084-5544-4AFD-AE73-3693FF5FBB82}"/>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3" name="Text Box 1" hidden="1">
          <a:extLst>
            <a:ext uri="{FF2B5EF4-FFF2-40B4-BE49-F238E27FC236}">
              <a16:creationId xmlns:a16="http://schemas.microsoft.com/office/drawing/2014/main" id="{25D695A5-FE04-4F9D-833B-D567F1944B76}"/>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4" name="Text Box 2" hidden="1">
          <a:extLst>
            <a:ext uri="{FF2B5EF4-FFF2-40B4-BE49-F238E27FC236}">
              <a16:creationId xmlns:a16="http://schemas.microsoft.com/office/drawing/2014/main" id="{BE268C70-B43A-44B4-8E5C-A316AB1478C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5" name="Text Box 3" hidden="1">
          <a:extLst>
            <a:ext uri="{FF2B5EF4-FFF2-40B4-BE49-F238E27FC236}">
              <a16:creationId xmlns:a16="http://schemas.microsoft.com/office/drawing/2014/main" id="{56070536-FDEA-70DC-6080-CD0A56765E77}"/>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10276" name="Text Box 4" hidden="1">
          <a:extLst>
            <a:ext uri="{FF2B5EF4-FFF2-40B4-BE49-F238E27FC236}">
              <a16:creationId xmlns:a16="http://schemas.microsoft.com/office/drawing/2014/main" id="{EE7E513A-1B65-E13A-3BB9-EBC95F11BDD4}"/>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4" name="Text Box 2" hidden="1">
          <a:extLst>
            <a:ext uri="{FF2B5EF4-FFF2-40B4-BE49-F238E27FC236}">
              <a16:creationId xmlns:a16="http://schemas.microsoft.com/office/drawing/2014/main" id="{63717356-803E-0657-5CA3-1D0D0408C93E}"/>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3" name="Text Box 1" hidden="1">
          <a:extLst>
            <a:ext uri="{FF2B5EF4-FFF2-40B4-BE49-F238E27FC236}">
              <a16:creationId xmlns:a16="http://schemas.microsoft.com/office/drawing/2014/main" id="{700889A4-8198-6B6D-B6AF-F593420036BD}"/>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5" name="Text Box 3" hidden="1">
          <a:extLst>
            <a:ext uri="{FF2B5EF4-FFF2-40B4-BE49-F238E27FC236}">
              <a16:creationId xmlns:a16="http://schemas.microsoft.com/office/drawing/2014/main" id="{784C5296-80C2-EA69-153B-D687F4684F18}"/>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6" name="Text Box 4" hidden="1">
          <a:extLst>
            <a:ext uri="{FF2B5EF4-FFF2-40B4-BE49-F238E27FC236}">
              <a16:creationId xmlns:a16="http://schemas.microsoft.com/office/drawing/2014/main" id="{160561DA-B7AE-E418-6D4F-ED8C73B537C2}"/>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7" name="Text Box 5" hidden="1">
          <a:extLst>
            <a:ext uri="{FF2B5EF4-FFF2-40B4-BE49-F238E27FC236}">
              <a16:creationId xmlns:a16="http://schemas.microsoft.com/office/drawing/2014/main" id="{32CA18D5-05AC-2E8E-7611-80B09046E5A2}"/>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9" name="Text Box 7" hidden="1">
          <a:extLst>
            <a:ext uri="{FF2B5EF4-FFF2-40B4-BE49-F238E27FC236}">
              <a16:creationId xmlns:a16="http://schemas.microsoft.com/office/drawing/2014/main" id="{C1B10AA7-4D92-F71B-B79E-2CE630A8AEEF}"/>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8" name="Text Box 6" hidden="1">
          <a:extLst>
            <a:ext uri="{FF2B5EF4-FFF2-40B4-BE49-F238E27FC236}">
              <a16:creationId xmlns:a16="http://schemas.microsoft.com/office/drawing/2014/main" id="{782CFB5E-29B8-1A8D-3440-F8E80569A46C}"/>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1" name="Text Box 9" hidden="1">
          <a:extLst>
            <a:ext uri="{FF2B5EF4-FFF2-40B4-BE49-F238E27FC236}">
              <a16:creationId xmlns:a16="http://schemas.microsoft.com/office/drawing/2014/main" id="{802ACE7E-8BE3-07DB-09A0-9AC7A58193B1}"/>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0" name="Text Box 8" hidden="1">
          <a:extLst>
            <a:ext uri="{FF2B5EF4-FFF2-40B4-BE49-F238E27FC236}">
              <a16:creationId xmlns:a16="http://schemas.microsoft.com/office/drawing/2014/main" id="{87754F5A-086A-7820-985D-AE2E09FA5E5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5" name="Text Box 13" hidden="1">
          <a:extLst>
            <a:ext uri="{FF2B5EF4-FFF2-40B4-BE49-F238E27FC236}">
              <a16:creationId xmlns:a16="http://schemas.microsoft.com/office/drawing/2014/main" id="{EDD6A8BF-002D-480A-6C33-964F6A86FE04}"/>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4" name="Text Box 12" hidden="1">
          <a:extLst>
            <a:ext uri="{FF2B5EF4-FFF2-40B4-BE49-F238E27FC236}">
              <a16:creationId xmlns:a16="http://schemas.microsoft.com/office/drawing/2014/main" id="{72168D1D-F789-4EF1-4624-D79DE27DE704}"/>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3" name="Text Box 11" hidden="1">
          <a:extLst>
            <a:ext uri="{FF2B5EF4-FFF2-40B4-BE49-F238E27FC236}">
              <a16:creationId xmlns:a16="http://schemas.microsoft.com/office/drawing/2014/main" id="{50AF7AD4-6A56-B4DC-94C2-6D0AC61B53C2}"/>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2" name="Text Box 10" hidden="1">
          <a:extLst>
            <a:ext uri="{FF2B5EF4-FFF2-40B4-BE49-F238E27FC236}">
              <a16:creationId xmlns:a16="http://schemas.microsoft.com/office/drawing/2014/main" id="{159D9B6D-25BD-AD8C-15CD-20852D42FB58}"/>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7" name="Text Box 15" hidden="1">
          <a:extLst>
            <a:ext uri="{FF2B5EF4-FFF2-40B4-BE49-F238E27FC236}">
              <a16:creationId xmlns:a16="http://schemas.microsoft.com/office/drawing/2014/main" id="{A22D2B44-5459-6885-ABDD-40ACFD8D5D57}"/>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6" name="Text Box 14" hidden="1">
          <a:extLst>
            <a:ext uri="{FF2B5EF4-FFF2-40B4-BE49-F238E27FC236}">
              <a16:creationId xmlns:a16="http://schemas.microsoft.com/office/drawing/2014/main" id="{AE2BC495-F16A-D49E-A7DC-8B2819D60F20}"/>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9" name="Text Box 17" hidden="1">
          <a:extLst>
            <a:ext uri="{FF2B5EF4-FFF2-40B4-BE49-F238E27FC236}">
              <a16:creationId xmlns:a16="http://schemas.microsoft.com/office/drawing/2014/main" id="{4FCE6BF4-5183-4889-D13E-2DCBF1C5229E}"/>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8" name="Text Box 16" hidden="1">
          <a:extLst>
            <a:ext uri="{FF2B5EF4-FFF2-40B4-BE49-F238E27FC236}">
              <a16:creationId xmlns:a16="http://schemas.microsoft.com/office/drawing/2014/main" id="{728E7E35-945C-F906-62C9-F58FDFFC023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0" name="Text Box 18" hidden="1">
          <a:extLst>
            <a:ext uri="{FF2B5EF4-FFF2-40B4-BE49-F238E27FC236}">
              <a16:creationId xmlns:a16="http://schemas.microsoft.com/office/drawing/2014/main" id="{BE19CDA2-A647-8661-9A3A-06CF0EAA1B00}"/>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33" name="Text Box 21" hidden="1">
          <a:extLst>
            <a:ext uri="{FF2B5EF4-FFF2-40B4-BE49-F238E27FC236}">
              <a16:creationId xmlns:a16="http://schemas.microsoft.com/office/drawing/2014/main" id="{A047B2E2-A35A-8726-65FB-FD36B9DB5E5A}"/>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2" name="Text Box 20" hidden="1">
          <a:extLst>
            <a:ext uri="{FF2B5EF4-FFF2-40B4-BE49-F238E27FC236}">
              <a16:creationId xmlns:a16="http://schemas.microsoft.com/office/drawing/2014/main" id="{AD42D4AA-8E89-B4FE-163B-FA721358CD6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1" name="Text Box 19" hidden="1">
          <a:extLst>
            <a:ext uri="{FF2B5EF4-FFF2-40B4-BE49-F238E27FC236}">
              <a16:creationId xmlns:a16="http://schemas.microsoft.com/office/drawing/2014/main" id="{7A6F45D2-A663-1AB2-53D4-C83950094EFE}"/>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36" name="Text Box 24" hidden="1">
          <a:extLst>
            <a:ext uri="{FF2B5EF4-FFF2-40B4-BE49-F238E27FC236}">
              <a16:creationId xmlns:a16="http://schemas.microsoft.com/office/drawing/2014/main" id="{2F7ACA5B-4082-3502-AC41-ADDD45025A03}"/>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5" name="Text Box 23" hidden="1">
          <a:extLst>
            <a:ext uri="{FF2B5EF4-FFF2-40B4-BE49-F238E27FC236}">
              <a16:creationId xmlns:a16="http://schemas.microsoft.com/office/drawing/2014/main" id="{CB95E849-9166-CB5D-A8DD-AFC7E469867E}"/>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4" name="Text Box 22" hidden="1">
          <a:extLst>
            <a:ext uri="{FF2B5EF4-FFF2-40B4-BE49-F238E27FC236}">
              <a16:creationId xmlns:a16="http://schemas.microsoft.com/office/drawing/2014/main" id="{DC59DE2C-8CBF-6887-E800-A35F7133C8F3}"/>
            </a:ext>
          </a:extLst>
        </xdr:cNvPr>
        <xdr:cNvSpPr txBox="1">
          <a:spLocks noChangeArrowheads="1"/>
        </xdr:cNvSpPr>
      </xdr:nvSpPr>
      <xdr:spPr bwMode="auto">
        <a:xfrm>
          <a:off x="3848100" y="5803900"/>
          <a:ext cx="13081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2739" name="Text Box 3" hidden="1">
          <a:extLst>
            <a:ext uri="{FF2B5EF4-FFF2-40B4-BE49-F238E27FC236}">
              <a16:creationId xmlns:a16="http://schemas.microsoft.com/office/drawing/2014/main" id="{CB0A40A6-7DB8-9A97-19EC-942270936995}"/>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38" name="Text Box 2" hidden="1">
          <a:extLst>
            <a:ext uri="{FF2B5EF4-FFF2-40B4-BE49-F238E27FC236}">
              <a16:creationId xmlns:a16="http://schemas.microsoft.com/office/drawing/2014/main" id="{91ADF157-2435-9104-D128-990161B2DC25}"/>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2737" name="Text Box 1" hidden="1">
          <a:extLst>
            <a:ext uri="{FF2B5EF4-FFF2-40B4-BE49-F238E27FC236}">
              <a16:creationId xmlns:a16="http://schemas.microsoft.com/office/drawing/2014/main" id="{7C2E0D97-A28B-8CB2-39B2-9115A2FD06B8}"/>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2742" name="Text Box 6" hidden="1">
          <a:extLst>
            <a:ext uri="{FF2B5EF4-FFF2-40B4-BE49-F238E27FC236}">
              <a16:creationId xmlns:a16="http://schemas.microsoft.com/office/drawing/2014/main" id="{D5893008-A7BA-1115-8281-4C6B2E3F3314}"/>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41" name="Text Box 5" hidden="1">
          <a:extLst>
            <a:ext uri="{FF2B5EF4-FFF2-40B4-BE49-F238E27FC236}">
              <a16:creationId xmlns:a16="http://schemas.microsoft.com/office/drawing/2014/main" id="{CB734583-5005-293F-3926-F3CE0475A20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4" name="Text Box 8" hidden="1">
          <a:extLst>
            <a:ext uri="{FF2B5EF4-FFF2-40B4-BE49-F238E27FC236}">
              <a16:creationId xmlns:a16="http://schemas.microsoft.com/office/drawing/2014/main" id="{28536CFD-9C02-51DD-1EFD-E3B3A8D2C8B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3" name="Text Box 7" hidden="1">
          <a:extLst>
            <a:ext uri="{FF2B5EF4-FFF2-40B4-BE49-F238E27FC236}">
              <a16:creationId xmlns:a16="http://schemas.microsoft.com/office/drawing/2014/main" id="{EF282150-EB86-0A3F-EC88-EA0F287FBF02}"/>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6" name="Text Box 10" hidden="1">
          <a:extLst>
            <a:ext uri="{FF2B5EF4-FFF2-40B4-BE49-F238E27FC236}">
              <a16:creationId xmlns:a16="http://schemas.microsoft.com/office/drawing/2014/main" id="{B2323F85-98B9-60D8-4069-0D21E628B50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5" name="Text Box 9" hidden="1">
          <a:extLst>
            <a:ext uri="{FF2B5EF4-FFF2-40B4-BE49-F238E27FC236}">
              <a16:creationId xmlns:a16="http://schemas.microsoft.com/office/drawing/2014/main" id="{EA947F61-767D-117F-9A30-464D0DDB6ABF}"/>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8" name="Text Box 12" hidden="1">
          <a:extLst>
            <a:ext uri="{FF2B5EF4-FFF2-40B4-BE49-F238E27FC236}">
              <a16:creationId xmlns:a16="http://schemas.microsoft.com/office/drawing/2014/main" id="{B7CA1E0A-32B3-861C-0654-458792A92E9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7" name="Text Box 11" hidden="1">
          <a:extLst>
            <a:ext uri="{FF2B5EF4-FFF2-40B4-BE49-F238E27FC236}">
              <a16:creationId xmlns:a16="http://schemas.microsoft.com/office/drawing/2014/main" id="{12B1EB19-006B-A2C4-729E-FC0FA5DB14C3}"/>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50" name="Text Box 14" hidden="1">
          <a:extLst>
            <a:ext uri="{FF2B5EF4-FFF2-40B4-BE49-F238E27FC236}">
              <a16:creationId xmlns:a16="http://schemas.microsoft.com/office/drawing/2014/main" id="{D9FCF383-9D13-D615-87F7-AEC8AE06A81E}"/>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9" name="Text Box 13" hidden="1">
          <a:extLst>
            <a:ext uri="{FF2B5EF4-FFF2-40B4-BE49-F238E27FC236}">
              <a16:creationId xmlns:a16="http://schemas.microsoft.com/office/drawing/2014/main" id="{750C6C03-C4A5-0E23-625D-106EC2C6E504}"/>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52" name="Text Box 16" hidden="1">
          <a:extLst>
            <a:ext uri="{FF2B5EF4-FFF2-40B4-BE49-F238E27FC236}">
              <a16:creationId xmlns:a16="http://schemas.microsoft.com/office/drawing/2014/main" id="{417E21E3-3DFA-BDF8-85A1-D363F8B5963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51" name="Text Box 15" hidden="1">
          <a:extLst>
            <a:ext uri="{FF2B5EF4-FFF2-40B4-BE49-F238E27FC236}">
              <a16:creationId xmlns:a16="http://schemas.microsoft.com/office/drawing/2014/main" id="{D199CEA1-A92A-2867-AEAD-2BEAE7818568}"/>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6</xdr:col>
      <xdr:colOff>506942</xdr:colOff>
      <xdr:row>37</xdr:row>
      <xdr:rowOff>57150</xdr:rowOff>
    </xdr:to>
    <xdr:sp macro="" textlink="">
      <xdr:nvSpPr>
        <xdr:cNvPr id="372754" name="Text Box 18" hidden="1">
          <a:extLst>
            <a:ext uri="{FF2B5EF4-FFF2-40B4-BE49-F238E27FC236}">
              <a16:creationId xmlns:a16="http://schemas.microsoft.com/office/drawing/2014/main" id="{BCD8FCCA-268C-372D-407C-B09B60902B63}"/>
            </a:ext>
          </a:extLst>
        </xdr:cNvPr>
        <xdr:cNvSpPr txBox="1">
          <a:spLocks noChangeArrowheads="1"/>
        </xdr:cNvSpPr>
      </xdr:nvSpPr>
      <xdr:spPr bwMode="auto">
        <a:xfrm>
          <a:off x="38671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12</xdr:col>
      <xdr:colOff>102658</xdr:colOff>
      <xdr:row>45</xdr:row>
      <xdr:rowOff>171450</xdr:rowOff>
    </xdr:to>
    <xdr:sp macro="" textlink="">
      <xdr:nvSpPr>
        <xdr:cNvPr id="372753" name="Text Box 17" hidden="1">
          <a:extLst>
            <a:ext uri="{FF2B5EF4-FFF2-40B4-BE49-F238E27FC236}">
              <a16:creationId xmlns:a16="http://schemas.microsoft.com/office/drawing/2014/main" id="{F91752C4-7940-FBE3-823D-D1FEF1447318}"/>
            </a:ext>
          </a:extLst>
        </xdr:cNvPr>
        <xdr:cNvSpPr txBox="1">
          <a:spLocks noChangeArrowheads="1"/>
        </xdr:cNvSpPr>
      </xdr:nvSpPr>
      <xdr:spPr bwMode="auto">
        <a:xfrm>
          <a:off x="75819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321734</xdr:colOff>
      <xdr:row>11</xdr:row>
      <xdr:rowOff>95250</xdr:rowOff>
    </xdr:from>
    <xdr:to>
      <xdr:col>44</xdr:col>
      <xdr:colOff>245533</xdr:colOff>
      <xdr:row>31</xdr:row>
      <xdr:rowOff>57150</xdr:rowOff>
    </xdr:to>
    <xdr:sp macro="" textlink="">
      <xdr:nvSpPr>
        <xdr:cNvPr id="372755" name="Text Box 19" hidden="1">
          <a:extLst>
            <a:ext uri="{FF2B5EF4-FFF2-40B4-BE49-F238E27FC236}">
              <a16:creationId xmlns:a16="http://schemas.microsoft.com/office/drawing/2014/main" id="{BA5EB334-A4AD-E80A-7A65-316F40AD8A75}"/>
            </a:ext>
          </a:extLst>
        </xdr:cNvPr>
        <xdr:cNvSpPr txBox="1">
          <a:spLocks noChangeArrowheads="1"/>
        </xdr:cNvSpPr>
      </xdr:nvSpPr>
      <xdr:spPr bwMode="auto">
        <a:xfrm>
          <a:off x="302704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1" name="Text Box 1027" hidden="1">
          <a:extLst>
            <a:ext uri="{FF2B5EF4-FFF2-40B4-BE49-F238E27FC236}">
              <a16:creationId xmlns:a16="http://schemas.microsoft.com/office/drawing/2014/main" id="{BAD5A8A7-047C-E013-8684-8A9F24220FC8}"/>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0" name="Text Box 1026" hidden="1">
          <a:extLst>
            <a:ext uri="{FF2B5EF4-FFF2-40B4-BE49-F238E27FC236}">
              <a16:creationId xmlns:a16="http://schemas.microsoft.com/office/drawing/2014/main" id="{EC5827C3-601C-CE7C-6C75-B3E1FDA5D305}"/>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69" name="Text Box 1025" hidden="1">
          <a:extLst>
            <a:ext uri="{FF2B5EF4-FFF2-40B4-BE49-F238E27FC236}">
              <a16:creationId xmlns:a16="http://schemas.microsoft.com/office/drawing/2014/main" id="{D199EC4C-FC4F-902F-327A-8362E5BD7C0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372758" name="Text Box 22" hidden="1">
          <a:extLst>
            <a:ext uri="{FF2B5EF4-FFF2-40B4-BE49-F238E27FC236}">
              <a16:creationId xmlns:a16="http://schemas.microsoft.com/office/drawing/2014/main" id="{507B3F2A-90E5-2753-B4C5-CD7611B3EDE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372757" name="Text Box 21" hidden="1">
          <a:extLst>
            <a:ext uri="{FF2B5EF4-FFF2-40B4-BE49-F238E27FC236}">
              <a16:creationId xmlns:a16="http://schemas.microsoft.com/office/drawing/2014/main" id="{5AA7671E-1262-7E61-AC20-AEEFE85594BD}"/>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372756" name="Text Box 20" hidden="1">
          <a:extLst>
            <a:ext uri="{FF2B5EF4-FFF2-40B4-BE49-F238E27FC236}">
              <a16:creationId xmlns:a16="http://schemas.microsoft.com/office/drawing/2014/main" id="{EC84A513-FA24-9652-A0F3-FD449E4DA17C}"/>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4" name="Text Box 6" hidden="1">
          <a:extLst>
            <a:ext uri="{FF2B5EF4-FFF2-40B4-BE49-F238E27FC236}">
              <a16:creationId xmlns:a16="http://schemas.microsoft.com/office/drawing/2014/main" id="{1CF8CC5C-7BC0-B8CA-7B7A-068DDFA1835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3" name="Text Box 5" hidden="1">
          <a:extLst>
            <a:ext uri="{FF2B5EF4-FFF2-40B4-BE49-F238E27FC236}">
              <a16:creationId xmlns:a16="http://schemas.microsoft.com/office/drawing/2014/main" id="{2C111701-FDC2-1941-B73F-D05143ADEBC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2" name="Text Box 4" hidden="1">
          <a:extLst>
            <a:ext uri="{FF2B5EF4-FFF2-40B4-BE49-F238E27FC236}">
              <a16:creationId xmlns:a16="http://schemas.microsoft.com/office/drawing/2014/main" id="{832C4FB2-977D-31E4-0083-AB8455A232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52917</xdr:colOff>
      <xdr:row>0</xdr:row>
      <xdr:rowOff>52917</xdr:rowOff>
    </xdr:from>
    <xdr:to>
      <xdr:col>0</xdr:col>
      <xdr:colOff>712383</xdr:colOff>
      <xdr:row>1</xdr:row>
      <xdr:rowOff>148291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6F6A987-1750-4796-8D3B-E9D135658F2D}"/>
            </a:ext>
          </a:extLst>
        </xdr:cNvPr>
        <xdr:cNvSpPr/>
      </xdr:nvSpPr>
      <xdr:spPr>
        <a:xfrm>
          <a:off x="52917" y="529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7" name="Text Box 9" hidden="1">
          <a:extLst>
            <a:ext uri="{FF2B5EF4-FFF2-40B4-BE49-F238E27FC236}">
              <a16:creationId xmlns:a16="http://schemas.microsoft.com/office/drawing/2014/main" id="{240F5642-EAB0-499A-194B-300FE1BBA75F}"/>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6" name="Text Box 8" hidden="1">
          <a:extLst>
            <a:ext uri="{FF2B5EF4-FFF2-40B4-BE49-F238E27FC236}">
              <a16:creationId xmlns:a16="http://schemas.microsoft.com/office/drawing/2014/main" id="{566EF7A3-1A0E-F15A-53BF-CAE987E1A34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5" name="Text Box 7" hidden="1">
          <a:extLst>
            <a:ext uri="{FF2B5EF4-FFF2-40B4-BE49-F238E27FC236}">
              <a16:creationId xmlns:a16="http://schemas.microsoft.com/office/drawing/2014/main" id="{E36F767A-CE51-89A5-6CA3-0B5D9DE6F1A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0" name="Text Box 12" hidden="1">
          <a:extLst>
            <a:ext uri="{FF2B5EF4-FFF2-40B4-BE49-F238E27FC236}">
              <a16:creationId xmlns:a16="http://schemas.microsoft.com/office/drawing/2014/main" id="{C998C288-361E-D3CE-3B47-646FCD2BF2C6}"/>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9" name="Text Box 11" hidden="1">
          <a:extLst>
            <a:ext uri="{FF2B5EF4-FFF2-40B4-BE49-F238E27FC236}">
              <a16:creationId xmlns:a16="http://schemas.microsoft.com/office/drawing/2014/main" id="{87D6527B-7EA2-E8B4-1F81-C1CC9C932783}"/>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8" name="Text Box 10" hidden="1">
          <a:extLst>
            <a:ext uri="{FF2B5EF4-FFF2-40B4-BE49-F238E27FC236}">
              <a16:creationId xmlns:a16="http://schemas.microsoft.com/office/drawing/2014/main" id="{E89DF7BA-9868-13E2-A5BE-8C6B1BA406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6" name="Text Box 18" hidden="1">
          <a:extLst>
            <a:ext uri="{FF2B5EF4-FFF2-40B4-BE49-F238E27FC236}">
              <a16:creationId xmlns:a16="http://schemas.microsoft.com/office/drawing/2014/main" id="{70654089-9532-892D-4CFA-7FB487240C62}"/>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5" name="Text Box 17" hidden="1">
          <a:extLst>
            <a:ext uri="{FF2B5EF4-FFF2-40B4-BE49-F238E27FC236}">
              <a16:creationId xmlns:a16="http://schemas.microsoft.com/office/drawing/2014/main" id="{8987D4BA-8DA0-91E0-09D4-F2B03D75FB86}"/>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4" name="Text Box 16" hidden="1">
          <a:extLst>
            <a:ext uri="{FF2B5EF4-FFF2-40B4-BE49-F238E27FC236}">
              <a16:creationId xmlns:a16="http://schemas.microsoft.com/office/drawing/2014/main" id="{CE339DD9-9E64-AB93-842E-73C5695C586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3" name="Text Box 15" hidden="1">
          <a:extLst>
            <a:ext uri="{FF2B5EF4-FFF2-40B4-BE49-F238E27FC236}">
              <a16:creationId xmlns:a16="http://schemas.microsoft.com/office/drawing/2014/main" id="{75337DE8-A72A-ABA1-E3B3-DA365A51108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2" name="Text Box 14" hidden="1">
          <a:extLst>
            <a:ext uri="{FF2B5EF4-FFF2-40B4-BE49-F238E27FC236}">
              <a16:creationId xmlns:a16="http://schemas.microsoft.com/office/drawing/2014/main" id="{5C19B128-A34F-49F4-A59B-0428D64F346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1" name="Text Box 13" hidden="1">
          <a:extLst>
            <a:ext uri="{FF2B5EF4-FFF2-40B4-BE49-F238E27FC236}">
              <a16:creationId xmlns:a16="http://schemas.microsoft.com/office/drawing/2014/main" id="{A9E06E34-9C93-3E82-4A63-074DAAEBAD8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9" name="Text Box 21" hidden="1">
          <a:extLst>
            <a:ext uri="{FF2B5EF4-FFF2-40B4-BE49-F238E27FC236}">
              <a16:creationId xmlns:a16="http://schemas.microsoft.com/office/drawing/2014/main" id="{BF460395-6999-0C40-7190-1A4DD858071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8" name="Text Box 20" hidden="1">
          <a:extLst>
            <a:ext uri="{FF2B5EF4-FFF2-40B4-BE49-F238E27FC236}">
              <a16:creationId xmlns:a16="http://schemas.microsoft.com/office/drawing/2014/main" id="{6A77A595-9958-36C6-F3C1-935692F7421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7" name="Text Box 19" hidden="1">
          <a:extLst>
            <a:ext uri="{FF2B5EF4-FFF2-40B4-BE49-F238E27FC236}">
              <a16:creationId xmlns:a16="http://schemas.microsoft.com/office/drawing/2014/main" id="{04C0DCAD-62FC-F2FD-BE38-F85C8304844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2" name="Text Box 24" hidden="1">
          <a:extLst>
            <a:ext uri="{FF2B5EF4-FFF2-40B4-BE49-F238E27FC236}">
              <a16:creationId xmlns:a16="http://schemas.microsoft.com/office/drawing/2014/main" id="{231DA4FE-D377-EC1A-8646-EC19C15CA41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1" name="Text Box 23" hidden="1">
          <a:extLst>
            <a:ext uri="{FF2B5EF4-FFF2-40B4-BE49-F238E27FC236}">
              <a16:creationId xmlns:a16="http://schemas.microsoft.com/office/drawing/2014/main" id="{E7D65510-3556-5FCB-78F6-E33E9C7FAAE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90" name="Text Box 22" hidden="1">
          <a:extLst>
            <a:ext uri="{FF2B5EF4-FFF2-40B4-BE49-F238E27FC236}">
              <a16:creationId xmlns:a16="http://schemas.microsoft.com/office/drawing/2014/main" id="{AC218F86-756E-1717-E513-571DD10C7A8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5" name="Text Box 27" hidden="1">
          <a:extLst>
            <a:ext uri="{FF2B5EF4-FFF2-40B4-BE49-F238E27FC236}">
              <a16:creationId xmlns:a16="http://schemas.microsoft.com/office/drawing/2014/main" id="{028BAA22-355D-041D-3F78-83CC00666B9E}"/>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4" name="Text Box 26" hidden="1">
          <a:extLst>
            <a:ext uri="{FF2B5EF4-FFF2-40B4-BE49-F238E27FC236}">
              <a16:creationId xmlns:a16="http://schemas.microsoft.com/office/drawing/2014/main" id="{136D45EC-CC28-660D-0E36-2D0787FA037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93" name="Text Box 25" hidden="1">
          <a:extLst>
            <a:ext uri="{FF2B5EF4-FFF2-40B4-BE49-F238E27FC236}">
              <a16:creationId xmlns:a16="http://schemas.microsoft.com/office/drawing/2014/main" id="{F4839336-90EE-F5D3-CD75-548193B5B617}"/>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22</xdr:col>
      <xdr:colOff>463550</xdr:colOff>
      <xdr:row>9</xdr:row>
      <xdr:rowOff>95250</xdr:rowOff>
    </xdr:from>
    <xdr:to>
      <xdr:col>24</xdr:col>
      <xdr:colOff>387350</xdr:colOff>
      <xdr:row>13</xdr:row>
      <xdr:rowOff>76200</xdr:rowOff>
    </xdr:to>
    <xdr:sp macro="" textlink="">
      <xdr:nvSpPr>
        <xdr:cNvPr id="330758" name="Text Box 6" hidden="1">
          <a:extLst>
            <a:ext uri="{FF2B5EF4-FFF2-40B4-BE49-F238E27FC236}">
              <a16:creationId xmlns:a16="http://schemas.microsoft.com/office/drawing/2014/main" id="{5E3CE043-38BC-3A97-739F-353E37A41E8D}"/>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38" name="Text Box 2" hidden="1">
          <a:extLst>
            <a:ext uri="{FF2B5EF4-FFF2-40B4-BE49-F238E27FC236}">
              <a16:creationId xmlns:a16="http://schemas.microsoft.com/office/drawing/2014/main" id="{80562993-AAD0-A481-062D-FA072ACF0692}"/>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37" name="Text Box 1" hidden="1">
          <a:extLst>
            <a:ext uri="{FF2B5EF4-FFF2-40B4-BE49-F238E27FC236}">
              <a16:creationId xmlns:a16="http://schemas.microsoft.com/office/drawing/2014/main" id="{8BA509EF-C0D9-6B0C-C2EB-9632E691ED60}"/>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39" name="Text Box 3" hidden="1">
          <a:extLst>
            <a:ext uri="{FF2B5EF4-FFF2-40B4-BE49-F238E27FC236}">
              <a16:creationId xmlns:a16="http://schemas.microsoft.com/office/drawing/2014/main" id="{F8FB0289-F65C-3C95-A780-D6C5893D775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0" name="Text Box 4" hidden="1">
          <a:extLst>
            <a:ext uri="{FF2B5EF4-FFF2-40B4-BE49-F238E27FC236}">
              <a16:creationId xmlns:a16="http://schemas.microsoft.com/office/drawing/2014/main" id="{2A8DBEB4-0A86-D7A7-829E-766EA2072E4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1" name="Text Box 5" hidden="1">
          <a:extLst>
            <a:ext uri="{FF2B5EF4-FFF2-40B4-BE49-F238E27FC236}">
              <a16:creationId xmlns:a16="http://schemas.microsoft.com/office/drawing/2014/main" id="{CA682EA7-38B2-526C-BBC6-D972F04F8566}"/>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2" name="Text Box 6" hidden="1">
          <a:extLst>
            <a:ext uri="{FF2B5EF4-FFF2-40B4-BE49-F238E27FC236}">
              <a16:creationId xmlns:a16="http://schemas.microsoft.com/office/drawing/2014/main" id="{8F321DB0-984B-B152-372F-9C946CCDC03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4" name="Text Box 8" hidden="1">
          <a:extLst>
            <a:ext uri="{FF2B5EF4-FFF2-40B4-BE49-F238E27FC236}">
              <a16:creationId xmlns:a16="http://schemas.microsoft.com/office/drawing/2014/main" id="{066A95EC-F7B5-6A3E-C1B1-4CC552185CA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3" name="Text Box 7" hidden="1">
          <a:extLst>
            <a:ext uri="{FF2B5EF4-FFF2-40B4-BE49-F238E27FC236}">
              <a16:creationId xmlns:a16="http://schemas.microsoft.com/office/drawing/2014/main" id="{C3496039-361C-E824-A18F-8942423E6674}"/>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5" name="Text Box 9" hidden="1">
          <a:extLst>
            <a:ext uri="{FF2B5EF4-FFF2-40B4-BE49-F238E27FC236}">
              <a16:creationId xmlns:a16="http://schemas.microsoft.com/office/drawing/2014/main" id="{546B4EFD-C137-54F2-0FB5-AA1E74C620AD}"/>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6" name="Text Box 10" hidden="1">
          <a:extLst>
            <a:ext uri="{FF2B5EF4-FFF2-40B4-BE49-F238E27FC236}">
              <a16:creationId xmlns:a16="http://schemas.microsoft.com/office/drawing/2014/main" id="{06E844B6-84DF-6E8B-D2CF-2A2B22B75DE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7" name="Text Box 11" hidden="1">
          <a:extLst>
            <a:ext uri="{FF2B5EF4-FFF2-40B4-BE49-F238E27FC236}">
              <a16:creationId xmlns:a16="http://schemas.microsoft.com/office/drawing/2014/main" id="{D0DBDB4F-B509-73E8-939C-3B4C13D1A2E1}"/>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8" name="Text Box 12" hidden="1">
          <a:extLst>
            <a:ext uri="{FF2B5EF4-FFF2-40B4-BE49-F238E27FC236}">
              <a16:creationId xmlns:a16="http://schemas.microsoft.com/office/drawing/2014/main" id="{EA9039A9-6B2B-E9F2-7308-93C60A41070B}"/>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1" name="Text Box 1" hidden="1">
          <a:extLst>
            <a:ext uri="{FF2B5EF4-FFF2-40B4-BE49-F238E27FC236}">
              <a16:creationId xmlns:a16="http://schemas.microsoft.com/office/drawing/2014/main" id="{39C1559E-4D8A-51DC-16B3-852E88736B3A}"/>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2" name="Text Box 2" hidden="1">
          <a:extLst>
            <a:ext uri="{FF2B5EF4-FFF2-40B4-BE49-F238E27FC236}">
              <a16:creationId xmlns:a16="http://schemas.microsoft.com/office/drawing/2014/main" id="{392F3915-6493-302B-8F54-7F85D173F0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3" name="Text Box 3" hidden="1">
          <a:extLst>
            <a:ext uri="{FF2B5EF4-FFF2-40B4-BE49-F238E27FC236}">
              <a16:creationId xmlns:a16="http://schemas.microsoft.com/office/drawing/2014/main" id="{E4998747-FE39-041E-4DA9-6FED3B4FAE4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4" name="Text Box 4" hidden="1">
          <a:extLst>
            <a:ext uri="{FF2B5EF4-FFF2-40B4-BE49-F238E27FC236}">
              <a16:creationId xmlns:a16="http://schemas.microsoft.com/office/drawing/2014/main" id="{BC179C04-90F6-8D9B-00FA-898B830592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5" name="Text Box 5" hidden="1">
          <a:extLst>
            <a:ext uri="{FF2B5EF4-FFF2-40B4-BE49-F238E27FC236}">
              <a16:creationId xmlns:a16="http://schemas.microsoft.com/office/drawing/2014/main" id="{9A2CCCB3-7378-9CE3-9773-EDE60B165B9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6" name="Text Box 6" hidden="1">
          <a:extLst>
            <a:ext uri="{FF2B5EF4-FFF2-40B4-BE49-F238E27FC236}">
              <a16:creationId xmlns:a16="http://schemas.microsoft.com/office/drawing/2014/main" id="{E4B0E8F3-3078-5E5B-B866-4FE69FDA158F}"/>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7" name="Text Box 7" hidden="1">
          <a:extLst>
            <a:ext uri="{FF2B5EF4-FFF2-40B4-BE49-F238E27FC236}">
              <a16:creationId xmlns:a16="http://schemas.microsoft.com/office/drawing/2014/main" id="{98105ECB-4531-76BE-592D-1DA10C900CEE}"/>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373768" name="Text Box 8" hidden="1">
          <a:extLst>
            <a:ext uri="{FF2B5EF4-FFF2-40B4-BE49-F238E27FC236}">
              <a16:creationId xmlns:a16="http://schemas.microsoft.com/office/drawing/2014/main" id="{F0EA046C-F22B-98A3-EBD1-61E5ABEE7E5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417793" name="Text Box 1025" hidden="1">
          <a:extLst>
            <a:ext uri="{FF2B5EF4-FFF2-40B4-BE49-F238E27FC236}">
              <a16:creationId xmlns:a16="http://schemas.microsoft.com/office/drawing/2014/main" id="{FCF2F161-9566-D5E4-F6A6-676512ED8C49}"/>
            </a:ext>
          </a:extLst>
        </xdr:cNvPr>
        <xdr:cNvSpPr txBox="1">
          <a:spLocks noChangeArrowheads="1"/>
        </xdr:cNvSpPr>
      </xdr:nvSpPr>
      <xdr:spPr bwMode="auto">
        <a:xfrm>
          <a:off x="1765935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373769" name="Text Box 9" hidden="1">
          <a:extLst>
            <a:ext uri="{FF2B5EF4-FFF2-40B4-BE49-F238E27FC236}">
              <a16:creationId xmlns:a16="http://schemas.microsoft.com/office/drawing/2014/main" id="{CFBC5AA5-E57D-8555-6B67-7297AD7A63C6}"/>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417794" name="Text Box 2" hidden="1">
          <a:extLst>
            <a:ext uri="{FF2B5EF4-FFF2-40B4-BE49-F238E27FC236}">
              <a16:creationId xmlns:a16="http://schemas.microsoft.com/office/drawing/2014/main" id="{A466CA10-189A-32D8-88D2-7891E440D58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57150</xdr:colOff>
      <xdr:row>0</xdr:row>
      <xdr:rowOff>57150</xdr:rowOff>
    </xdr:from>
    <xdr:to>
      <xdr:col>0</xdr:col>
      <xdr:colOff>1133475</xdr:colOff>
      <xdr:row>3</xdr:row>
      <xdr:rowOff>6350</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829BCB42-2CA4-4689-9D37-F7B36E212E34}"/>
            </a:ext>
          </a:extLst>
        </xdr:cNvPr>
        <xdr:cNvSpPr/>
      </xdr:nvSpPr>
      <xdr:spPr>
        <a:xfrm>
          <a:off x="57150" y="57150"/>
          <a:ext cx="1076325" cy="492125"/>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5" name="Text Box 3" hidden="1">
          <a:extLst>
            <a:ext uri="{FF2B5EF4-FFF2-40B4-BE49-F238E27FC236}">
              <a16:creationId xmlns:a16="http://schemas.microsoft.com/office/drawing/2014/main" id="{69BBE89E-9C0A-4669-5480-5E8F403CC4D0}"/>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6" name="Text Box 4" hidden="1">
          <a:extLst>
            <a:ext uri="{FF2B5EF4-FFF2-40B4-BE49-F238E27FC236}">
              <a16:creationId xmlns:a16="http://schemas.microsoft.com/office/drawing/2014/main" id="{85210786-FADD-DFED-801C-76BF81E8FE3B}"/>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8" name="Text Box 6" hidden="1">
          <a:extLst>
            <a:ext uri="{FF2B5EF4-FFF2-40B4-BE49-F238E27FC236}">
              <a16:creationId xmlns:a16="http://schemas.microsoft.com/office/drawing/2014/main" id="{B78DBED6-5417-9BF3-A5FF-DF828B183E1A}"/>
            </a:ext>
          </a:extLst>
        </xdr:cNvPr>
        <xdr:cNvSpPr txBox="1">
          <a:spLocks noChangeArrowheads="1"/>
        </xdr:cNvSpPr>
      </xdr:nvSpPr>
      <xdr:spPr bwMode="auto">
        <a:xfrm>
          <a:off x="1807210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7" name="Text Box 5" hidden="1">
          <a:extLst>
            <a:ext uri="{FF2B5EF4-FFF2-40B4-BE49-F238E27FC236}">
              <a16:creationId xmlns:a16="http://schemas.microsoft.com/office/drawing/2014/main" id="{CD5A2D08-8B77-F01D-C538-DD7B075C6ADF}"/>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9" name="Text Box 7" hidden="1">
          <a:extLst>
            <a:ext uri="{FF2B5EF4-FFF2-40B4-BE49-F238E27FC236}">
              <a16:creationId xmlns:a16="http://schemas.microsoft.com/office/drawing/2014/main" id="{FE4713C5-BF03-72D6-7273-07E29EBAA834}"/>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0" name="Text Box 8" hidden="1">
          <a:extLst>
            <a:ext uri="{FF2B5EF4-FFF2-40B4-BE49-F238E27FC236}">
              <a16:creationId xmlns:a16="http://schemas.microsoft.com/office/drawing/2014/main" id="{3E34237C-BCF8-21C5-0FF6-3FBE2DC0C19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1" name="Text Box 9" hidden="1">
          <a:extLst>
            <a:ext uri="{FF2B5EF4-FFF2-40B4-BE49-F238E27FC236}">
              <a16:creationId xmlns:a16="http://schemas.microsoft.com/office/drawing/2014/main" id="{6FCE5F87-4F77-1222-B31B-D801DADF59B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6</xdr:col>
      <xdr:colOff>169232</xdr:colOff>
      <xdr:row>88</xdr:row>
      <xdr:rowOff>40117</xdr:rowOff>
    </xdr:from>
    <xdr:to>
      <xdr:col>8</xdr:col>
      <xdr:colOff>274913</xdr:colOff>
      <xdr:row>88</xdr:row>
      <xdr:rowOff>40117</xdr:rowOff>
    </xdr:to>
    <xdr:sp macro="" textlink="">
      <xdr:nvSpPr>
        <xdr:cNvPr id="2" name="Text Box 4" hidden="1">
          <a:extLst>
            <a:ext uri="{FF2B5EF4-FFF2-40B4-BE49-F238E27FC236}">
              <a16:creationId xmlns:a16="http://schemas.microsoft.com/office/drawing/2014/main" id="{687BDF04-7ABE-44CE-A969-B04FA1C5F3B2}"/>
            </a:ext>
          </a:extLst>
        </xdr:cNvPr>
        <xdr:cNvSpPr txBox="1">
          <a:spLocks noChangeArrowheads="1"/>
        </xdr:cNvSpPr>
      </xdr:nvSpPr>
      <xdr:spPr bwMode="auto">
        <a:xfrm>
          <a:off x="9037007" y="23871667"/>
          <a:ext cx="1601106"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88</xdr:row>
      <xdr:rowOff>40117</xdr:rowOff>
    </xdr:from>
    <xdr:to>
      <xdr:col>11</xdr:col>
      <xdr:colOff>235329</xdr:colOff>
      <xdr:row>88</xdr:row>
      <xdr:rowOff>40117</xdr:rowOff>
    </xdr:to>
    <xdr:sp macro="" textlink="">
      <xdr:nvSpPr>
        <xdr:cNvPr id="3" name="Text Box 5" hidden="1">
          <a:extLst>
            <a:ext uri="{FF2B5EF4-FFF2-40B4-BE49-F238E27FC236}">
              <a16:creationId xmlns:a16="http://schemas.microsoft.com/office/drawing/2014/main" id="{C377BBAF-EDAC-4BDE-8563-0EB78B9217D2}"/>
            </a:ext>
          </a:extLst>
        </xdr:cNvPr>
        <xdr:cNvSpPr txBox="1">
          <a:spLocks noChangeArrowheads="1"/>
        </xdr:cNvSpPr>
      </xdr:nvSpPr>
      <xdr:spPr bwMode="auto">
        <a:xfrm>
          <a:off x="11360529" y="23871667"/>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4" name="Text Box 7" hidden="1">
          <a:extLst>
            <a:ext uri="{FF2B5EF4-FFF2-40B4-BE49-F238E27FC236}">
              <a16:creationId xmlns:a16="http://schemas.microsoft.com/office/drawing/2014/main" id="{58BDBDE2-CCBC-4EC6-9CDE-223FC3FE9BB5}"/>
            </a:ext>
          </a:extLst>
        </xdr:cNvPr>
        <xdr:cNvSpPr txBox="1">
          <a:spLocks noChangeArrowheads="1"/>
        </xdr:cNvSpPr>
      </xdr:nvSpPr>
      <xdr:spPr bwMode="auto">
        <a:xfrm>
          <a:off x="3399518" y="6737163"/>
          <a:ext cx="1593561" cy="77733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49</xdr:row>
      <xdr:rowOff>85949</xdr:rowOff>
    </xdr:from>
    <xdr:to>
      <xdr:col>1</xdr:col>
      <xdr:colOff>4255844</xdr:colOff>
      <xdr:row>53</xdr:row>
      <xdr:rowOff>219924</xdr:rowOff>
    </xdr:to>
    <xdr:sp macro="" textlink="">
      <xdr:nvSpPr>
        <xdr:cNvPr id="5" name="Text Box 8" hidden="1">
          <a:extLst>
            <a:ext uri="{FF2B5EF4-FFF2-40B4-BE49-F238E27FC236}">
              <a16:creationId xmlns:a16="http://schemas.microsoft.com/office/drawing/2014/main" id="{16F1FB64-A885-4AC3-9407-CCEF518FE547}"/>
            </a:ext>
          </a:extLst>
        </xdr:cNvPr>
        <xdr:cNvSpPr txBox="1">
          <a:spLocks noChangeArrowheads="1"/>
        </xdr:cNvSpPr>
      </xdr:nvSpPr>
      <xdr:spPr bwMode="auto">
        <a:xfrm>
          <a:off x="3437618" y="11817574"/>
          <a:ext cx="1580226" cy="85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88</xdr:row>
      <xdr:rowOff>40117</xdr:rowOff>
    </xdr:from>
    <xdr:to>
      <xdr:col>8</xdr:col>
      <xdr:colOff>274913</xdr:colOff>
      <xdr:row>88</xdr:row>
      <xdr:rowOff>40117</xdr:rowOff>
    </xdr:to>
    <xdr:sp macro="" textlink="">
      <xdr:nvSpPr>
        <xdr:cNvPr id="6" name="Text Box 4" hidden="1">
          <a:extLst>
            <a:ext uri="{FF2B5EF4-FFF2-40B4-BE49-F238E27FC236}">
              <a16:creationId xmlns:a16="http://schemas.microsoft.com/office/drawing/2014/main" id="{B2D3327F-D6A4-49F7-AB11-FE25A1D9A0ED}"/>
            </a:ext>
          </a:extLst>
        </xdr:cNvPr>
        <xdr:cNvSpPr txBox="1">
          <a:spLocks noChangeArrowheads="1"/>
        </xdr:cNvSpPr>
      </xdr:nvSpPr>
      <xdr:spPr bwMode="auto">
        <a:xfrm>
          <a:off x="9037007" y="2387166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88</xdr:row>
      <xdr:rowOff>40117</xdr:rowOff>
    </xdr:from>
    <xdr:to>
      <xdr:col>11</xdr:col>
      <xdr:colOff>235329</xdr:colOff>
      <xdr:row>88</xdr:row>
      <xdr:rowOff>40117</xdr:rowOff>
    </xdr:to>
    <xdr:sp macro="" textlink="">
      <xdr:nvSpPr>
        <xdr:cNvPr id="7" name="Text Box 3" hidden="1">
          <a:extLst>
            <a:ext uri="{FF2B5EF4-FFF2-40B4-BE49-F238E27FC236}">
              <a16:creationId xmlns:a16="http://schemas.microsoft.com/office/drawing/2014/main" id="{C2E8C695-1867-413C-A7EB-56E65F5EF37C}"/>
            </a:ext>
          </a:extLst>
        </xdr:cNvPr>
        <xdr:cNvSpPr txBox="1">
          <a:spLocks noChangeArrowheads="1"/>
        </xdr:cNvSpPr>
      </xdr:nvSpPr>
      <xdr:spPr bwMode="auto">
        <a:xfrm>
          <a:off x="11360529" y="2387166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8" name="Text Box 2" hidden="1">
          <a:extLst>
            <a:ext uri="{FF2B5EF4-FFF2-40B4-BE49-F238E27FC236}">
              <a16:creationId xmlns:a16="http://schemas.microsoft.com/office/drawing/2014/main" id="{DF3A805B-5511-45E3-9306-AC0084BA66ED}"/>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9" name="Text Box 7" hidden="1">
          <a:extLst>
            <a:ext uri="{FF2B5EF4-FFF2-40B4-BE49-F238E27FC236}">
              <a16:creationId xmlns:a16="http://schemas.microsoft.com/office/drawing/2014/main" id="{5C7FB83E-BEB6-4E95-8650-D512A0A644FF}"/>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10" name="Text Box 6" hidden="1">
          <a:extLst>
            <a:ext uri="{FF2B5EF4-FFF2-40B4-BE49-F238E27FC236}">
              <a16:creationId xmlns:a16="http://schemas.microsoft.com/office/drawing/2014/main" id="{7E7A0CE0-F625-445B-833A-1DBAD14D430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11" name="Text Box 5" hidden="1">
          <a:extLst>
            <a:ext uri="{FF2B5EF4-FFF2-40B4-BE49-F238E27FC236}">
              <a16:creationId xmlns:a16="http://schemas.microsoft.com/office/drawing/2014/main" id="{EABCDE5A-A9C8-426B-99A5-5556517304F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12" name="Text Box 10" hidden="1">
          <a:extLst>
            <a:ext uri="{FF2B5EF4-FFF2-40B4-BE49-F238E27FC236}">
              <a16:creationId xmlns:a16="http://schemas.microsoft.com/office/drawing/2014/main" id="{EA3F969B-967B-4C3C-95A4-481C8222BBD6}"/>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13" name="Text Box 9" hidden="1">
          <a:extLst>
            <a:ext uri="{FF2B5EF4-FFF2-40B4-BE49-F238E27FC236}">
              <a16:creationId xmlns:a16="http://schemas.microsoft.com/office/drawing/2014/main" id="{70A8A93B-69AE-4F70-B71E-3271235B31D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14" name="Text Box 8" hidden="1">
          <a:extLst>
            <a:ext uri="{FF2B5EF4-FFF2-40B4-BE49-F238E27FC236}">
              <a16:creationId xmlns:a16="http://schemas.microsoft.com/office/drawing/2014/main" id="{3701B754-5669-4CB7-806C-571316AB950E}"/>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15" name="Text Box 13" hidden="1">
          <a:extLst>
            <a:ext uri="{FF2B5EF4-FFF2-40B4-BE49-F238E27FC236}">
              <a16:creationId xmlns:a16="http://schemas.microsoft.com/office/drawing/2014/main" id="{39FC121C-3665-4F58-B9B5-96F7A9B3EBEE}"/>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16" name="Text Box 12" hidden="1">
          <a:extLst>
            <a:ext uri="{FF2B5EF4-FFF2-40B4-BE49-F238E27FC236}">
              <a16:creationId xmlns:a16="http://schemas.microsoft.com/office/drawing/2014/main" id="{549E323F-FCAC-49F8-B0C5-CA1D52415146}"/>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17" name="Text Box 11" hidden="1">
          <a:extLst>
            <a:ext uri="{FF2B5EF4-FFF2-40B4-BE49-F238E27FC236}">
              <a16:creationId xmlns:a16="http://schemas.microsoft.com/office/drawing/2014/main" id="{EF48F89D-9674-4685-8953-8B5921B807B9}"/>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18" name="Text Box 16" hidden="1">
          <a:extLst>
            <a:ext uri="{FF2B5EF4-FFF2-40B4-BE49-F238E27FC236}">
              <a16:creationId xmlns:a16="http://schemas.microsoft.com/office/drawing/2014/main" id="{7F3025AF-E838-4EF0-9345-C3DEBF2ADB6B}"/>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19" name="Text Box 15" hidden="1">
          <a:extLst>
            <a:ext uri="{FF2B5EF4-FFF2-40B4-BE49-F238E27FC236}">
              <a16:creationId xmlns:a16="http://schemas.microsoft.com/office/drawing/2014/main" id="{4F8A0570-B677-4132-B86A-82320E09C604}"/>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20" name="Text Box 14" hidden="1">
          <a:extLst>
            <a:ext uri="{FF2B5EF4-FFF2-40B4-BE49-F238E27FC236}">
              <a16:creationId xmlns:a16="http://schemas.microsoft.com/office/drawing/2014/main" id="{8AAE9D44-B643-431D-B447-85176C6D56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21" name="Text Box 19" hidden="1">
          <a:extLst>
            <a:ext uri="{FF2B5EF4-FFF2-40B4-BE49-F238E27FC236}">
              <a16:creationId xmlns:a16="http://schemas.microsoft.com/office/drawing/2014/main" id="{4ADD41A4-D49B-4650-8C7A-DB9882D46202}"/>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22" name="Text Box 18" hidden="1">
          <a:extLst>
            <a:ext uri="{FF2B5EF4-FFF2-40B4-BE49-F238E27FC236}">
              <a16:creationId xmlns:a16="http://schemas.microsoft.com/office/drawing/2014/main" id="{F3955B2B-93C6-4230-A78A-33023A01802F}"/>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23" name="Text Box 17" hidden="1">
          <a:extLst>
            <a:ext uri="{FF2B5EF4-FFF2-40B4-BE49-F238E27FC236}">
              <a16:creationId xmlns:a16="http://schemas.microsoft.com/office/drawing/2014/main" id="{C8B5D7A9-2757-4DC1-B3CB-5D1A0AD489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24" name="Text Box 22" hidden="1">
          <a:extLst>
            <a:ext uri="{FF2B5EF4-FFF2-40B4-BE49-F238E27FC236}">
              <a16:creationId xmlns:a16="http://schemas.microsoft.com/office/drawing/2014/main" id="{0AFA4BF7-0BC6-4AA1-BD61-D70A23DBF47D}"/>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25" name="Text Box 21" hidden="1">
          <a:extLst>
            <a:ext uri="{FF2B5EF4-FFF2-40B4-BE49-F238E27FC236}">
              <a16:creationId xmlns:a16="http://schemas.microsoft.com/office/drawing/2014/main" id="{923B7FE1-5473-4CD8-83CD-B2406EE93C2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26" name="Text Box 20" hidden="1">
          <a:extLst>
            <a:ext uri="{FF2B5EF4-FFF2-40B4-BE49-F238E27FC236}">
              <a16:creationId xmlns:a16="http://schemas.microsoft.com/office/drawing/2014/main" id="{60FACD36-8A42-41F8-9745-1780B9329DF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27" name="Text Box 25" hidden="1">
          <a:extLst>
            <a:ext uri="{FF2B5EF4-FFF2-40B4-BE49-F238E27FC236}">
              <a16:creationId xmlns:a16="http://schemas.microsoft.com/office/drawing/2014/main" id="{AD0ACFBB-FD1C-4460-9950-11E87B21F239}"/>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28" name="Text Box 24" hidden="1">
          <a:extLst>
            <a:ext uri="{FF2B5EF4-FFF2-40B4-BE49-F238E27FC236}">
              <a16:creationId xmlns:a16="http://schemas.microsoft.com/office/drawing/2014/main" id="{D1B97786-DF36-4A59-BF21-208030E38225}"/>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29" name="Text Box 23" hidden="1">
          <a:extLst>
            <a:ext uri="{FF2B5EF4-FFF2-40B4-BE49-F238E27FC236}">
              <a16:creationId xmlns:a16="http://schemas.microsoft.com/office/drawing/2014/main" id="{A89C65E9-817B-4DBC-87E6-35EC581E0DC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82992</xdr:rowOff>
    </xdr:from>
    <xdr:to>
      <xdr:col>8</xdr:col>
      <xdr:colOff>274913</xdr:colOff>
      <xdr:row>72</xdr:row>
      <xdr:rowOff>82992</xdr:rowOff>
    </xdr:to>
    <xdr:sp macro="" textlink="">
      <xdr:nvSpPr>
        <xdr:cNvPr id="30" name="Text Box 28" hidden="1">
          <a:extLst>
            <a:ext uri="{FF2B5EF4-FFF2-40B4-BE49-F238E27FC236}">
              <a16:creationId xmlns:a16="http://schemas.microsoft.com/office/drawing/2014/main" id="{BA4696F6-65B7-4676-B558-6B008AB4193B}"/>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82992</xdr:rowOff>
    </xdr:from>
    <xdr:to>
      <xdr:col>11</xdr:col>
      <xdr:colOff>235329</xdr:colOff>
      <xdr:row>72</xdr:row>
      <xdr:rowOff>82992</xdr:rowOff>
    </xdr:to>
    <xdr:sp macro="" textlink="">
      <xdr:nvSpPr>
        <xdr:cNvPr id="31" name="Text Box 27" hidden="1">
          <a:extLst>
            <a:ext uri="{FF2B5EF4-FFF2-40B4-BE49-F238E27FC236}">
              <a16:creationId xmlns:a16="http://schemas.microsoft.com/office/drawing/2014/main" id="{272310DD-70C6-4878-80D4-012DECE7E00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32" name="Text Box 26" hidden="1">
          <a:extLst>
            <a:ext uri="{FF2B5EF4-FFF2-40B4-BE49-F238E27FC236}">
              <a16:creationId xmlns:a16="http://schemas.microsoft.com/office/drawing/2014/main" id="{E27B1BB6-D0F7-461F-8CC4-1B11419ED7F0}"/>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82992</xdr:rowOff>
    </xdr:from>
    <xdr:to>
      <xdr:col>8</xdr:col>
      <xdr:colOff>274913</xdr:colOff>
      <xdr:row>72</xdr:row>
      <xdr:rowOff>82992</xdr:rowOff>
    </xdr:to>
    <xdr:sp macro="" textlink="">
      <xdr:nvSpPr>
        <xdr:cNvPr id="33" name="Text Box 31" hidden="1">
          <a:extLst>
            <a:ext uri="{FF2B5EF4-FFF2-40B4-BE49-F238E27FC236}">
              <a16:creationId xmlns:a16="http://schemas.microsoft.com/office/drawing/2014/main" id="{625C969F-0D2C-45A8-ABEE-C48AE9842CB1}"/>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82992</xdr:rowOff>
    </xdr:from>
    <xdr:to>
      <xdr:col>11</xdr:col>
      <xdr:colOff>235329</xdr:colOff>
      <xdr:row>72</xdr:row>
      <xdr:rowOff>82992</xdr:rowOff>
    </xdr:to>
    <xdr:sp macro="" textlink="">
      <xdr:nvSpPr>
        <xdr:cNvPr id="34" name="Text Box 30" hidden="1">
          <a:extLst>
            <a:ext uri="{FF2B5EF4-FFF2-40B4-BE49-F238E27FC236}">
              <a16:creationId xmlns:a16="http://schemas.microsoft.com/office/drawing/2014/main" id="{50063E08-8DA1-4847-A796-1BCA0C03635F}"/>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35" name="Text Box 29" hidden="1">
          <a:extLst>
            <a:ext uri="{FF2B5EF4-FFF2-40B4-BE49-F238E27FC236}">
              <a16:creationId xmlns:a16="http://schemas.microsoft.com/office/drawing/2014/main" id="{A28CFDB6-102C-499E-A349-509761034C08}"/>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82992</xdr:rowOff>
    </xdr:from>
    <xdr:to>
      <xdr:col>8</xdr:col>
      <xdr:colOff>274913</xdr:colOff>
      <xdr:row>72</xdr:row>
      <xdr:rowOff>82992</xdr:rowOff>
    </xdr:to>
    <xdr:sp macro="" textlink="">
      <xdr:nvSpPr>
        <xdr:cNvPr id="36" name="Text Box 34" hidden="1">
          <a:extLst>
            <a:ext uri="{FF2B5EF4-FFF2-40B4-BE49-F238E27FC236}">
              <a16:creationId xmlns:a16="http://schemas.microsoft.com/office/drawing/2014/main" id="{92C38102-B5AC-4DCB-8A27-6AEE8D4E70B8}"/>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82992</xdr:rowOff>
    </xdr:from>
    <xdr:to>
      <xdr:col>11</xdr:col>
      <xdr:colOff>235329</xdr:colOff>
      <xdr:row>72</xdr:row>
      <xdr:rowOff>82992</xdr:rowOff>
    </xdr:to>
    <xdr:sp macro="" textlink="">
      <xdr:nvSpPr>
        <xdr:cNvPr id="37" name="Text Box 33" hidden="1">
          <a:extLst>
            <a:ext uri="{FF2B5EF4-FFF2-40B4-BE49-F238E27FC236}">
              <a16:creationId xmlns:a16="http://schemas.microsoft.com/office/drawing/2014/main" id="{6C805C31-7554-4EDE-B218-F289B433ED8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38" name="Text Box 32" hidden="1">
          <a:extLst>
            <a:ext uri="{FF2B5EF4-FFF2-40B4-BE49-F238E27FC236}">
              <a16:creationId xmlns:a16="http://schemas.microsoft.com/office/drawing/2014/main" id="{1BB20E01-469D-417D-994F-678CFB5614D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82992</xdr:rowOff>
    </xdr:from>
    <xdr:to>
      <xdr:col>8</xdr:col>
      <xdr:colOff>274913</xdr:colOff>
      <xdr:row>72</xdr:row>
      <xdr:rowOff>82992</xdr:rowOff>
    </xdr:to>
    <xdr:sp macro="" textlink="">
      <xdr:nvSpPr>
        <xdr:cNvPr id="39" name="Text Box 37" hidden="1">
          <a:extLst>
            <a:ext uri="{FF2B5EF4-FFF2-40B4-BE49-F238E27FC236}">
              <a16:creationId xmlns:a16="http://schemas.microsoft.com/office/drawing/2014/main" id="{79915121-7ECD-4172-9321-E0D2BECBD7A5}"/>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82992</xdr:rowOff>
    </xdr:from>
    <xdr:to>
      <xdr:col>11</xdr:col>
      <xdr:colOff>235329</xdr:colOff>
      <xdr:row>72</xdr:row>
      <xdr:rowOff>82992</xdr:rowOff>
    </xdr:to>
    <xdr:sp macro="" textlink="">
      <xdr:nvSpPr>
        <xdr:cNvPr id="40" name="Text Box 36" hidden="1">
          <a:extLst>
            <a:ext uri="{FF2B5EF4-FFF2-40B4-BE49-F238E27FC236}">
              <a16:creationId xmlns:a16="http://schemas.microsoft.com/office/drawing/2014/main" id="{14E1FD21-D510-465E-BF1C-86F388ED2E2D}"/>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41" name="Text Box 35" hidden="1">
          <a:extLst>
            <a:ext uri="{FF2B5EF4-FFF2-40B4-BE49-F238E27FC236}">
              <a16:creationId xmlns:a16="http://schemas.microsoft.com/office/drawing/2014/main" id="{BADEE5C5-14E3-4746-BE19-E1D389132A1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237184</xdr:rowOff>
    </xdr:from>
    <xdr:to>
      <xdr:col>8</xdr:col>
      <xdr:colOff>274913</xdr:colOff>
      <xdr:row>72</xdr:row>
      <xdr:rowOff>237184</xdr:rowOff>
    </xdr:to>
    <xdr:sp macro="" textlink="">
      <xdr:nvSpPr>
        <xdr:cNvPr id="42" name="Text Box 40" hidden="1">
          <a:extLst>
            <a:ext uri="{FF2B5EF4-FFF2-40B4-BE49-F238E27FC236}">
              <a16:creationId xmlns:a16="http://schemas.microsoft.com/office/drawing/2014/main" id="{AF2A08AA-FC9C-410B-8D01-6726672DCA2E}"/>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237184</xdr:rowOff>
    </xdr:from>
    <xdr:to>
      <xdr:col>11</xdr:col>
      <xdr:colOff>235329</xdr:colOff>
      <xdr:row>72</xdr:row>
      <xdr:rowOff>237184</xdr:rowOff>
    </xdr:to>
    <xdr:sp macro="" textlink="">
      <xdr:nvSpPr>
        <xdr:cNvPr id="43" name="Text Box 39" hidden="1">
          <a:extLst>
            <a:ext uri="{FF2B5EF4-FFF2-40B4-BE49-F238E27FC236}">
              <a16:creationId xmlns:a16="http://schemas.microsoft.com/office/drawing/2014/main" id="{0100B0DD-584D-43FB-A6DB-0B90DA5B658C}"/>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57616</xdr:rowOff>
    </xdr:to>
    <xdr:sp macro="" textlink="">
      <xdr:nvSpPr>
        <xdr:cNvPr id="44" name="Text Box 38" hidden="1">
          <a:extLst>
            <a:ext uri="{FF2B5EF4-FFF2-40B4-BE49-F238E27FC236}">
              <a16:creationId xmlns:a16="http://schemas.microsoft.com/office/drawing/2014/main" id="{E560F0E1-9E26-4306-A3C6-4698028BCBDC}"/>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237184</xdr:rowOff>
    </xdr:from>
    <xdr:to>
      <xdr:col>8</xdr:col>
      <xdr:colOff>274913</xdr:colOff>
      <xdr:row>72</xdr:row>
      <xdr:rowOff>237184</xdr:rowOff>
    </xdr:to>
    <xdr:sp macro="" textlink="">
      <xdr:nvSpPr>
        <xdr:cNvPr id="45" name="Text Box 43" hidden="1">
          <a:extLst>
            <a:ext uri="{FF2B5EF4-FFF2-40B4-BE49-F238E27FC236}">
              <a16:creationId xmlns:a16="http://schemas.microsoft.com/office/drawing/2014/main" id="{63182913-E817-4456-9753-EA18BF6807A6}"/>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237184</xdr:rowOff>
    </xdr:from>
    <xdr:to>
      <xdr:col>11</xdr:col>
      <xdr:colOff>235329</xdr:colOff>
      <xdr:row>72</xdr:row>
      <xdr:rowOff>237184</xdr:rowOff>
    </xdr:to>
    <xdr:sp macro="" textlink="">
      <xdr:nvSpPr>
        <xdr:cNvPr id="46" name="Text Box 42" hidden="1">
          <a:extLst>
            <a:ext uri="{FF2B5EF4-FFF2-40B4-BE49-F238E27FC236}">
              <a16:creationId xmlns:a16="http://schemas.microsoft.com/office/drawing/2014/main" id="{0557CB8F-7D92-4DB7-8C39-06CCB9DC408B}"/>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57616</xdr:rowOff>
    </xdr:to>
    <xdr:sp macro="" textlink="">
      <xdr:nvSpPr>
        <xdr:cNvPr id="47" name="Text Box 41" hidden="1">
          <a:extLst>
            <a:ext uri="{FF2B5EF4-FFF2-40B4-BE49-F238E27FC236}">
              <a16:creationId xmlns:a16="http://schemas.microsoft.com/office/drawing/2014/main" id="{AC0AAA92-C1A7-4465-8F6E-C65748B6FFA6}"/>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72</xdr:row>
      <xdr:rowOff>237184</xdr:rowOff>
    </xdr:from>
    <xdr:to>
      <xdr:col>8</xdr:col>
      <xdr:colOff>287976</xdr:colOff>
      <xdr:row>72</xdr:row>
      <xdr:rowOff>237184</xdr:rowOff>
    </xdr:to>
    <xdr:sp macro="" textlink="">
      <xdr:nvSpPr>
        <xdr:cNvPr id="48" name="Text Box 46" hidden="1">
          <a:extLst>
            <a:ext uri="{FF2B5EF4-FFF2-40B4-BE49-F238E27FC236}">
              <a16:creationId xmlns:a16="http://schemas.microsoft.com/office/drawing/2014/main" id="{8A93FDB3-8660-409C-BE5C-FF998BD7E8F7}"/>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237184</xdr:rowOff>
    </xdr:from>
    <xdr:to>
      <xdr:col>11</xdr:col>
      <xdr:colOff>248392</xdr:colOff>
      <xdr:row>72</xdr:row>
      <xdr:rowOff>237184</xdr:rowOff>
    </xdr:to>
    <xdr:sp macro="" textlink="">
      <xdr:nvSpPr>
        <xdr:cNvPr id="49" name="Text Box 45" hidden="1">
          <a:extLst>
            <a:ext uri="{FF2B5EF4-FFF2-40B4-BE49-F238E27FC236}">
              <a16:creationId xmlns:a16="http://schemas.microsoft.com/office/drawing/2014/main" id="{67EEC3B3-7E7D-4A81-8CBE-42937A964254}"/>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57616</xdr:rowOff>
    </xdr:to>
    <xdr:sp macro="" textlink="">
      <xdr:nvSpPr>
        <xdr:cNvPr id="50" name="Text Box 44" hidden="1">
          <a:extLst>
            <a:ext uri="{FF2B5EF4-FFF2-40B4-BE49-F238E27FC236}">
              <a16:creationId xmlns:a16="http://schemas.microsoft.com/office/drawing/2014/main" id="{8613E297-FD36-450A-BC04-F6B4910D860F}"/>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72</xdr:row>
      <xdr:rowOff>237184</xdr:rowOff>
    </xdr:from>
    <xdr:to>
      <xdr:col>8</xdr:col>
      <xdr:colOff>287976</xdr:colOff>
      <xdr:row>72</xdr:row>
      <xdr:rowOff>237184</xdr:rowOff>
    </xdr:to>
    <xdr:sp macro="" textlink="">
      <xdr:nvSpPr>
        <xdr:cNvPr id="51" name="Text Box 49" hidden="1">
          <a:extLst>
            <a:ext uri="{FF2B5EF4-FFF2-40B4-BE49-F238E27FC236}">
              <a16:creationId xmlns:a16="http://schemas.microsoft.com/office/drawing/2014/main" id="{AC03D0B4-C3BE-4FB5-B1ED-C815B0658473}"/>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237184</xdr:rowOff>
    </xdr:from>
    <xdr:to>
      <xdr:col>11</xdr:col>
      <xdr:colOff>248392</xdr:colOff>
      <xdr:row>72</xdr:row>
      <xdr:rowOff>237184</xdr:rowOff>
    </xdr:to>
    <xdr:sp macro="" textlink="">
      <xdr:nvSpPr>
        <xdr:cNvPr id="52" name="Text Box 48" hidden="1">
          <a:extLst>
            <a:ext uri="{FF2B5EF4-FFF2-40B4-BE49-F238E27FC236}">
              <a16:creationId xmlns:a16="http://schemas.microsoft.com/office/drawing/2014/main" id="{8DE49F36-6361-4476-AD27-D1EDBC68DDC7}"/>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57616</xdr:rowOff>
    </xdr:to>
    <xdr:sp macro="" textlink="">
      <xdr:nvSpPr>
        <xdr:cNvPr id="53" name="Text Box 47" hidden="1">
          <a:extLst>
            <a:ext uri="{FF2B5EF4-FFF2-40B4-BE49-F238E27FC236}">
              <a16:creationId xmlns:a16="http://schemas.microsoft.com/office/drawing/2014/main" id="{D2CA50A9-EE12-41C7-AFE0-E920FEEF6631}"/>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145465</xdr:colOff>
      <xdr:row>72</xdr:row>
      <xdr:rowOff>130428</xdr:rowOff>
    </xdr:from>
    <xdr:to>
      <xdr:col>8</xdr:col>
      <xdr:colOff>254321</xdr:colOff>
      <xdr:row>72</xdr:row>
      <xdr:rowOff>130428</xdr:rowOff>
    </xdr:to>
    <xdr:sp macro="" textlink="">
      <xdr:nvSpPr>
        <xdr:cNvPr id="54" name="Text Box 52" hidden="1">
          <a:extLst>
            <a:ext uri="{FF2B5EF4-FFF2-40B4-BE49-F238E27FC236}">
              <a16:creationId xmlns:a16="http://schemas.microsoft.com/office/drawing/2014/main" id="{5B6F4D3C-F745-405E-BFE2-71714CED5E7D}"/>
            </a:ext>
          </a:extLst>
        </xdr:cNvPr>
        <xdr:cNvSpPr txBox="1">
          <a:spLocks noChangeArrowheads="1"/>
        </xdr:cNvSpPr>
      </xdr:nvSpPr>
      <xdr:spPr bwMode="auto">
        <a:xfrm>
          <a:off x="9013240" y="18859753"/>
          <a:ext cx="16042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72</xdr:row>
      <xdr:rowOff>130428</xdr:rowOff>
    </xdr:from>
    <xdr:to>
      <xdr:col>11</xdr:col>
      <xdr:colOff>211562</xdr:colOff>
      <xdr:row>72</xdr:row>
      <xdr:rowOff>130428</xdr:rowOff>
    </xdr:to>
    <xdr:sp macro="" textlink="">
      <xdr:nvSpPr>
        <xdr:cNvPr id="55" name="Text Box 51" hidden="1">
          <a:extLst>
            <a:ext uri="{FF2B5EF4-FFF2-40B4-BE49-F238E27FC236}">
              <a16:creationId xmlns:a16="http://schemas.microsoft.com/office/drawing/2014/main" id="{F1B9D204-B866-4D3D-8702-2622EE3BB655}"/>
            </a:ext>
          </a:extLst>
        </xdr:cNvPr>
        <xdr:cNvSpPr txBox="1">
          <a:spLocks noChangeArrowheads="1"/>
        </xdr:cNvSpPr>
      </xdr:nvSpPr>
      <xdr:spPr bwMode="auto">
        <a:xfrm>
          <a:off x="1133676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4197424</xdr:colOff>
      <xdr:row>32</xdr:row>
      <xdr:rowOff>57616</xdr:rowOff>
    </xdr:to>
    <xdr:sp macro="" textlink="">
      <xdr:nvSpPr>
        <xdr:cNvPr id="56" name="Text Box 50" hidden="1">
          <a:extLst>
            <a:ext uri="{FF2B5EF4-FFF2-40B4-BE49-F238E27FC236}">
              <a16:creationId xmlns:a16="http://schemas.microsoft.com/office/drawing/2014/main" id="{F047B197-3565-42FA-80E5-E30D186901C6}"/>
            </a:ext>
          </a:extLst>
        </xdr:cNvPr>
        <xdr:cNvSpPr txBox="1">
          <a:spLocks noChangeArrowheads="1"/>
        </xdr:cNvSpPr>
      </xdr:nvSpPr>
      <xdr:spPr bwMode="auto">
        <a:xfrm>
          <a:off x="3390900" y="6737163"/>
          <a:ext cx="1568524"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554462</xdr:colOff>
      <xdr:row>29</xdr:row>
      <xdr:rowOff>326838</xdr:rowOff>
    </xdr:to>
    <xdr:sp macro="" textlink="">
      <xdr:nvSpPr>
        <xdr:cNvPr id="57" name="Text Box 53" hidden="1">
          <a:extLst>
            <a:ext uri="{FF2B5EF4-FFF2-40B4-BE49-F238E27FC236}">
              <a16:creationId xmlns:a16="http://schemas.microsoft.com/office/drawing/2014/main" id="{F664BE1F-A68E-4DB1-9B92-B84EE7F3F0E3}"/>
            </a:ext>
          </a:extLst>
        </xdr:cNvPr>
        <xdr:cNvSpPr txBox="1">
          <a:spLocks noChangeArrowheads="1"/>
        </xdr:cNvSpPr>
      </xdr:nvSpPr>
      <xdr:spPr bwMode="auto">
        <a:xfrm>
          <a:off x="16536459" y="5295526"/>
          <a:ext cx="1315403" cy="7621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554462</xdr:colOff>
      <xdr:row>28</xdr:row>
      <xdr:rowOff>209176</xdr:rowOff>
    </xdr:to>
    <xdr:sp macro="" textlink="">
      <xdr:nvSpPr>
        <xdr:cNvPr id="58" name="Text Box 54" hidden="1">
          <a:extLst>
            <a:ext uri="{FF2B5EF4-FFF2-40B4-BE49-F238E27FC236}">
              <a16:creationId xmlns:a16="http://schemas.microsoft.com/office/drawing/2014/main" id="{A3F60529-C517-428A-987C-1A14F2191CE2}"/>
            </a:ext>
          </a:extLst>
        </xdr:cNvPr>
        <xdr:cNvSpPr txBox="1">
          <a:spLocks noChangeArrowheads="1"/>
        </xdr:cNvSpPr>
      </xdr:nvSpPr>
      <xdr:spPr bwMode="auto">
        <a:xfrm>
          <a:off x="16536459" y="4534461"/>
          <a:ext cx="1315403" cy="8499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49601</xdr:rowOff>
    </xdr:from>
    <xdr:to>
      <xdr:col>19</xdr:col>
      <xdr:colOff>591292</xdr:colOff>
      <xdr:row>72</xdr:row>
      <xdr:rowOff>38155</xdr:rowOff>
    </xdr:to>
    <xdr:sp macro="" textlink="">
      <xdr:nvSpPr>
        <xdr:cNvPr id="59" name="Text Box 56" hidden="1">
          <a:extLst>
            <a:ext uri="{FF2B5EF4-FFF2-40B4-BE49-F238E27FC236}">
              <a16:creationId xmlns:a16="http://schemas.microsoft.com/office/drawing/2014/main" id="{3DC99C5C-0F44-4BB3-BC75-AF9FB8362704}"/>
            </a:ext>
          </a:extLst>
        </xdr:cNvPr>
        <xdr:cNvSpPr txBox="1">
          <a:spLocks noChangeArrowheads="1"/>
        </xdr:cNvSpPr>
      </xdr:nvSpPr>
      <xdr:spPr bwMode="auto">
        <a:xfrm>
          <a:off x="18060458" y="17448601"/>
          <a:ext cx="1352234" cy="13157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130428</xdr:rowOff>
    </xdr:from>
    <xdr:to>
      <xdr:col>8</xdr:col>
      <xdr:colOff>249876</xdr:colOff>
      <xdr:row>72</xdr:row>
      <xdr:rowOff>130428</xdr:rowOff>
    </xdr:to>
    <xdr:sp macro="" textlink="">
      <xdr:nvSpPr>
        <xdr:cNvPr id="60" name="Text Box 62" hidden="1">
          <a:extLst>
            <a:ext uri="{FF2B5EF4-FFF2-40B4-BE49-F238E27FC236}">
              <a16:creationId xmlns:a16="http://schemas.microsoft.com/office/drawing/2014/main" id="{C3DF7370-CBDF-4A2A-B209-186EB738E67A}"/>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130428</xdr:rowOff>
    </xdr:from>
    <xdr:to>
      <xdr:col>11</xdr:col>
      <xdr:colOff>210292</xdr:colOff>
      <xdr:row>72</xdr:row>
      <xdr:rowOff>130428</xdr:rowOff>
    </xdr:to>
    <xdr:sp macro="" textlink="">
      <xdr:nvSpPr>
        <xdr:cNvPr id="61" name="Text Box 61" hidden="1">
          <a:extLst>
            <a:ext uri="{FF2B5EF4-FFF2-40B4-BE49-F238E27FC236}">
              <a16:creationId xmlns:a16="http://schemas.microsoft.com/office/drawing/2014/main" id="{05217B08-5E02-4A9D-8118-6C2FB5AFF1E5}"/>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62" name="Text Box 60" hidden="1">
          <a:extLst>
            <a:ext uri="{FF2B5EF4-FFF2-40B4-BE49-F238E27FC236}">
              <a16:creationId xmlns:a16="http://schemas.microsoft.com/office/drawing/2014/main" id="{86773D4F-795C-4142-8A0E-28308592808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63" name="Text Box 59" hidden="1">
          <a:extLst>
            <a:ext uri="{FF2B5EF4-FFF2-40B4-BE49-F238E27FC236}">
              <a16:creationId xmlns:a16="http://schemas.microsoft.com/office/drawing/2014/main" id="{5246D7D7-6EF3-4AA1-BE20-093AABB9A8E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64" name="Text Box 58" hidden="1">
          <a:extLst>
            <a:ext uri="{FF2B5EF4-FFF2-40B4-BE49-F238E27FC236}">
              <a16:creationId xmlns:a16="http://schemas.microsoft.com/office/drawing/2014/main" id="{FE264D08-1C79-41B6-8C12-6E72D8BB4AA1}"/>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49601</xdr:rowOff>
    </xdr:from>
    <xdr:to>
      <xdr:col>19</xdr:col>
      <xdr:colOff>591292</xdr:colOff>
      <xdr:row>72</xdr:row>
      <xdr:rowOff>11485</xdr:rowOff>
    </xdr:to>
    <xdr:sp macro="" textlink="">
      <xdr:nvSpPr>
        <xdr:cNvPr id="65" name="Text Box 57" hidden="1">
          <a:extLst>
            <a:ext uri="{FF2B5EF4-FFF2-40B4-BE49-F238E27FC236}">
              <a16:creationId xmlns:a16="http://schemas.microsoft.com/office/drawing/2014/main" id="{7BA5AE1D-C4BC-4011-BDEC-41191BD23F68}"/>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130428</xdr:rowOff>
    </xdr:from>
    <xdr:to>
      <xdr:col>8</xdr:col>
      <xdr:colOff>249876</xdr:colOff>
      <xdr:row>72</xdr:row>
      <xdr:rowOff>130428</xdr:rowOff>
    </xdr:to>
    <xdr:sp macro="" textlink="">
      <xdr:nvSpPr>
        <xdr:cNvPr id="66" name="Text Box 68" hidden="1">
          <a:extLst>
            <a:ext uri="{FF2B5EF4-FFF2-40B4-BE49-F238E27FC236}">
              <a16:creationId xmlns:a16="http://schemas.microsoft.com/office/drawing/2014/main" id="{F3758046-7DDE-4B7E-9AA5-BF4787063094}"/>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130428</xdr:rowOff>
    </xdr:from>
    <xdr:to>
      <xdr:col>11</xdr:col>
      <xdr:colOff>210292</xdr:colOff>
      <xdr:row>72</xdr:row>
      <xdr:rowOff>130428</xdr:rowOff>
    </xdr:to>
    <xdr:sp macro="" textlink="">
      <xdr:nvSpPr>
        <xdr:cNvPr id="67" name="Text Box 67" hidden="1">
          <a:extLst>
            <a:ext uri="{FF2B5EF4-FFF2-40B4-BE49-F238E27FC236}">
              <a16:creationId xmlns:a16="http://schemas.microsoft.com/office/drawing/2014/main" id="{02CA0397-B436-4038-91B7-0420FBBD36B3}"/>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68" name="Text Box 66" hidden="1">
          <a:extLst>
            <a:ext uri="{FF2B5EF4-FFF2-40B4-BE49-F238E27FC236}">
              <a16:creationId xmlns:a16="http://schemas.microsoft.com/office/drawing/2014/main" id="{525A1959-D7F9-470F-9D9B-E70FB7969F0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69" name="Text Box 65" hidden="1">
          <a:extLst>
            <a:ext uri="{FF2B5EF4-FFF2-40B4-BE49-F238E27FC236}">
              <a16:creationId xmlns:a16="http://schemas.microsoft.com/office/drawing/2014/main" id="{31607880-C827-4836-B7DA-1685CBD55EE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70" name="Text Box 64" hidden="1">
          <a:extLst>
            <a:ext uri="{FF2B5EF4-FFF2-40B4-BE49-F238E27FC236}">
              <a16:creationId xmlns:a16="http://schemas.microsoft.com/office/drawing/2014/main" id="{32DB4E8E-5F61-4F8E-A570-79B9668430D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49601</xdr:rowOff>
    </xdr:from>
    <xdr:to>
      <xdr:col>19</xdr:col>
      <xdr:colOff>591292</xdr:colOff>
      <xdr:row>72</xdr:row>
      <xdr:rowOff>11485</xdr:rowOff>
    </xdr:to>
    <xdr:sp macro="" textlink="">
      <xdr:nvSpPr>
        <xdr:cNvPr id="71" name="Text Box 63" hidden="1">
          <a:extLst>
            <a:ext uri="{FF2B5EF4-FFF2-40B4-BE49-F238E27FC236}">
              <a16:creationId xmlns:a16="http://schemas.microsoft.com/office/drawing/2014/main" id="{395D54C4-3857-4BC0-82C6-CB9D69811361}"/>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72" name="Text Box 86" hidden="1">
          <a:extLst>
            <a:ext uri="{FF2B5EF4-FFF2-40B4-BE49-F238E27FC236}">
              <a16:creationId xmlns:a16="http://schemas.microsoft.com/office/drawing/2014/main" id="{1D9BA0EB-EEA2-4A45-999C-03DC9B8CB00B}"/>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73" name="Text Box 85" hidden="1">
          <a:extLst>
            <a:ext uri="{FF2B5EF4-FFF2-40B4-BE49-F238E27FC236}">
              <a16:creationId xmlns:a16="http://schemas.microsoft.com/office/drawing/2014/main" id="{C33F81A9-86B5-49CF-AB3D-5F8F35EA6276}"/>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74" name="Text Box 84" hidden="1">
          <a:extLst>
            <a:ext uri="{FF2B5EF4-FFF2-40B4-BE49-F238E27FC236}">
              <a16:creationId xmlns:a16="http://schemas.microsoft.com/office/drawing/2014/main" id="{12CD83D7-714C-4003-9326-6F2FE14C1D7A}"/>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75" name="Text Box 83" hidden="1">
          <a:extLst>
            <a:ext uri="{FF2B5EF4-FFF2-40B4-BE49-F238E27FC236}">
              <a16:creationId xmlns:a16="http://schemas.microsoft.com/office/drawing/2014/main" id="{C0817D43-FB28-4BBB-8B05-7FED165EB12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76" name="Text Box 82" hidden="1">
          <a:extLst>
            <a:ext uri="{FF2B5EF4-FFF2-40B4-BE49-F238E27FC236}">
              <a16:creationId xmlns:a16="http://schemas.microsoft.com/office/drawing/2014/main" id="{926479F7-760C-4FCD-8C67-D8EDDFCDDB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121480</xdr:rowOff>
    </xdr:to>
    <xdr:sp macro="" textlink="">
      <xdr:nvSpPr>
        <xdr:cNvPr id="77" name="Text Box 81" hidden="1">
          <a:extLst>
            <a:ext uri="{FF2B5EF4-FFF2-40B4-BE49-F238E27FC236}">
              <a16:creationId xmlns:a16="http://schemas.microsoft.com/office/drawing/2014/main" id="{2ACD9A5C-C26D-4A71-A172-E492E9D894D1}"/>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78" name="Text Box 80" hidden="1">
          <a:extLst>
            <a:ext uri="{FF2B5EF4-FFF2-40B4-BE49-F238E27FC236}">
              <a16:creationId xmlns:a16="http://schemas.microsoft.com/office/drawing/2014/main" id="{5B38FC5C-85FF-493A-A1A5-48A69B3EC4C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79" name="Text Box 79" hidden="1">
          <a:extLst>
            <a:ext uri="{FF2B5EF4-FFF2-40B4-BE49-F238E27FC236}">
              <a16:creationId xmlns:a16="http://schemas.microsoft.com/office/drawing/2014/main" id="{67223007-534E-4F2F-86C7-3C94284AE61A}"/>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80" name="Text Box 78" hidden="1">
          <a:extLst>
            <a:ext uri="{FF2B5EF4-FFF2-40B4-BE49-F238E27FC236}">
              <a16:creationId xmlns:a16="http://schemas.microsoft.com/office/drawing/2014/main" id="{A973980C-0EED-4A04-9E9C-20DD07E2F603}"/>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81" name="Text Box 77" hidden="1">
          <a:extLst>
            <a:ext uri="{FF2B5EF4-FFF2-40B4-BE49-F238E27FC236}">
              <a16:creationId xmlns:a16="http://schemas.microsoft.com/office/drawing/2014/main" id="{054F16BF-8A74-4A76-A798-D510C40811FE}"/>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82" name="Text Box 76" hidden="1">
          <a:extLst>
            <a:ext uri="{FF2B5EF4-FFF2-40B4-BE49-F238E27FC236}">
              <a16:creationId xmlns:a16="http://schemas.microsoft.com/office/drawing/2014/main" id="{FC9DC560-C581-4E62-9824-2D5BF13384D7}"/>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121480</xdr:rowOff>
    </xdr:to>
    <xdr:sp macro="" textlink="">
      <xdr:nvSpPr>
        <xdr:cNvPr id="83" name="Text Box 75" hidden="1">
          <a:extLst>
            <a:ext uri="{FF2B5EF4-FFF2-40B4-BE49-F238E27FC236}">
              <a16:creationId xmlns:a16="http://schemas.microsoft.com/office/drawing/2014/main" id="{1CCC5339-D6CA-4875-B41C-7A3E30BC1D39}"/>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84" name="Text Box 74" hidden="1">
          <a:extLst>
            <a:ext uri="{FF2B5EF4-FFF2-40B4-BE49-F238E27FC236}">
              <a16:creationId xmlns:a16="http://schemas.microsoft.com/office/drawing/2014/main" id="{A8715D13-7F71-4177-9E21-94CA7C06CD4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85" name="Text Box 73" hidden="1">
          <a:extLst>
            <a:ext uri="{FF2B5EF4-FFF2-40B4-BE49-F238E27FC236}">
              <a16:creationId xmlns:a16="http://schemas.microsoft.com/office/drawing/2014/main" id="{32FFB3EA-3B88-4B60-A869-3DF9E654534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86" name="Text Box 72" hidden="1">
          <a:extLst>
            <a:ext uri="{FF2B5EF4-FFF2-40B4-BE49-F238E27FC236}">
              <a16:creationId xmlns:a16="http://schemas.microsoft.com/office/drawing/2014/main" id="{14F29684-8EFC-4036-9326-4D77C269CC2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87" name="Text Box 71" hidden="1">
          <a:extLst>
            <a:ext uri="{FF2B5EF4-FFF2-40B4-BE49-F238E27FC236}">
              <a16:creationId xmlns:a16="http://schemas.microsoft.com/office/drawing/2014/main" id="{B3E01ABC-A686-4CF3-9685-7151A7F4F0F6}"/>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88" name="Text Box 70" hidden="1">
          <a:extLst>
            <a:ext uri="{FF2B5EF4-FFF2-40B4-BE49-F238E27FC236}">
              <a16:creationId xmlns:a16="http://schemas.microsoft.com/office/drawing/2014/main" id="{69099EAA-C344-4A95-A14F-4FD3BEE2729F}"/>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121480</xdr:rowOff>
    </xdr:to>
    <xdr:sp macro="" textlink="">
      <xdr:nvSpPr>
        <xdr:cNvPr id="89" name="Text Box 69" hidden="1">
          <a:extLst>
            <a:ext uri="{FF2B5EF4-FFF2-40B4-BE49-F238E27FC236}">
              <a16:creationId xmlns:a16="http://schemas.microsoft.com/office/drawing/2014/main" id="{5ACB16EF-3388-4C07-8C98-D1561FEA4F1B}"/>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90" name="Text Box 104" hidden="1">
          <a:extLst>
            <a:ext uri="{FF2B5EF4-FFF2-40B4-BE49-F238E27FC236}">
              <a16:creationId xmlns:a16="http://schemas.microsoft.com/office/drawing/2014/main" id="{F1F81361-277F-4F49-BC08-27376389D62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91" name="Text Box 103" hidden="1">
          <a:extLst>
            <a:ext uri="{FF2B5EF4-FFF2-40B4-BE49-F238E27FC236}">
              <a16:creationId xmlns:a16="http://schemas.microsoft.com/office/drawing/2014/main" id="{659F5E74-0A97-4CFA-A5EF-12FCB044FF20}"/>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92" name="Text Box 102" hidden="1">
          <a:extLst>
            <a:ext uri="{FF2B5EF4-FFF2-40B4-BE49-F238E27FC236}">
              <a16:creationId xmlns:a16="http://schemas.microsoft.com/office/drawing/2014/main" id="{E2764F5C-24DB-448B-9AF1-0FCF4AB7338D}"/>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93" name="Text Box 101" hidden="1">
          <a:extLst>
            <a:ext uri="{FF2B5EF4-FFF2-40B4-BE49-F238E27FC236}">
              <a16:creationId xmlns:a16="http://schemas.microsoft.com/office/drawing/2014/main" id="{A0E49AAE-921A-466B-AD23-0AB6E0351F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94" name="Text Box 100" hidden="1">
          <a:extLst>
            <a:ext uri="{FF2B5EF4-FFF2-40B4-BE49-F238E27FC236}">
              <a16:creationId xmlns:a16="http://schemas.microsoft.com/office/drawing/2014/main" id="{0565A986-058D-4CD2-A602-BDF98CAD6BED}"/>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95" name="Text Box 99" hidden="1">
          <a:extLst>
            <a:ext uri="{FF2B5EF4-FFF2-40B4-BE49-F238E27FC236}">
              <a16:creationId xmlns:a16="http://schemas.microsoft.com/office/drawing/2014/main" id="{6D9AEB20-6338-4304-BEAE-263C3430CF5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96" name="Text Box 98" hidden="1">
          <a:extLst>
            <a:ext uri="{FF2B5EF4-FFF2-40B4-BE49-F238E27FC236}">
              <a16:creationId xmlns:a16="http://schemas.microsoft.com/office/drawing/2014/main" id="{7C34BE29-40A5-4C44-9619-71B96314F18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97" name="Text Box 97" hidden="1">
          <a:extLst>
            <a:ext uri="{FF2B5EF4-FFF2-40B4-BE49-F238E27FC236}">
              <a16:creationId xmlns:a16="http://schemas.microsoft.com/office/drawing/2014/main" id="{F94D75BE-8709-46B4-980F-0A46EECC851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98" name="Text Box 96" hidden="1">
          <a:extLst>
            <a:ext uri="{FF2B5EF4-FFF2-40B4-BE49-F238E27FC236}">
              <a16:creationId xmlns:a16="http://schemas.microsoft.com/office/drawing/2014/main" id="{1C1A6B73-E75E-463F-9E63-6D6B4587BAAC}"/>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99" name="Text Box 95" hidden="1">
          <a:extLst>
            <a:ext uri="{FF2B5EF4-FFF2-40B4-BE49-F238E27FC236}">
              <a16:creationId xmlns:a16="http://schemas.microsoft.com/office/drawing/2014/main" id="{E9F2327A-B1D3-4681-AD47-220E82CAAE57}"/>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00" name="Text Box 94" hidden="1">
          <a:extLst>
            <a:ext uri="{FF2B5EF4-FFF2-40B4-BE49-F238E27FC236}">
              <a16:creationId xmlns:a16="http://schemas.microsoft.com/office/drawing/2014/main" id="{EF925136-700C-4034-9A5C-B71445F18B4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01" name="Text Box 93" hidden="1">
          <a:extLst>
            <a:ext uri="{FF2B5EF4-FFF2-40B4-BE49-F238E27FC236}">
              <a16:creationId xmlns:a16="http://schemas.microsoft.com/office/drawing/2014/main" id="{9A271245-1285-4FF7-AB66-48DD94F806E9}"/>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102" name="Text Box 92" hidden="1">
          <a:extLst>
            <a:ext uri="{FF2B5EF4-FFF2-40B4-BE49-F238E27FC236}">
              <a16:creationId xmlns:a16="http://schemas.microsoft.com/office/drawing/2014/main" id="{B367A77A-ED00-48DC-8320-9F495E59026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103" name="Text Box 91" hidden="1">
          <a:extLst>
            <a:ext uri="{FF2B5EF4-FFF2-40B4-BE49-F238E27FC236}">
              <a16:creationId xmlns:a16="http://schemas.microsoft.com/office/drawing/2014/main" id="{99217E15-C3A0-4DED-BD6D-6B6D0C4CBA8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04" name="Text Box 90" hidden="1">
          <a:extLst>
            <a:ext uri="{FF2B5EF4-FFF2-40B4-BE49-F238E27FC236}">
              <a16:creationId xmlns:a16="http://schemas.microsoft.com/office/drawing/2014/main" id="{AD8633C8-086B-4EBA-A13B-98AC935B50C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05" name="Text Box 89" hidden="1">
          <a:extLst>
            <a:ext uri="{FF2B5EF4-FFF2-40B4-BE49-F238E27FC236}">
              <a16:creationId xmlns:a16="http://schemas.microsoft.com/office/drawing/2014/main" id="{335BD1AA-33B7-4EE5-8981-748D78035765}"/>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06" name="Text Box 88" hidden="1">
          <a:extLst>
            <a:ext uri="{FF2B5EF4-FFF2-40B4-BE49-F238E27FC236}">
              <a16:creationId xmlns:a16="http://schemas.microsoft.com/office/drawing/2014/main" id="{4C6D6399-6FF0-48AE-A31C-C2F9E2F9E404}"/>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07" name="Text Box 87" hidden="1">
          <a:extLst>
            <a:ext uri="{FF2B5EF4-FFF2-40B4-BE49-F238E27FC236}">
              <a16:creationId xmlns:a16="http://schemas.microsoft.com/office/drawing/2014/main" id="{89A25B5A-7070-4914-9F51-BCF9934324E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108" name="Text Box 110" hidden="1">
          <a:extLst>
            <a:ext uri="{FF2B5EF4-FFF2-40B4-BE49-F238E27FC236}">
              <a16:creationId xmlns:a16="http://schemas.microsoft.com/office/drawing/2014/main" id="{A315DD9D-39F3-48EA-A5C6-E49A8E27793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109" name="Text Box 109" hidden="1">
          <a:extLst>
            <a:ext uri="{FF2B5EF4-FFF2-40B4-BE49-F238E27FC236}">
              <a16:creationId xmlns:a16="http://schemas.microsoft.com/office/drawing/2014/main" id="{CFEB1F8A-1BD7-46AC-B110-8F575C976732}"/>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10" name="Text Box 108" hidden="1">
          <a:extLst>
            <a:ext uri="{FF2B5EF4-FFF2-40B4-BE49-F238E27FC236}">
              <a16:creationId xmlns:a16="http://schemas.microsoft.com/office/drawing/2014/main" id="{8B499793-1CAB-4C62-A471-E5591F1B154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11" name="Text Box 107" hidden="1">
          <a:extLst>
            <a:ext uri="{FF2B5EF4-FFF2-40B4-BE49-F238E27FC236}">
              <a16:creationId xmlns:a16="http://schemas.microsoft.com/office/drawing/2014/main" id="{9BF33A5D-DBDD-4835-B946-F83607F5D231}"/>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12" name="Text Box 106" hidden="1">
          <a:extLst>
            <a:ext uri="{FF2B5EF4-FFF2-40B4-BE49-F238E27FC236}">
              <a16:creationId xmlns:a16="http://schemas.microsoft.com/office/drawing/2014/main" id="{71FEF327-40DA-4928-B133-3E58697E1AC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13" name="Text Box 105" hidden="1">
          <a:extLst>
            <a:ext uri="{FF2B5EF4-FFF2-40B4-BE49-F238E27FC236}">
              <a16:creationId xmlns:a16="http://schemas.microsoft.com/office/drawing/2014/main" id="{49AC5AC8-21B6-4C91-920F-869616B8A96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114" name="Text Box 116" hidden="1">
          <a:extLst>
            <a:ext uri="{FF2B5EF4-FFF2-40B4-BE49-F238E27FC236}">
              <a16:creationId xmlns:a16="http://schemas.microsoft.com/office/drawing/2014/main" id="{4CC08E92-66C4-43E9-A7F8-9A378E5D0778}"/>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115" name="Text Box 115" hidden="1">
          <a:extLst>
            <a:ext uri="{FF2B5EF4-FFF2-40B4-BE49-F238E27FC236}">
              <a16:creationId xmlns:a16="http://schemas.microsoft.com/office/drawing/2014/main" id="{D376DEA0-3F25-4361-9EBF-C55B4D78C3DD}"/>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16" name="Text Box 114" hidden="1">
          <a:extLst>
            <a:ext uri="{FF2B5EF4-FFF2-40B4-BE49-F238E27FC236}">
              <a16:creationId xmlns:a16="http://schemas.microsoft.com/office/drawing/2014/main" id="{FD2BB340-1BA4-42AC-AD84-2C72F145722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17" name="Text Box 113" hidden="1">
          <a:extLst>
            <a:ext uri="{FF2B5EF4-FFF2-40B4-BE49-F238E27FC236}">
              <a16:creationId xmlns:a16="http://schemas.microsoft.com/office/drawing/2014/main" id="{411BDF7A-7AE3-4AC5-B8BF-C80EB04CEAD8}"/>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18" name="Text Box 112" hidden="1">
          <a:extLst>
            <a:ext uri="{FF2B5EF4-FFF2-40B4-BE49-F238E27FC236}">
              <a16:creationId xmlns:a16="http://schemas.microsoft.com/office/drawing/2014/main" id="{EB937D52-1D41-43EA-9354-8BF9CA63202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19" name="Text Box 111" hidden="1">
          <a:extLst>
            <a:ext uri="{FF2B5EF4-FFF2-40B4-BE49-F238E27FC236}">
              <a16:creationId xmlns:a16="http://schemas.microsoft.com/office/drawing/2014/main" id="{34B9933D-7CD2-4667-9020-E398553442A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120" name="Text Box 122" hidden="1">
          <a:extLst>
            <a:ext uri="{FF2B5EF4-FFF2-40B4-BE49-F238E27FC236}">
              <a16:creationId xmlns:a16="http://schemas.microsoft.com/office/drawing/2014/main" id="{6678034D-62E1-4304-AB13-C47B85EBA67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121" name="Text Box 121" hidden="1">
          <a:extLst>
            <a:ext uri="{FF2B5EF4-FFF2-40B4-BE49-F238E27FC236}">
              <a16:creationId xmlns:a16="http://schemas.microsoft.com/office/drawing/2014/main" id="{09AA9B1D-3623-4B27-A86B-5CEAEE45D1BF}"/>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22" name="Text Box 120" hidden="1">
          <a:extLst>
            <a:ext uri="{FF2B5EF4-FFF2-40B4-BE49-F238E27FC236}">
              <a16:creationId xmlns:a16="http://schemas.microsoft.com/office/drawing/2014/main" id="{45429943-23A6-427D-9C16-471103F645C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23" name="Text Box 119" hidden="1">
          <a:extLst>
            <a:ext uri="{FF2B5EF4-FFF2-40B4-BE49-F238E27FC236}">
              <a16:creationId xmlns:a16="http://schemas.microsoft.com/office/drawing/2014/main" id="{7B54EE8E-6F64-4EF4-96E8-29C02A0A4E2C}"/>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24" name="Text Box 118" hidden="1">
          <a:extLst>
            <a:ext uri="{FF2B5EF4-FFF2-40B4-BE49-F238E27FC236}">
              <a16:creationId xmlns:a16="http://schemas.microsoft.com/office/drawing/2014/main" id="{A6FCE6C3-B74E-41AD-AD1B-F6C228CCCBE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25" name="Text Box 117" hidden="1">
          <a:extLst>
            <a:ext uri="{FF2B5EF4-FFF2-40B4-BE49-F238E27FC236}">
              <a16:creationId xmlns:a16="http://schemas.microsoft.com/office/drawing/2014/main" id="{AF1303AE-884B-423B-BF52-FAEE9C079720}"/>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126" name="Text Box 128" hidden="1">
          <a:extLst>
            <a:ext uri="{FF2B5EF4-FFF2-40B4-BE49-F238E27FC236}">
              <a16:creationId xmlns:a16="http://schemas.microsoft.com/office/drawing/2014/main" id="{EFBCBF45-A651-4A39-9F3B-8041E88B5FBE}"/>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127" name="Text Box 127" hidden="1">
          <a:extLst>
            <a:ext uri="{FF2B5EF4-FFF2-40B4-BE49-F238E27FC236}">
              <a16:creationId xmlns:a16="http://schemas.microsoft.com/office/drawing/2014/main" id="{FD27D066-821D-4BCB-AE1A-06FF999C651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28" name="Text Box 126" hidden="1">
          <a:extLst>
            <a:ext uri="{FF2B5EF4-FFF2-40B4-BE49-F238E27FC236}">
              <a16:creationId xmlns:a16="http://schemas.microsoft.com/office/drawing/2014/main" id="{306796BA-7159-4720-8AF8-A6763FDA11A4}"/>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29" name="Text Box 125" hidden="1">
          <a:extLst>
            <a:ext uri="{FF2B5EF4-FFF2-40B4-BE49-F238E27FC236}">
              <a16:creationId xmlns:a16="http://schemas.microsoft.com/office/drawing/2014/main" id="{D6D4F96C-F11B-4204-9618-C5A32BF482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30" name="Text Box 124" hidden="1">
          <a:extLst>
            <a:ext uri="{FF2B5EF4-FFF2-40B4-BE49-F238E27FC236}">
              <a16:creationId xmlns:a16="http://schemas.microsoft.com/office/drawing/2014/main" id="{10094EBD-AFF8-4059-B074-BB5442CC9AE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31" name="Text Box 123" hidden="1">
          <a:extLst>
            <a:ext uri="{FF2B5EF4-FFF2-40B4-BE49-F238E27FC236}">
              <a16:creationId xmlns:a16="http://schemas.microsoft.com/office/drawing/2014/main" id="{F0DE17C7-DFFE-4F5E-AEC1-B9D542717AC6}"/>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132" name="Text Box 134" hidden="1">
          <a:extLst>
            <a:ext uri="{FF2B5EF4-FFF2-40B4-BE49-F238E27FC236}">
              <a16:creationId xmlns:a16="http://schemas.microsoft.com/office/drawing/2014/main" id="{F93E4441-77D3-4BF8-AFCF-059944CC8E0C}"/>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133" name="Text Box 133" hidden="1">
          <a:extLst>
            <a:ext uri="{FF2B5EF4-FFF2-40B4-BE49-F238E27FC236}">
              <a16:creationId xmlns:a16="http://schemas.microsoft.com/office/drawing/2014/main" id="{7103DDCF-564E-4878-A900-A1D682A7AF4E}"/>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34" name="Text Box 132" hidden="1">
          <a:extLst>
            <a:ext uri="{FF2B5EF4-FFF2-40B4-BE49-F238E27FC236}">
              <a16:creationId xmlns:a16="http://schemas.microsoft.com/office/drawing/2014/main" id="{CA86B135-F2C1-4EF1-AFAE-E1B8661C1A4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35" name="Text Box 131" hidden="1">
          <a:extLst>
            <a:ext uri="{FF2B5EF4-FFF2-40B4-BE49-F238E27FC236}">
              <a16:creationId xmlns:a16="http://schemas.microsoft.com/office/drawing/2014/main" id="{1D0067BB-E3AD-4787-85F2-16A8DD4E4DC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36" name="Text Box 130" hidden="1">
          <a:extLst>
            <a:ext uri="{FF2B5EF4-FFF2-40B4-BE49-F238E27FC236}">
              <a16:creationId xmlns:a16="http://schemas.microsoft.com/office/drawing/2014/main" id="{5FAAD208-B467-428A-9BC4-ECE28B5EDE8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37" name="Text Box 129" hidden="1">
          <a:extLst>
            <a:ext uri="{FF2B5EF4-FFF2-40B4-BE49-F238E27FC236}">
              <a16:creationId xmlns:a16="http://schemas.microsoft.com/office/drawing/2014/main" id="{4F1283BA-B78B-450B-A86B-CA1C14E98D27}"/>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62</xdr:row>
      <xdr:rowOff>287863</xdr:rowOff>
    </xdr:from>
    <xdr:to>
      <xdr:col>8</xdr:col>
      <xdr:colOff>249876</xdr:colOff>
      <xdr:row>62</xdr:row>
      <xdr:rowOff>287863</xdr:rowOff>
    </xdr:to>
    <xdr:sp macro="" textlink="">
      <xdr:nvSpPr>
        <xdr:cNvPr id="138" name="Text Box 140" hidden="1">
          <a:extLst>
            <a:ext uri="{FF2B5EF4-FFF2-40B4-BE49-F238E27FC236}">
              <a16:creationId xmlns:a16="http://schemas.microsoft.com/office/drawing/2014/main" id="{863F6F52-D923-4292-AA59-A4AEB6CB3EE6}"/>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287863</xdr:rowOff>
    </xdr:from>
    <xdr:to>
      <xdr:col>11</xdr:col>
      <xdr:colOff>210292</xdr:colOff>
      <xdr:row>62</xdr:row>
      <xdr:rowOff>287863</xdr:rowOff>
    </xdr:to>
    <xdr:sp macro="" textlink="">
      <xdr:nvSpPr>
        <xdr:cNvPr id="139" name="Text Box 139" hidden="1">
          <a:extLst>
            <a:ext uri="{FF2B5EF4-FFF2-40B4-BE49-F238E27FC236}">
              <a16:creationId xmlns:a16="http://schemas.microsoft.com/office/drawing/2014/main" id="{9B9422CC-91C3-421D-8D76-0DF5D3D8238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40" name="Text Box 137" hidden="1">
          <a:extLst>
            <a:ext uri="{FF2B5EF4-FFF2-40B4-BE49-F238E27FC236}">
              <a16:creationId xmlns:a16="http://schemas.microsoft.com/office/drawing/2014/main" id="{27328258-0531-464E-94EF-FDD212261B0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41" name="Text Box 136" hidden="1">
          <a:extLst>
            <a:ext uri="{FF2B5EF4-FFF2-40B4-BE49-F238E27FC236}">
              <a16:creationId xmlns:a16="http://schemas.microsoft.com/office/drawing/2014/main" id="{7A1216FB-620B-44BD-8606-796D0359D8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154632</xdr:rowOff>
    </xdr:from>
    <xdr:to>
      <xdr:col>19</xdr:col>
      <xdr:colOff>591292</xdr:colOff>
      <xdr:row>62</xdr:row>
      <xdr:rowOff>154632</xdr:rowOff>
    </xdr:to>
    <xdr:sp macro="" textlink="">
      <xdr:nvSpPr>
        <xdr:cNvPr id="142" name="Text Box 135" hidden="1">
          <a:extLst>
            <a:ext uri="{FF2B5EF4-FFF2-40B4-BE49-F238E27FC236}">
              <a16:creationId xmlns:a16="http://schemas.microsoft.com/office/drawing/2014/main" id="{266A13C0-831D-4E67-B4F5-3E4070436783}"/>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101600</xdr:rowOff>
    </xdr:from>
    <xdr:to>
      <xdr:col>19</xdr:col>
      <xdr:colOff>629392</xdr:colOff>
      <xdr:row>24</xdr:row>
      <xdr:rowOff>105335</xdr:rowOff>
    </xdr:to>
    <xdr:sp macro="" textlink="">
      <xdr:nvSpPr>
        <xdr:cNvPr id="143" name="Text Box 141" hidden="1">
          <a:extLst>
            <a:ext uri="{FF2B5EF4-FFF2-40B4-BE49-F238E27FC236}">
              <a16:creationId xmlns:a16="http://schemas.microsoft.com/office/drawing/2014/main" id="{25632463-8A52-45D0-87A1-18BDFF7C43E5}"/>
            </a:ext>
          </a:extLst>
        </xdr:cNvPr>
        <xdr:cNvSpPr txBox="1">
          <a:spLocks noChangeArrowheads="1"/>
        </xdr:cNvSpPr>
      </xdr:nvSpPr>
      <xdr:spPr bwMode="auto">
        <a:xfrm>
          <a:off x="18155392" y="3305175"/>
          <a:ext cx="1295400" cy="7625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383988</xdr:rowOff>
    </xdr:from>
    <xdr:to>
      <xdr:col>1</xdr:col>
      <xdr:colOff>4726379</xdr:colOff>
      <xdr:row>31</xdr:row>
      <xdr:rowOff>59765</xdr:rowOff>
    </xdr:to>
    <xdr:sp macro="" textlink="">
      <xdr:nvSpPr>
        <xdr:cNvPr id="144" name="Text Box 142" hidden="1">
          <a:extLst>
            <a:ext uri="{FF2B5EF4-FFF2-40B4-BE49-F238E27FC236}">
              <a16:creationId xmlns:a16="http://schemas.microsoft.com/office/drawing/2014/main" id="{3011CE3F-3AD6-4367-873F-02E037BC8F68}"/>
            </a:ext>
          </a:extLst>
        </xdr:cNvPr>
        <xdr:cNvSpPr txBox="1">
          <a:spLocks noChangeArrowheads="1"/>
        </xdr:cNvSpPr>
      </xdr:nvSpPr>
      <xdr:spPr bwMode="auto">
        <a:xfrm>
          <a:off x="4231821" y="6114863"/>
          <a:ext cx="1256558" cy="7997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62</xdr:row>
      <xdr:rowOff>287863</xdr:rowOff>
    </xdr:from>
    <xdr:to>
      <xdr:col>8</xdr:col>
      <xdr:colOff>249876</xdr:colOff>
      <xdr:row>62</xdr:row>
      <xdr:rowOff>287863</xdr:rowOff>
    </xdr:to>
    <xdr:sp macro="" textlink="">
      <xdr:nvSpPr>
        <xdr:cNvPr id="145" name="Text Box 7" hidden="1">
          <a:extLst>
            <a:ext uri="{FF2B5EF4-FFF2-40B4-BE49-F238E27FC236}">
              <a16:creationId xmlns:a16="http://schemas.microsoft.com/office/drawing/2014/main" id="{61B04553-766D-4402-96C1-A6109FFDBB64}"/>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287863</xdr:rowOff>
    </xdr:from>
    <xdr:to>
      <xdr:col>11</xdr:col>
      <xdr:colOff>210292</xdr:colOff>
      <xdr:row>62</xdr:row>
      <xdr:rowOff>287863</xdr:rowOff>
    </xdr:to>
    <xdr:sp macro="" textlink="">
      <xdr:nvSpPr>
        <xdr:cNvPr id="146" name="Text Box 6" hidden="1">
          <a:extLst>
            <a:ext uri="{FF2B5EF4-FFF2-40B4-BE49-F238E27FC236}">
              <a16:creationId xmlns:a16="http://schemas.microsoft.com/office/drawing/2014/main" id="{7199ED85-D8EB-465A-B89C-4D56F955A92F}"/>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47" name="Text Box 5" hidden="1">
          <a:extLst>
            <a:ext uri="{FF2B5EF4-FFF2-40B4-BE49-F238E27FC236}">
              <a16:creationId xmlns:a16="http://schemas.microsoft.com/office/drawing/2014/main" id="{76C25C9C-6C19-4274-943B-32D5F8CF487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48" name="Text Box 4" hidden="1">
          <a:extLst>
            <a:ext uri="{FF2B5EF4-FFF2-40B4-BE49-F238E27FC236}">
              <a16:creationId xmlns:a16="http://schemas.microsoft.com/office/drawing/2014/main" id="{74E00CFB-F62C-4E0B-9A24-6E0F9130921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154632</xdr:rowOff>
    </xdr:from>
    <xdr:to>
      <xdr:col>19</xdr:col>
      <xdr:colOff>591292</xdr:colOff>
      <xdr:row>62</xdr:row>
      <xdr:rowOff>154632</xdr:rowOff>
    </xdr:to>
    <xdr:sp macro="" textlink="">
      <xdr:nvSpPr>
        <xdr:cNvPr id="149" name="Text Box 3" hidden="1">
          <a:extLst>
            <a:ext uri="{FF2B5EF4-FFF2-40B4-BE49-F238E27FC236}">
              <a16:creationId xmlns:a16="http://schemas.microsoft.com/office/drawing/2014/main" id="{6B011DB2-1175-4881-876C-5CCC05D79265}"/>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101600</xdr:rowOff>
    </xdr:from>
    <xdr:to>
      <xdr:col>19</xdr:col>
      <xdr:colOff>629392</xdr:colOff>
      <xdr:row>24</xdr:row>
      <xdr:rowOff>105335</xdr:rowOff>
    </xdr:to>
    <xdr:sp macro="" textlink="">
      <xdr:nvSpPr>
        <xdr:cNvPr id="150" name="Text Box 2" hidden="1">
          <a:extLst>
            <a:ext uri="{FF2B5EF4-FFF2-40B4-BE49-F238E27FC236}">
              <a16:creationId xmlns:a16="http://schemas.microsoft.com/office/drawing/2014/main" id="{14978378-D0D1-4B5B-9743-D3AE988B31C7}"/>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383988</xdr:rowOff>
    </xdr:from>
    <xdr:to>
      <xdr:col>1</xdr:col>
      <xdr:colOff>4726379</xdr:colOff>
      <xdr:row>31</xdr:row>
      <xdr:rowOff>59765</xdr:rowOff>
    </xdr:to>
    <xdr:sp macro="" textlink="">
      <xdr:nvSpPr>
        <xdr:cNvPr id="151" name="Text Box 1" hidden="1">
          <a:extLst>
            <a:ext uri="{FF2B5EF4-FFF2-40B4-BE49-F238E27FC236}">
              <a16:creationId xmlns:a16="http://schemas.microsoft.com/office/drawing/2014/main" id="{800E7EFF-ADBC-4ACC-8EC3-E69279400288}"/>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62</xdr:row>
      <xdr:rowOff>287863</xdr:rowOff>
    </xdr:from>
    <xdr:to>
      <xdr:col>8</xdr:col>
      <xdr:colOff>249876</xdr:colOff>
      <xdr:row>62</xdr:row>
      <xdr:rowOff>287863</xdr:rowOff>
    </xdr:to>
    <xdr:sp macro="" textlink="">
      <xdr:nvSpPr>
        <xdr:cNvPr id="152" name="Text Box 14" hidden="1">
          <a:extLst>
            <a:ext uri="{FF2B5EF4-FFF2-40B4-BE49-F238E27FC236}">
              <a16:creationId xmlns:a16="http://schemas.microsoft.com/office/drawing/2014/main" id="{78EAB878-EC1F-43AD-8328-023F9C5B313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287863</xdr:rowOff>
    </xdr:from>
    <xdr:to>
      <xdr:col>11</xdr:col>
      <xdr:colOff>210292</xdr:colOff>
      <xdr:row>62</xdr:row>
      <xdr:rowOff>287863</xdr:rowOff>
    </xdr:to>
    <xdr:sp macro="" textlink="">
      <xdr:nvSpPr>
        <xdr:cNvPr id="153" name="Text Box 13" hidden="1">
          <a:extLst>
            <a:ext uri="{FF2B5EF4-FFF2-40B4-BE49-F238E27FC236}">
              <a16:creationId xmlns:a16="http://schemas.microsoft.com/office/drawing/2014/main" id="{2155714C-0F9C-4DF2-A381-53AB36AEBC6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54" name="Text Box 12" hidden="1">
          <a:extLst>
            <a:ext uri="{FF2B5EF4-FFF2-40B4-BE49-F238E27FC236}">
              <a16:creationId xmlns:a16="http://schemas.microsoft.com/office/drawing/2014/main" id="{7CFBBC47-7D7A-4D18-836A-F60B4126005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55" name="Text Box 11" hidden="1">
          <a:extLst>
            <a:ext uri="{FF2B5EF4-FFF2-40B4-BE49-F238E27FC236}">
              <a16:creationId xmlns:a16="http://schemas.microsoft.com/office/drawing/2014/main" id="{A104CADA-ACCF-4685-AC0E-7910CC60DD6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154632</xdr:rowOff>
    </xdr:from>
    <xdr:to>
      <xdr:col>19</xdr:col>
      <xdr:colOff>591292</xdr:colOff>
      <xdr:row>62</xdr:row>
      <xdr:rowOff>154632</xdr:rowOff>
    </xdr:to>
    <xdr:sp macro="" textlink="">
      <xdr:nvSpPr>
        <xdr:cNvPr id="156" name="Text Box 10" hidden="1">
          <a:extLst>
            <a:ext uri="{FF2B5EF4-FFF2-40B4-BE49-F238E27FC236}">
              <a16:creationId xmlns:a16="http://schemas.microsoft.com/office/drawing/2014/main" id="{21B7A26D-37E5-41C3-B7C6-B7DDD7B08FD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101600</xdr:rowOff>
    </xdr:from>
    <xdr:to>
      <xdr:col>19</xdr:col>
      <xdr:colOff>629392</xdr:colOff>
      <xdr:row>24</xdr:row>
      <xdr:rowOff>105335</xdr:rowOff>
    </xdr:to>
    <xdr:sp macro="" textlink="">
      <xdr:nvSpPr>
        <xdr:cNvPr id="157" name="Text Box 9" hidden="1">
          <a:extLst>
            <a:ext uri="{FF2B5EF4-FFF2-40B4-BE49-F238E27FC236}">
              <a16:creationId xmlns:a16="http://schemas.microsoft.com/office/drawing/2014/main" id="{127BEADF-CF5A-4CFD-B624-CB5D6B7F65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383988</xdr:rowOff>
    </xdr:from>
    <xdr:to>
      <xdr:col>1</xdr:col>
      <xdr:colOff>4726379</xdr:colOff>
      <xdr:row>31</xdr:row>
      <xdr:rowOff>59765</xdr:rowOff>
    </xdr:to>
    <xdr:sp macro="" textlink="">
      <xdr:nvSpPr>
        <xdr:cNvPr id="158" name="Text Box 8" hidden="1">
          <a:extLst>
            <a:ext uri="{FF2B5EF4-FFF2-40B4-BE49-F238E27FC236}">
              <a16:creationId xmlns:a16="http://schemas.microsoft.com/office/drawing/2014/main" id="{0E13370D-BB0C-440C-8987-92C916D5C489}"/>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62</xdr:row>
      <xdr:rowOff>287863</xdr:rowOff>
    </xdr:from>
    <xdr:to>
      <xdr:col>8</xdr:col>
      <xdr:colOff>249876</xdr:colOff>
      <xdr:row>62</xdr:row>
      <xdr:rowOff>287863</xdr:rowOff>
    </xdr:to>
    <xdr:sp macro="" textlink="">
      <xdr:nvSpPr>
        <xdr:cNvPr id="159" name="Text Box 21" hidden="1">
          <a:extLst>
            <a:ext uri="{FF2B5EF4-FFF2-40B4-BE49-F238E27FC236}">
              <a16:creationId xmlns:a16="http://schemas.microsoft.com/office/drawing/2014/main" id="{391AF721-DD7D-4876-83CB-3DAF73E6F0D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287863</xdr:rowOff>
    </xdr:from>
    <xdr:to>
      <xdr:col>11</xdr:col>
      <xdr:colOff>210292</xdr:colOff>
      <xdr:row>62</xdr:row>
      <xdr:rowOff>287863</xdr:rowOff>
    </xdr:to>
    <xdr:sp macro="" textlink="">
      <xdr:nvSpPr>
        <xdr:cNvPr id="160" name="Text Box 20" hidden="1">
          <a:extLst>
            <a:ext uri="{FF2B5EF4-FFF2-40B4-BE49-F238E27FC236}">
              <a16:creationId xmlns:a16="http://schemas.microsoft.com/office/drawing/2014/main" id="{16F562FA-002C-462F-94A3-A1EB3A599AC7}"/>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61" name="Text Box 19" hidden="1">
          <a:extLst>
            <a:ext uri="{FF2B5EF4-FFF2-40B4-BE49-F238E27FC236}">
              <a16:creationId xmlns:a16="http://schemas.microsoft.com/office/drawing/2014/main" id="{6C0D7FF4-AD26-4F40-8E21-11A5730CB19F}"/>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62" name="Text Box 18" hidden="1">
          <a:extLst>
            <a:ext uri="{FF2B5EF4-FFF2-40B4-BE49-F238E27FC236}">
              <a16:creationId xmlns:a16="http://schemas.microsoft.com/office/drawing/2014/main" id="{F71DB733-A8F7-46DE-A47F-0FE69A448DF3}"/>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154632</xdr:rowOff>
    </xdr:from>
    <xdr:to>
      <xdr:col>19</xdr:col>
      <xdr:colOff>591292</xdr:colOff>
      <xdr:row>62</xdr:row>
      <xdr:rowOff>154632</xdr:rowOff>
    </xdr:to>
    <xdr:sp macro="" textlink="">
      <xdr:nvSpPr>
        <xdr:cNvPr id="163" name="Text Box 17" hidden="1">
          <a:extLst>
            <a:ext uri="{FF2B5EF4-FFF2-40B4-BE49-F238E27FC236}">
              <a16:creationId xmlns:a16="http://schemas.microsoft.com/office/drawing/2014/main" id="{4AC6BC6A-72A2-44D8-B169-4334C73812B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101600</xdr:rowOff>
    </xdr:from>
    <xdr:to>
      <xdr:col>19</xdr:col>
      <xdr:colOff>629392</xdr:colOff>
      <xdr:row>24</xdr:row>
      <xdr:rowOff>105335</xdr:rowOff>
    </xdr:to>
    <xdr:sp macro="" textlink="">
      <xdr:nvSpPr>
        <xdr:cNvPr id="164" name="Text Box 16" hidden="1">
          <a:extLst>
            <a:ext uri="{FF2B5EF4-FFF2-40B4-BE49-F238E27FC236}">
              <a16:creationId xmlns:a16="http://schemas.microsoft.com/office/drawing/2014/main" id="{CAB1884F-FCBC-4DE3-AFF6-A5CB87198E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383988</xdr:rowOff>
    </xdr:from>
    <xdr:to>
      <xdr:col>1</xdr:col>
      <xdr:colOff>4726379</xdr:colOff>
      <xdr:row>31</xdr:row>
      <xdr:rowOff>59765</xdr:rowOff>
    </xdr:to>
    <xdr:sp macro="" textlink="">
      <xdr:nvSpPr>
        <xdr:cNvPr id="165" name="Text Box 15" hidden="1">
          <a:extLst>
            <a:ext uri="{FF2B5EF4-FFF2-40B4-BE49-F238E27FC236}">
              <a16:creationId xmlns:a16="http://schemas.microsoft.com/office/drawing/2014/main" id="{D745AE76-0F7A-48C4-BAAA-B4A43880CCEA}"/>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63</xdr:row>
      <xdr:rowOff>2732</xdr:rowOff>
    </xdr:from>
    <xdr:to>
      <xdr:col>8</xdr:col>
      <xdr:colOff>239774</xdr:colOff>
      <xdr:row>63</xdr:row>
      <xdr:rowOff>2732</xdr:rowOff>
    </xdr:to>
    <xdr:sp macro="" textlink="">
      <xdr:nvSpPr>
        <xdr:cNvPr id="166" name="Text Box 28" hidden="1">
          <a:extLst>
            <a:ext uri="{FF2B5EF4-FFF2-40B4-BE49-F238E27FC236}">
              <a16:creationId xmlns:a16="http://schemas.microsoft.com/office/drawing/2014/main" id="{54F74F6C-0CFD-4FB9-B83E-ECBD3D383DC2}"/>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63</xdr:row>
      <xdr:rowOff>2732</xdr:rowOff>
    </xdr:from>
    <xdr:to>
      <xdr:col>11</xdr:col>
      <xdr:colOff>200190</xdr:colOff>
      <xdr:row>63</xdr:row>
      <xdr:rowOff>2732</xdr:rowOff>
    </xdr:to>
    <xdr:sp macro="" textlink="">
      <xdr:nvSpPr>
        <xdr:cNvPr id="167" name="Text Box 27" hidden="1">
          <a:extLst>
            <a:ext uri="{FF2B5EF4-FFF2-40B4-BE49-F238E27FC236}">
              <a16:creationId xmlns:a16="http://schemas.microsoft.com/office/drawing/2014/main" id="{464376DE-6530-4230-9F53-F6F0466EE5B6}"/>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126626</xdr:rowOff>
    </xdr:from>
    <xdr:to>
      <xdr:col>17</xdr:col>
      <xdr:colOff>543090</xdr:colOff>
      <xdr:row>29</xdr:row>
      <xdr:rowOff>326838</xdr:rowOff>
    </xdr:to>
    <xdr:sp macro="" textlink="">
      <xdr:nvSpPr>
        <xdr:cNvPr id="168" name="Text Box 26" hidden="1">
          <a:extLst>
            <a:ext uri="{FF2B5EF4-FFF2-40B4-BE49-F238E27FC236}">
              <a16:creationId xmlns:a16="http://schemas.microsoft.com/office/drawing/2014/main" id="{0C11E5BF-4FF1-4930-A896-8A395689036F}"/>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102161</xdr:rowOff>
    </xdr:from>
    <xdr:to>
      <xdr:col>17</xdr:col>
      <xdr:colOff>543090</xdr:colOff>
      <xdr:row>28</xdr:row>
      <xdr:rowOff>209176</xdr:rowOff>
    </xdr:to>
    <xdr:sp macro="" textlink="">
      <xdr:nvSpPr>
        <xdr:cNvPr id="169" name="Text Box 25" hidden="1">
          <a:extLst>
            <a:ext uri="{FF2B5EF4-FFF2-40B4-BE49-F238E27FC236}">
              <a16:creationId xmlns:a16="http://schemas.microsoft.com/office/drawing/2014/main" id="{E1CC81EE-A8E9-4343-B65D-47F1119A3030}"/>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101600</xdr:rowOff>
    </xdr:from>
    <xdr:to>
      <xdr:col>19</xdr:col>
      <xdr:colOff>619290</xdr:colOff>
      <xdr:row>24</xdr:row>
      <xdr:rowOff>105335</xdr:rowOff>
    </xdr:to>
    <xdr:sp macro="" textlink="">
      <xdr:nvSpPr>
        <xdr:cNvPr id="170" name="Text Box 23" hidden="1">
          <a:extLst>
            <a:ext uri="{FF2B5EF4-FFF2-40B4-BE49-F238E27FC236}">
              <a16:creationId xmlns:a16="http://schemas.microsoft.com/office/drawing/2014/main" id="{030F6082-2966-4BB1-B5F9-E396CB3C69E2}"/>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4716277</xdr:colOff>
      <xdr:row>31</xdr:row>
      <xdr:rowOff>59765</xdr:rowOff>
    </xdr:to>
    <xdr:sp macro="" textlink="">
      <xdr:nvSpPr>
        <xdr:cNvPr id="171" name="Text Box 22" hidden="1">
          <a:extLst>
            <a:ext uri="{FF2B5EF4-FFF2-40B4-BE49-F238E27FC236}">
              <a16:creationId xmlns:a16="http://schemas.microsoft.com/office/drawing/2014/main" id="{299BCEBD-09AE-4F1C-BFAD-B45ABA670D1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154056</xdr:rowOff>
    </xdr:from>
    <xdr:to>
      <xdr:col>2</xdr:col>
      <xdr:colOff>7093</xdr:colOff>
      <xdr:row>78</xdr:row>
      <xdr:rowOff>154056</xdr:rowOff>
    </xdr:to>
    <xdr:sp macro="" textlink="">
      <xdr:nvSpPr>
        <xdr:cNvPr id="172" name="Text Box 37" hidden="1">
          <a:extLst>
            <a:ext uri="{FF2B5EF4-FFF2-40B4-BE49-F238E27FC236}">
              <a16:creationId xmlns:a16="http://schemas.microsoft.com/office/drawing/2014/main" id="{68A04B82-1AF1-415C-BA18-FFE9238EADD0}"/>
            </a:ext>
          </a:extLst>
        </xdr:cNvPr>
        <xdr:cNvSpPr txBox="1">
          <a:spLocks noChangeArrowheads="1"/>
        </xdr:cNvSpPr>
      </xdr:nvSpPr>
      <xdr:spPr bwMode="auto">
        <a:xfrm>
          <a:off x="4248150" y="2029625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57</xdr:row>
      <xdr:rowOff>97207</xdr:rowOff>
    </xdr:from>
    <xdr:to>
      <xdr:col>20</xdr:col>
      <xdr:colOff>657390</xdr:colOff>
      <xdr:row>60</xdr:row>
      <xdr:rowOff>77767</xdr:rowOff>
    </xdr:to>
    <xdr:sp macro="" textlink="">
      <xdr:nvSpPr>
        <xdr:cNvPr id="173" name="Text Box 38" hidden="1">
          <a:extLst>
            <a:ext uri="{FF2B5EF4-FFF2-40B4-BE49-F238E27FC236}">
              <a16:creationId xmlns:a16="http://schemas.microsoft.com/office/drawing/2014/main" id="{BBF77665-932A-4A1A-BAD0-0B7A95A54B47}"/>
            </a:ext>
          </a:extLst>
        </xdr:cNvPr>
        <xdr:cNvSpPr txBox="1">
          <a:spLocks noChangeArrowheads="1"/>
        </xdr:cNvSpPr>
      </xdr:nvSpPr>
      <xdr:spPr bwMode="auto">
        <a:xfrm>
          <a:off x="18945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57</xdr:row>
      <xdr:rowOff>97207</xdr:rowOff>
    </xdr:from>
    <xdr:to>
      <xdr:col>24</xdr:col>
      <xdr:colOff>657390</xdr:colOff>
      <xdr:row>60</xdr:row>
      <xdr:rowOff>77767</xdr:rowOff>
    </xdr:to>
    <xdr:sp macro="" textlink="">
      <xdr:nvSpPr>
        <xdr:cNvPr id="174" name="Text Box 39" hidden="1">
          <a:extLst>
            <a:ext uri="{FF2B5EF4-FFF2-40B4-BE49-F238E27FC236}">
              <a16:creationId xmlns:a16="http://schemas.microsoft.com/office/drawing/2014/main" id="{5346529C-1C0B-4C75-907C-83ED113D4975}"/>
            </a:ext>
          </a:extLst>
        </xdr:cNvPr>
        <xdr:cNvSpPr txBox="1">
          <a:spLocks noChangeArrowheads="1"/>
        </xdr:cNvSpPr>
      </xdr:nvSpPr>
      <xdr:spPr bwMode="auto">
        <a:xfrm>
          <a:off x="21993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57</xdr:row>
      <xdr:rowOff>97207</xdr:rowOff>
    </xdr:from>
    <xdr:to>
      <xdr:col>28</xdr:col>
      <xdr:colOff>657390</xdr:colOff>
      <xdr:row>60</xdr:row>
      <xdr:rowOff>77767</xdr:rowOff>
    </xdr:to>
    <xdr:sp macro="" textlink="">
      <xdr:nvSpPr>
        <xdr:cNvPr id="175" name="Text Box 40" hidden="1">
          <a:extLst>
            <a:ext uri="{FF2B5EF4-FFF2-40B4-BE49-F238E27FC236}">
              <a16:creationId xmlns:a16="http://schemas.microsoft.com/office/drawing/2014/main" id="{D1B97962-60B3-40B1-AD25-99F9B86459CD}"/>
            </a:ext>
          </a:extLst>
        </xdr:cNvPr>
        <xdr:cNvSpPr txBox="1">
          <a:spLocks noChangeArrowheads="1"/>
        </xdr:cNvSpPr>
      </xdr:nvSpPr>
      <xdr:spPr bwMode="auto">
        <a:xfrm>
          <a:off x="25041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63</xdr:row>
      <xdr:rowOff>2732</xdr:rowOff>
    </xdr:from>
    <xdr:to>
      <xdr:col>8</xdr:col>
      <xdr:colOff>239774</xdr:colOff>
      <xdr:row>63</xdr:row>
      <xdr:rowOff>2732</xdr:rowOff>
    </xdr:to>
    <xdr:sp macro="" textlink="">
      <xdr:nvSpPr>
        <xdr:cNvPr id="176" name="Text Box 50" hidden="1">
          <a:extLst>
            <a:ext uri="{FF2B5EF4-FFF2-40B4-BE49-F238E27FC236}">
              <a16:creationId xmlns:a16="http://schemas.microsoft.com/office/drawing/2014/main" id="{227D0196-549B-4417-A060-05DB111C715D}"/>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63</xdr:row>
      <xdr:rowOff>2732</xdr:rowOff>
    </xdr:from>
    <xdr:to>
      <xdr:col>11</xdr:col>
      <xdr:colOff>200190</xdr:colOff>
      <xdr:row>63</xdr:row>
      <xdr:rowOff>2732</xdr:rowOff>
    </xdr:to>
    <xdr:sp macro="" textlink="">
      <xdr:nvSpPr>
        <xdr:cNvPr id="177" name="Text Box 49" hidden="1">
          <a:extLst>
            <a:ext uri="{FF2B5EF4-FFF2-40B4-BE49-F238E27FC236}">
              <a16:creationId xmlns:a16="http://schemas.microsoft.com/office/drawing/2014/main" id="{0B300768-F1A4-4857-9648-59F52DF2C6E7}"/>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126626</xdr:rowOff>
    </xdr:from>
    <xdr:to>
      <xdr:col>17</xdr:col>
      <xdr:colOff>543090</xdr:colOff>
      <xdr:row>29</xdr:row>
      <xdr:rowOff>326838</xdr:rowOff>
    </xdr:to>
    <xdr:sp macro="" textlink="">
      <xdr:nvSpPr>
        <xdr:cNvPr id="178" name="Text Box 48" hidden="1">
          <a:extLst>
            <a:ext uri="{FF2B5EF4-FFF2-40B4-BE49-F238E27FC236}">
              <a16:creationId xmlns:a16="http://schemas.microsoft.com/office/drawing/2014/main" id="{4797B46A-289F-4AA8-9D8A-424C4B116418}"/>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102161</xdr:rowOff>
    </xdr:from>
    <xdr:to>
      <xdr:col>17</xdr:col>
      <xdr:colOff>543090</xdr:colOff>
      <xdr:row>28</xdr:row>
      <xdr:rowOff>209176</xdr:rowOff>
    </xdr:to>
    <xdr:sp macro="" textlink="">
      <xdr:nvSpPr>
        <xdr:cNvPr id="179" name="Text Box 47" hidden="1">
          <a:extLst>
            <a:ext uri="{FF2B5EF4-FFF2-40B4-BE49-F238E27FC236}">
              <a16:creationId xmlns:a16="http://schemas.microsoft.com/office/drawing/2014/main" id="{85BB26FD-B8B1-4120-9C9B-EA2320AD6889}"/>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101600</xdr:rowOff>
    </xdr:from>
    <xdr:to>
      <xdr:col>19</xdr:col>
      <xdr:colOff>619290</xdr:colOff>
      <xdr:row>24</xdr:row>
      <xdr:rowOff>105335</xdr:rowOff>
    </xdr:to>
    <xdr:sp macro="" textlink="">
      <xdr:nvSpPr>
        <xdr:cNvPr id="180" name="Text Box 46" hidden="1">
          <a:extLst>
            <a:ext uri="{FF2B5EF4-FFF2-40B4-BE49-F238E27FC236}">
              <a16:creationId xmlns:a16="http://schemas.microsoft.com/office/drawing/2014/main" id="{4F9E9853-4924-4CBC-B977-0EADA2F44AA0}"/>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4716277</xdr:colOff>
      <xdr:row>31</xdr:row>
      <xdr:rowOff>59765</xdr:rowOff>
    </xdr:to>
    <xdr:sp macro="" textlink="">
      <xdr:nvSpPr>
        <xdr:cNvPr id="181" name="Text Box 45" hidden="1">
          <a:extLst>
            <a:ext uri="{FF2B5EF4-FFF2-40B4-BE49-F238E27FC236}">
              <a16:creationId xmlns:a16="http://schemas.microsoft.com/office/drawing/2014/main" id="{B3513A8A-7BFE-443E-957F-BC388B6E834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154056</xdr:rowOff>
    </xdr:from>
    <xdr:to>
      <xdr:col>2</xdr:col>
      <xdr:colOff>7093</xdr:colOff>
      <xdr:row>78</xdr:row>
      <xdr:rowOff>154056</xdr:rowOff>
    </xdr:to>
    <xdr:sp macro="" textlink="">
      <xdr:nvSpPr>
        <xdr:cNvPr id="182" name="Text Box 44" hidden="1">
          <a:extLst>
            <a:ext uri="{FF2B5EF4-FFF2-40B4-BE49-F238E27FC236}">
              <a16:creationId xmlns:a16="http://schemas.microsoft.com/office/drawing/2014/main" id="{A8AF5D4C-E608-46C8-8B2B-661B7B40B5E2}"/>
            </a:ext>
          </a:extLst>
        </xdr:cNvPr>
        <xdr:cNvSpPr txBox="1">
          <a:spLocks noChangeArrowheads="1"/>
        </xdr:cNvSpPr>
      </xdr:nvSpPr>
      <xdr:spPr bwMode="auto">
        <a:xfrm>
          <a:off x="4248150" y="2029625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57</xdr:row>
      <xdr:rowOff>97207</xdr:rowOff>
    </xdr:from>
    <xdr:to>
      <xdr:col>20</xdr:col>
      <xdr:colOff>657390</xdr:colOff>
      <xdr:row>60</xdr:row>
      <xdr:rowOff>77767</xdr:rowOff>
    </xdr:to>
    <xdr:sp macro="" textlink="">
      <xdr:nvSpPr>
        <xdr:cNvPr id="183" name="Text Box 43" hidden="1">
          <a:extLst>
            <a:ext uri="{FF2B5EF4-FFF2-40B4-BE49-F238E27FC236}">
              <a16:creationId xmlns:a16="http://schemas.microsoft.com/office/drawing/2014/main" id="{DFF542B3-23DF-4A8F-A070-C2BE415421E4}"/>
            </a:ext>
          </a:extLst>
        </xdr:cNvPr>
        <xdr:cNvSpPr txBox="1">
          <a:spLocks noChangeArrowheads="1"/>
        </xdr:cNvSpPr>
      </xdr:nvSpPr>
      <xdr:spPr bwMode="auto">
        <a:xfrm>
          <a:off x="18945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57</xdr:row>
      <xdr:rowOff>97207</xdr:rowOff>
    </xdr:from>
    <xdr:to>
      <xdr:col>24</xdr:col>
      <xdr:colOff>657390</xdr:colOff>
      <xdr:row>60</xdr:row>
      <xdr:rowOff>77767</xdr:rowOff>
    </xdr:to>
    <xdr:sp macro="" textlink="">
      <xdr:nvSpPr>
        <xdr:cNvPr id="184" name="Text Box 42" hidden="1">
          <a:extLst>
            <a:ext uri="{FF2B5EF4-FFF2-40B4-BE49-F238E27FC236}">
              <a16:creationId xmlns:a16="http://schemas.microsoft.com/office/drawing/2014/main" id="{3B94AB08-B768-4688-B382-340424B535AC}"/>
            </a:ext>
          </a:extLst>
        </xdr:cNvPr>
        <xdr:cNvSpPr txBox="1">
          <a:spLocks noChangeArrowheads="1"/>
        </xdr:cNvSpPr>
      </xdr:nvSpPr>
      <xdr:spPr bwMode="auto">
        <a:xfrm>
          <a:off x="21993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57</xdr:row>
      <xdr:rowOff>97207</xdr:rowOff>
    </xdr:from>
    <xdr:to>
      <xdr:col>28</xdr:col>
      <xdr:colOff>657390</xdr:colOff>
      <xdr:row>60</xdr:row>
      <xdr:rowOff>77767</xdr:rowOff>
    </xdr:to>
    <xdr:sp macro="" textlink="">
      <xdr:nvSpPr>
        <xdr:cNvPr id="185" name="Text Box 41" hidden="1">
          <a:extLst>
            <a:ext uri="{FF2B5EF4-FFF2-40B4-BE49-F238E27FC236}">
              <a16:creationId xmlns:a16="http://schemas.microsoft.com/office/drawing/2014/main" id="{E0CE3187-3391-4A78-A753-AA2DAAFD6CAE}"/>
            </a:ext>
          </a:extLst>
        </xdr:cNvPr>
        <xdr:cNvSpPr txBox="1">
          <a:spLocks noChangeArrowheads="1"/>
        </xdr:cNvSpPr>
      </xdr:nvSpPr>
      <xdr:spPr bwMode="auto">
        <a:xfrm>
          <a:off x="25041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181140</xdr:colOff>
      <xdr:row>15</xdr:row>
      <xdr:rowOff>120650</xdr:rowOff>
    </xdr:from>
    <xdr:to>
      <xdr:col>23</xdr:col>
      <xdr:colOff>1223</xdr:colOff>
      <xdr:row>19</xdr:row>
      <xdr:rowOff>57150</xdr:rowOff>
    </xdr:to>
    <xdr:sp macro="" textlink="">
      <xdr:nvSpPr>
        <xdr:cNvPr id="186" name="Text Box 51" hidden="1">
          <a:extLst>
            <a:ext uri="{FF2B5EF4-FFF2-40B4-BE49-F238E27FC236}">
              <a16:creationId xmlns:a16="http://schemas.microsoft.com/office/drawing/2014/main" id="{0D77AE27-30D2-4C47-AC72-2A4BB47951E6}"/>
            </a:ext>
          </a:extLst>
        </xdr:cNvPr>
        <xdr:cNvSpPr txBox="1">
          <a:spLocks noChangeArrowheads="1"/>
        </xdr:cNvSpPr>
      </xdr:nvSpPr>
      <xdr:spPr bwMode="auto">
        <a:xfrm>
          <a:off x="20526540" y="2016125"/>
          <a:ext cx="1344083"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85</xdr:row>
      <xdr:rowOff>808870</xdr:rowOff>
    </xdr:from>
    <xdr:to>
      <xdr:col>8</xdr:col>
      <xdr:colOff>228600</xdr:colOff>
      <xdr:row>85</xdr:row>
      <xdr:rowOff>808870</xdr:rowOff>
    </xdr:to>
    <xdr:sp macro="" textlink="">
      <xdr:nvSpPr>
        <xdr:cNvPr id="187" name="Text Box 11" hidden="1">
          <a:extLst>
            <a:ext uri="{FF2B5EF4-FFF2-40B4-BE49-F238E27FC236}">
              <a16:creationId xmlns:a16="http://schemas.microsoft.com/office/drawing/2014/main" id="{EC7EB633-B552-4630-BB5F-36FD38C21180}"/>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85</xdr:row>
      <xdr:rowOff>808870</xdr:rowOff>
    </xdr:from>
    <xdr:to>
      <xdr:col>11</xdr:col>
      <xdr:colOff>190500</xdr:colOff>
      <xdr:row>85</xdr:row>
      <xdr:rowOff>808870</xdr:rowOff>
    </xdr:to>
    <xdr:sp macro="" textlink="">
      <xdr:nvSpPr>
        <xdr:cNvPr id="188" name="Text Box 10" hidden="1">
          <a:extLst>
            <a:ext uri="{FF2B5EF4-FFF2-40B4-BE49-F238E27FC236}">
              <a16:creationId xmlns:a16="http://schemas.microsoft.com/office/drawing/2014/main" id="{C1505482-7F58-4989-966E-3657E317BC5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126626</xdr:rowOff>
    </xdr:from>
    <xdr:to>
      <xdr:col>17</xdr:col>
      <xdr:colOff>533400</xdr:colOff>
      <xdr:row>29</xdr:row>
      <xdr:rowOff>326838</xdr:rowOff>
    </xdr:to>
    <xdr:sp macro="" textlink="">
      <xdr:nvSpPr>
        <xdr:cNvPr id="189" name="Text Box 9" hidden="1">
          <a:extLst>
            <a:ext uri="{FF2B5EF4-FFF2-40B4-BE49-F238E27FC236}">
              <a16:creationId xmlns:a16="http://schemas.microsoft.com/office/drawing/2014/main" id="{7AC0A631-3BF0-4742-945C-88C855CB0D64}"/>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102161</xdr:rowOff>
    </xdr:from>
    <xdr:to>
      <xdr:col>17</xdr:col>
      <xdr:colOff>533400</xdr:colOff>
      <xdr:row>28</xdr:row>
      <xdr:rowOff>209176</xdr:rowOff>
    </xdr:to>
    <xdr:sp macro="" textlink="">
      <xdr:nvSpPr>
        <xdr:cNvPr id="190" name="Text Box 8" hidden="1">
          <a:extLst>
            <a:ext uri="{FF2B5EF4-FFF2-40B4-BE49-F238E27FC236}">
              <a16:creationId xmlns:a16="http://schemas.microsoft.com/office/drawing/2014/main" id="{7DB96728-A094-4F9E-A2EE-4D1B23550A26}"/>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101600</xdr:rowOff>
    </xdr:from>
    <xdr:to>
      <xdr:col>19</xdr:col>
      <xdr:colOff>609600</xdr:colOff>
      <xdr:row>24</xdr:row>
      <xdr:rowOff>105335</xdr:rowOff>
    </xdr:to>
    <xdr:sp macro="" textlink="">
      <xdr:nvSpPr>
        <xdr:cNvPr id="191" name="Text Box 7" hidden="1">
          <a:extLst>
            <a:ext uri="{FF2B5EF4-FFF2-40B4-BE49-F238E27FC236}">
              <a16:creationId xmlns:a16="http://schemas.microsoft.com/office/drawing/2014/main" id="{FFA18328-CACE-4A7E-9CC9-D430908B284A}"/>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4686300</xdr:colOff>
      <xdr:row>31</xdr:row>
      <xdr:rowOff>59765</xdr:rowOff>
    </xdr:to>
    <xdr:sp macro="" textlink="">
      <xdr:nvSpPr>
        <xdr:cNvPr id="192" name="Text Box 6" hidden="1">
          <a:extLst>
            <a:ext uri="{FF2B5EF4-FFF2-40B4-BE49-F238E27FC236}">
              <a16:creationId xmlns:a16="http://schemas.microsoft.com/office/drawing/2014/main" id="{9EE6B3E0-A076-4497-B922-D1A7B2915678}"/>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176</xdr:row>
      <xdr:rowOff>174077</xdr:rowOff>
    </xdr:from>
    <xdr:to>
      <xdr:col>1</xdr:col>
      <xdr:colOff>4724400</xdr:colOff>
      <xdr:row>177</xdr:row>
      <xdr:rowOff>25413</xdr:rowOff>
    </xdr:to>
    <xdr:sp macro="" textlink="">
      <xdr:nvSpPr>
        <xdr:cNvPr id="193" name="Text Box 5" hidden="1">
          <a:extLst>
            <a:ext uri="{FF2B5EF4-FFF2-40B4-BE49-F238E27FC236}">
              <a16:creationId xmlns:a16="http://schemas.microsoft.com/office/drawing/2014/main" id="{36528BA1-3946-427A-A64C-F40924AF5160}"/>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85</xdr:row>
      <xdr:rowOff>29125</xdr:rowOff>
    </xdr:from>
    <xdr:to>
      <xdr:col>20</xdr:col>
      <xdr:colOff>647700</xdr:colOff>
      <xdr:row>85</xdr:row>
      <xdr:rowOff>235001</xdr:rowOff>
    </xdr:to>
    <xdr:sp macro="" textlink="">
      <xdr:nvSpPr>
        <xdr:cNvPr id="194" name="Text Box 4" hidden="1">
          <a:extLst>
            <a:ext uri="{FF2B5EF4-FFF2-40B4-BE49-F238E27FC236}">
              <a16:creationId xmlns:a16="http://schemas.microsoft.com/office/drawing/2014/main" id="{05469ABB-7809-4785-BD03-D5902C63B7DA}"/>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85</xdr:row>
      <xdr:rowOff>29125</xdr:rowOff>
    </xdr:from>
    <xdr:to>
      <xdr:col>24</xdr:col>
      <xdr:colOff>647700</xdr:colOff>
      <xdr:row>85</xdr:row>
      <xdr:rowOff>235001</xdr:rowOff>
    </xdr:to>
    <xdr:sp macro="" textlink="">
      <xdr:nvSpPr>
        <xdr:cNvPr id="195" name="Text Box 3" hidden="1">
          <a:extLst>
            <a:ext uri="{FF2B5EF4-FFF2-40B4-BE49-F238E27FC236}">
              <a16:creationId xmlns:a16="http://schemas.microsoft.com/office/drawing/2014/main" id="{45195018-F307-44A2-8E5E-3A3FDEC0079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85</xdr:row>
      <xdr:rowOff>29125</xdr:rowOff>
    </xdr:from>
    <xdr:to>
      <xdr:col>28</xdr:col>
      <xdr:colOff>647700</xdr:colOff>
      <xdr:row>85</xdr:row>
      <xdr:rowOff>235001</xdr:rowOff>
    </xdr:to>
    <xdr:sp macro="" textlink="">
      <xdr:nvSpPr>
        <xdr:cNvPr id="196" name="Text Box 2" hidden="1">
          <a:extLst>
            <a:ext uri="{FF2B5EF4-FFF2-40B4-BE49-F238E27FC236}">
              <a16:creationId xmlns:a16="http://schemas.microsoft.com/office/drawing/2014/main" id="{EDF27674-98AB-4647-AA95-C19797C0786E}"/>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38100</xdr:rowOff>
    </xdr:to>
    <xdr:sp macro="" textlink="">
      <xdr:nvSpPr>
        <xdr:cNvPr id="197" name="Text Box 1" hidden="1">
          <a:extLst>
            <a:ext uri="{FF2B5EF4-FFF2-40B4-BE49-F238E27FC236}">
              <a16:creationId xmlns:a16="http://schemas.microsoft.com/office/drawing/2014/main" id="{F1A2B629-316F-4003-8797-25DAB489FF2F}"/>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48</xdr:row>
      <xdr:rowOff>142875</xdr:rowOff>
    </xdr:from>
    <xdr:to>
      <xdr:col>2</xdr:col>
      <xdr:colOff>685800</xdr:colOff>
      <xdr:row>53</xdr:row>
      <xdr:rowOff>45072</xdr:rowOff>
    </xdr:to>
    <xdr:sp macro="" textlink="">
      <xdr:nvSpPr>
        <xdr:cNvPr id="198" name="Text Box 12" hidden="1">
          <a:extLst>
            <a:ext uri="{FF2B5EF4-FFF2-40B4-BE49-F238E27FC236}">
              <a16:creationId xmlns:a16="http://schemas.microsoft.com/office/drawing/2014/main" id="{E0AA4A3E-0625-4BAE-869D-A51AEA2C6865}"/>
            </a:ext>
          </a:extLst>
        </xdr:cNvPr>
        <xdr:cNvSpPr txBox="1">
          <a:spLocks noChangeArrowheads="1"/>
        </xdr:cNvSpPr>
      </xdr:nvSpPr>
      <xdr:spPr bwMode="auto">
        <a:xfrm>
          <a:off x="4991100" y="11696700"/>
          <a:ext cx="1428750" cy="8102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139754</xdr:rowOff>
    </xdr:from>
    <xdr:to>
      <xdr:col>21</xdr:col>
      <xdr:colOff>685800</xdr:colOff>
      <xdr:row>94</xdr:row>
      <xdr:rowOff>210230</xdr:rowOff>
    </xdr:to>
    <xdr:sp macro="" textlink="">
      <xdr:nvSpPr>
        <xdr:cNvPr id="199" name="Text Box 25" hidden="1">
          <a:extLst>
            <a:ext uri="{FF2B5EF4-FFF2-40B4-BE49-F238E27FC236}">
              <a16:creationId xmlns:a16="http://schemas.microsoft.com/office/drawing/2014/main" id="{C1FFF9A8-5754-4696-B773-92F09AEB0EB6}"/>
            </a:ext>
          </a:extLst>
        </xdr:cNvPr>
        <xdr:cNvSpPr txBox="1">
          <a:spLocks noChangeArrowheads="1"/>
        </xdr:cNvSpPr>
      </xdr:nvSpPr>
      <xdr:spPr bwMode="auto">
        <a:xfrm>
          <a:off x="19735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139754</xdr:rowOff>
    </xdr:from>
    <xdr:to>
      <xdr:col>25</xdr:col>
      <xdr:colOff>685800</xdr:colOff>
      <xdr:row>94</xdr:row>
      <xdr:rowOff>210230</xdr:rowOff>
    </xdr:to>
    <xdr:sp macro="" textlink="">
      <xdr:nvSpPr>
        <xdr:cNvPr id="200" name="Text Box 26" hidden="1">
          <a:extLst>
            <a:ext uri="{FF2B5EF4-FFF2-40B4-BE49-F238E27FC236}">
              <a16:creationId xmlns:a16="http://schemas.microsoft.com/office/drawing/2014/main" id="{BA5A4A72-F94D-4209-881F-38925A9E6D53}"/>
            </a:ext>
          </a:extLst>
        </xdr:cNvPr>
        <xdr:cNvSpPr txBox="1">
          <a:spLocks noChangeArrowheads="1"/>
        </xdr:cNvSpPr>
      </xdr:nvSpPr>
      <xdr:spPr bwMode="auto">
        <a:xfrm>
          <a:off x="22783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139754</xdr:rowOff>
    </xdr:from>
    <xdr:to>
      <xdr:col>29</xdr:col>
      <xdr:colOff>685800</xdr:colOff>
      <xdr:row>94</xdr:row>
      <xdr:rowOff>210230</xdr:rowOff>
    </xdr:to>
    <xdr:sp macro="" textlink="">
      <xdr:nvSpPr>
        <xdr:cNvPr id="201" name="Text Box 27" hidden="1">
          <a:extLst>
            <a:ext uri="{FF2B5EF4-FFF2-40B4-BE49-F238E27FC236}">
              <a16:creationId xmlns:a16="http://schemas.microsoft.com/office/drawing/2014/main" id="{D1D202DF-F595-4E26-B10F-9BB07983D42E}"/>
            </a:ext>
          </a:extLst>
        </xdr:cNvPr>
        <xdr:cNvSpPr txBox="1">
          <a:spLocks noChangeArrowheads="1"/>
        </xdr:cNvSpPr>
      </xdr:nvSpPr>
      <xdr:spPr bwMode="auto">
        <a:xfrm>
          <a:off x="25831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102161</xdr:rowOff>
    </xdr:from>
    <xdr:to>
      <xdr:col>22</xdr:col>
      <xdr:colOff>609600</xdr:colOff>
      <xdr:row>28</xdr:row>
      <xdr:rowOff>145676</xdr:rowOff>
    </xdr:to>
    <xdr:sp macro="" textlink="">
      <xdr:nvSpPr>
        <xdr:cNvPr id="202" name="Text Box 28" hidden="1">
          <a:extLst>
            <a:ext uri="{FF2B5EF4-FFF2-40B4-BE49-F238E27FC236}">
              <a16:creationId xmlns:a16="http://schemas.microsoft.com/office/drawing/2014/main" id="{91D6C5CA-D54C-41C3-A7E0-11E04A668BB1}"/>
            </a:ext>
          </a:extLst>
        </xdr:cNvPr>
        <xdr:cNvSpPr txBox="1">
          <a:spLocks noChangeArrowheads="1"/>
        </xdr:cNvSpPr>
      </xdr:nvSpPr>
      <xdr:spPr bwMode="auto">
        <a:xfrm>
          <a:off x="20459700" y="4534461"/>
          <a:ext cx="1257300" cy="7801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85</xdr:row>
      <xdr:rowOff>808870</xdr:rowOff>
    </xdr:from>
    <xdr:to>
      <xdr:col>8</xdr:col>
      <xdr:colOff>228600</xdr:colOff>
      <xdr:row>85</xdr:row>
      <xdr:rowOff>808870</xdr:rowOff>
    </xdr:to>
    <xdr:sp macro="" textlink="">
      <xdr:nvSpPr>
        <xdr:cNvPr id="203" name="Text Box 44" hidden="1">
          <a:extLst>
            <a:ext uri="{FF2B5EF4-FFF2-40B4-BE49-F238E27FC236}">
              <a16:creationId xmlns:a16="http://schemas.microsoft.com/office/drawing/2014/main" id="{AF1469F7-57A0-4813-A320-1DE84214549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85</xdr:row>
      <xdr:rowOff>808870</xdr:rowOff>
    </xdr:from>
    <xdr:to>
      <xdr:col>11</xdr:col>
      <xdr:colOff>190500</xdr:colOff>
      <xdr:row>85</xdr:row>
      <xdr:rowOff>808870</xdr:rowOff>
    </xdr:to>
    <xdr:sp macro="" textlink="">
      <xdr:nvSpPr>
        <xdr:cNvPr id="204" name="Text Box 43" hidden="1">
          <a:extLst>
            <a:ext uri="{FF2B5EF4-FFF2-40B4-BE49-F238E27FC236}">
              <a16:creationId xmlns:a16="http://schemas.microsoft.com/office/drawing/2014/main" id="{AC4BB872-93B0-4A01-8D38-739E3F993758}"/>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126626</xdr:rowOff>
    </xdr:from>
    <xdr:to>
      <xdr:col>17</xdr:col>
      <xdr:colOff>533400</xdr:colOff>
      <xdr:row>29</xdr:row>
      <xdr:rowOff>326838</xdr:rowOff>
    </xdr:to>
    <xdr:sp macro="" textlink="">
      <xdr:nvSpPr>
        <xdr:cNvPr id="205" name="Text Box 42" hidden="1">
          <a:extLst>
            <a:ext uri="{FF2B5EF4-FFF2-40B4-BE49-F238E27FC236}">
              <a16:creationId xmlns:a16="http://schemas.microsoft.com/office/drawing/2014/main" id="{E8E9F0CD-9B31-4548-B82B-78DBCDC83EB2}"/>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102161</xdr:rowOff>
    </xdr:from>
    <xdr:to>
      <xdr:col>17</xdr:col>
      <xdr:colOff>533400</xdr:colOff>
      <xdr:row>28</xdr:row>
      <xdr:rowOff>209176</xdr:rowOff>
    </xdr:to>
    <xdr:sp macro="" textlink="">
      <xdr:nvSpPr>
        <xdr:cNvPr id="206" name="Text Box 41" hidden="1">
          <a:extLst>
            <a:ext uri="{FF2B5EF4-FFF2-40B4-BE49-F238E27FC236}">
              <a16:creationId xmlns:a16="http://schemas.microsoft.com/office/drawing/2014/main" id="{F9077765-75CE-49FD-974F-FE5A11EA004D}"/>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101600</xdr:rowOff>
    </xdr:from>
    <xdr:to>
      <xdr:col>19</xdr:col>
      <xdr:colOff>609600</xdr:colOff>
      <xdr:row>24</xdr:row>
      <xdr:rowOff>105335</xdr:rowOff>
    </xdr:to>
    <xdr:sp macro="" textlink="">
      <xdr:nvSpPr>
        <xdr:cNvPr id="207" name="Text Box 40" hidden="1">
          <a:extLst>
            <a:ext uri="{FF2B5EF4-FFF2-40B4-BE49-F238E27FC236}">
              <a16:creationId xmlns:a16="http://schemas.microsoft.com/office/drawing/2014/main" id="{6F17D3B3-4668-43EF-82CC-8D2A2D11AA9C}"/>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4686300</xdr:colOff>
      <xdr:row>31</xdr:row>
      <xdr:rowOff>59765</xdr:rowOff>
    </xdr:to>
    <xdr:sp macro="" textlink="">
      <xdr:nvSpPr>
        <xdr:cNvPr id="208" name="Text Box 39" hidden="1">
          <a:extLst>
            <a:ext uri="{FF2B5EF4-FFF2-40B4-BE49-F238E27FC236}">
              <a16:creationId xmlns:a16="http://schemas.microsoft.com/office/drawing/2014/main" id="{24FE4FF3-C154-4BCD-963C-2FFEF4781C05}"/>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176</xdr:row>
      <xdr:rowOff>174077</xdr:rowOff>
    </xdr:from>
    <xdr:to>
      <xdr:col>1</xdr:col>
      <xdr:colOff>4724400</xdr:colOff>
      <xdr:row>177</xdr:row>
      <xdr:rowOff>25413</xdr:rowOff>
    </xdr:to>
    <xdr:sp macro="" textlink="">
      <xdr:nvSpPr>
        <xdr:cNvPr id="209" name="Text Box 38" hidden="1">
          <a:extLst>
            <a:ext uri="{FF2B5EF4-FFF2-40B4-BE49-F238E27FC236}">
              <a16:creationId xmlns:a16="http://schemas.microsoft.com/office/drawing/2014/main" id="{691CE524-750F-445F-9146-D9D6440E89C3}"/>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85</xdr:row>
      <xdr:rowOff>29125</xdr:rowOff>
    </xdr:from>
    <xdr:to>
      <xdr:col>20</xdr:col>
      <xdr:colOff>647700</xdr:colOff>
      <xdr:row>85</xdr:row>
      <xdr:rowOff>235001</xdr:rowOff>
    </xdr:to>
    <xdr:sp macro="" textlink="">
      <xdr:nvSpPr>
        <xdr:cNvPr id="210" name="Text Box 37" hidden="1">
          <a:extLst>
            <a:ext uri="{FF2B5EF4-FFF2-40B4-BE49-F238E27FC236}">
              <a16:creationId xmlns:a16="http://schemas.microsoft.com/office/drawing/2014/main" id="{3D716F33-BC9A-4EC6-92DE-07A5DAB33C68}"/>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85</xdr:row>
      <xdr:rowOff>29125</xdr:rowOff>
    </xdr:from>
    <xdr:to>
      <xdr:col>24</xdr:col>
      <xdr:colOff>647700</xdr:colOff>
      <xdr:row>85</xdr:row>
      <xdr:rowOff>235001</xdr:rowOff>
    </xdr:to>
    <xdr:sp macro="" textlink="">
      <xdr:nvSpPr>
        <xdr:cNvPr id="211" name="Text Box 36" hidden="1">
          <a:extLst>
            <a:ext uri="{FF2B5EF4-FFF2-40B4-BE49-F238E27FC236}">
              <a16:creationId xmlns:a16="http://schemas.microsoft.com/office/drawing/2014/main" id="{35830577-E561-4D17-8481-9D771C196812}"/>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85</xdr:row>
      <xdr:rowOff>29125</xdr:rowOff>
    </xdr:from>
    <xdr:to>
      <xdr:col>28</xdr:col>
      <xdr:colOff>647700</xdr:colOff>
      <xdr:row>85</xdr:row>
      <xdr:rowOff>235001</xdr:rowOff>
    </xdr:to>
    <xdr:sp macro="" textlink="">
      <xdr:nvSpPr>
        <xdr:cNvPr id="212" name="Text Box 35" hidden="1">
          <a:extLst>
            <a:ext uri="{FF2B5EF4-FFF2-40B4-BE49-F238E27FC236}">
              <a16:creationId xmlns:a16="http://schemas.microsoft.com/office/drawing/2014/main" id="{7D80F654-F129-4082-B0B2-5FB24D781720}"/>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38100</xdr:rowOff>
    </xdr:to>
    <xdr:sp macro="" textlink="">
      <xdr:nvSpPr>
        <xdr:cNvPr id="213" name="Text Box 34" hidden="1">
          <a:extLst>
            <a:ext uri="{FF2B5EF4-FFF2-40B4-BE49-F238E27FC236}">
              <a16:creationId xmlns:a16="http://schemas.microsoft.com/office/drawing/2014/main" id="{37B3F43A-FFF5-4CD3-AB2C-484FED0F3B32}"/>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48</xdr:row>
      <xdr:rowOff>142875</xdr:rowOff>
    </xdr:from>
    <xdr:to>
      <xdr:col>2</xdr:col>
      <xdr:colOff>685800</xdr:colOff>
      <xdr:row>53</xdr:row>
      <xdr:rowOff>45072</xdr:rowOff>
    </xdr:to>
    <xdr:sp macro="" textlink="">
      <xdr:nvSpPr>
        <xdr:cNvPr id="214" name="Text Box 33" hidden="1">
          <a:extLst>
            <a:ext uri="{FF2B5EF4-FFF2-40B4-BE49-F238E27FC236}">
              <a16:creationId xmlns:a16="http://schemas.microsoft.com/office/drawing/2014/main" id="{B8E8F616-ABB9-45FD-BB86-99578CF5D60C}"/>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139754</xdr:rowOff>
    </xdr:from>
    <xdr:to>
      <xdr:col>21</xdr:col>
      <xdr:colOff>685800</xdr:colOff>
      <xdr:row>94</xdr:row>
      <xdr:rowOff>210230</xdr:rowOff>
    </xdr:to>
    <xdr:sp macro="" textlink="">
      <xdr:nvSpPr>
        <xdr:cNvPr id="215" name="Text Box 32" hidden="1">
          <a:extLst>
            <a:ext uri="{FF2B5EF4-FFF2-40B4-BE49-F238E27FC236}">
              <a16:creationId xmlns:a16="http://schemas.microsoft.com/office/drawing/2014/main" id="{BFDC710E-C9F7-4030-819A-598822F57963}"/>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139754</xdr:rowOff>
    </xdr:from>
    <xdr:to>
      <xdr:col>25</xdr:col>
      <xdr:colOff>685800</xdr:colOff>
      <xdr:row>94</xdr:row>
      <xdr:rowOff>210230</xdr:rowOff>
    </xdr:to>
    <xdr:sp macro="" textlink="">
      <xdr:nvSpPr>
        <xdr:cNvPr id="216" name="Text Box 31" hidden="1">
          <a:extLst>
            <a:ext uri="{FF2B5EF4-FFF2-40B4-BE49-F238E27FC236}">
              <a16:creationId xmlns:a16="http://schemas.microsoft.com/office/drawing/2014/main" id="{FB72B2AB-911E-415D-B0DE-9F27E8174872}"/>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139754</xdr:rowOff>
    </xdr:from>
    <xdr:to>
      <xdr:col>29</xdr:col>
      <xdr:colOff>685800</xdr:colOff>
      <xdr:row>94</xdr:row>
      <xdr:rowOff>210230</xdr:rowOff>
    </xdr:to>
    <xdr:sp macro="" textlink="">
      <xdr:nvSpPr>
        <xdr:cNvPr id="217" name="Text Box 30" hidden="1">
          <a:extLst>
            <a:ext uri="{FF2B5EF4-FFF2-40B4-BE49-F238E27FC236}">
              <a16:creationId xmlns:a16="http://schemas.microsoft.com/office/drawing/2014/main" id="{61E90265-0AD9-43A0-A2AD-B6D39331850A}"/>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102161</xdr:rowOff>
    </xdr:from>
    <xdr:to>
      <xdr:col>22</xdr:col>
      <xdr:colOff>609600</xdr:colOff>
      <xdr:row>28</xdr:row>
      <xdr:rowOff>126626</xdr:rowOff>
    </xdr:to>
    <xdr:sp macro="" textlink="">
      <xdr:nvSpPr>
        <xdr:cNvPr id="218" name="Text Box 29" hidden="1">
          <a:extLst>
            <a:ext uri="{FF2B5EF4-FFF2-40B4-BE49-F238E27FC236}">
              <a16:creationId xmlns:a16="http://schemas.microsoft.com/office/drawing/2014/main" id="{A4A6517F-5EDB-460F-8D90-B1599D5FF6B5}"/>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85</xdr:row>
      <xdr:rowOff>808870</xdr:rowOff>
    </xdr:from>
    <xdr:to>
      <xdr:col>8</xdr:col>
      <xdr:colOff>228600</xdr:colOff>
      <xdr:row>85</xdr:row>
      <xdr:rowOff>808870</xdr:rowOff>
    </xdr:to>
    <xdr:sp macro="" textlink="">
      <xdr:nvSpPr>
        <xdr:cNvPr id="219" name="Text Box 60" hidden="1">
          <a:extLst>
            <a:ext uri="{FF2B5EF4-FFF2-40B4-BE49-F238E27FC236}">
              <a16:creationId xmlns:a16="http://schemas.microsoft.com/office/drawing/2014/main" id="{A7C58336-3AB5-472F-96EE-B962A2A5A81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85</xdr:row>
      <xdr:rowOff>808870</xdr:rowOff>
    </xdr:from>
    <xdr:to>
      <xdr:col>11</xdr:col>
      <xdr:colOff>190500</xdr:colOff>
      <xdr:row>85</xdr:row>
      <xdr:rowOff>808870</xdr:rowOff>
    </xdr:to>
    <xdr:sp macro="" textlink="">
      <xdr:nvSpPr>
        <xdr:cNvPr id="220" name="Text Box 59" hidden="1">
          <a:extLst>
            <a:ext uri="{FF2B5EF4-FFF2-40B4-BE49-F238E27FC236}">
              <a16:creationId xmlns:a16="http://schemas.microsoft.com/office/drawing/2014/main" id="{D8AE6F0F-BFAC-4672-A631-6E65B487BDA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126626</xdr:rowOff>
    </xdr:from>
    <xdr:to>
      <xdr:col>17</xdr:col>
      <xdr:colOff>533400</xdr:colOff>
      <xdr:row>29</xdr:row>
      <xdr:rowOff>326838</xdr:rowOff>
    </xdr:to>
    <xdr:sp macro="" textlink="">
      <xdr:nvSpPr>
        <xdr:cNvPr id="221" name="Text Box 58" hidden="1">
          <a:extLst>
            <a:ext uri="{FF2B5EF4-FFF2-40B4-BE49-F238E27FC236}">
              <a16:creationId xmlns:a16="http://schemas.microsoft.com/office/drawing/2014/main" id="{25B10A64-2D67-4441-A686-7C6F041561BF}"/>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102161</xdr:rowOff>
    </xdr:from>
    <xdr:to>
      <xdr:col>17</xdr:col>
      <xdr:colOff>533400</xdr:colOff>
      <xdr:row>28</xdr:row>
      <xdr:rowOff>209176</xdr:rowOff>
    </xdr:to>
    <xdr:sp macro="" textlink="">
      <xdr:nvSpPr>
        <xdr:cNvPr id="222" name="Text Box 57" hidden="1">
          <a:extLst>
            <a:ext uri="{FF2B5EF4-FFF2-40B4-BE49-F238E27FC236}">
              <a16:creationId xmlns:a16="http://schemas.microsoft.com/office/drawing/2014/main" id="{D023845F-26A0-47E8-AEB7-0BC024E4976E}"/>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101600</xdr:rowOff>
    </xdr:from>
    <xdr:to>
      <xdr:col>19</xdr:col>
      <xdr:colOff>609600</xdr:colOff>
      <xdr:row>24</xdr:row>
      <xdr:rowOff>105335</xdr:rowOff>
    </xdr:to>
    <xdr:sp macro="" textlink="">
      <xdr:nvSpPr>
        <xdr:cNvPr id="223" name="Text Box 56" hidden="1">
          <a:extLst>
            <a:ext uri="{FF2B5EF4-FFF2-40B4-BE49-F238E27FC236}">
              <a16:creationId xmlns:a16="http://schemas.microsoft.com/office/drawing/2014/main" id="{52D5160F-ED89-4D87-A0A6-F3AFE638829B}"/>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4686300</xdr:colOff>
      <xdr:row>31</xdr:row>
      <xdr:rowOff>59765</xdr:rowOff>
    </xdr:to>
    <xdr:sp macro="" textlink="">
      <xdr:nvSpPr>
        <xdr:cNvPr id="224" name="Text Box 55" hidden="1">
          <a:extLst>
            <a:ext uri="{FF2B5EF4-FFF2-40B4-BE49-F238E27FC236}">
              <a16:creationId xmlns:a16="http://schemas.microsoft.com/office/drawing/2014/main" id="{6006560E-B4FD-43E8-94D6-000DD2416804}"/>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176</xdr:row>
      <xdr:rowOff>174077</xdr:rowOff>
    </xdr:from>
    <xdr:to>
      <xdr:col>1</xdr:col>
      <xdr:colOff>4724400</xdr:colOff>
      <xdr:row>177</xdr:row>
      <xdr:rowOff>25413</xdr:rowOff>
    </xdr:to>
    <xdr:sp macro="" textlink="">
      <xdr:nvSpPr>
        <xdr:cNvPr id="225" name="Text Box 54" hidden="1">
          <a:extLst>
            <a:ext uri="{FF2B5EF4-FFF2-40B4-BE49-F238E27FC236}">
              <a16:creationId xmlns:a16="http://schemas.microsoft.com/office/drawing/2014/main" id="{0A31C5CF-F462-4AC4-9C61-8176D6C87A97}"/>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85</xdr:row>
      <xdr:rowOff>29125</xdr:rowOff>
    </xdr:from>
    <xdr:to>
      <xdr:col>20</xdr:col>
      <xdr:colOff>647700</xdr:colOff>
      <xdr:row>85</xdr:row>
      <xdr:rowOff>235001</xdr:rowOff>
    </xdr:to>
    <xdr:sp macro="" textlink="">
      <xdr:nvSpPr>
        <xdr:cNvPr id="226" name="Text Box 53" hidden="1">
          <a:extLst>
            <a:ext uri="{FF2B5EF4-FFF2-40B4-BE49-F238E27FC236}">
              <a16:creationId xmlns:a16="http://schemas.microsoft.com/office/drawing/2014/main" id="{D03FF44A-6E2F-4D24-8CE7-88215283ED36}"/>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85</xdr:row>
      <xdr:rowOff>29125</xdr:rowOff>
    </xdr:from>
    <xdr:to>
      <xdr:col>24</xdr:col>
      <xdr:colOff>647700</xdr:colOff>
      <xdr:row>85</xdr:row>
      <xdr:rowOff>235001</xdr:rowOff>
    </xdr:to>
    <xdr:sp macro="" textlink="">
      <xdr:nvSpPr>
        <xdr:cNvPr id="227" name="Text Box 52" hidden="1">
          <a:extLst>
            <a:ext uri="{FF2B5EF4-FFF2-40B4-BE49-F238E27FC236}">
              <a16:creationId xmlns:a16="http://schemas.microsoft.com/office/drawing/2014/main" id="{962ACAEE-0D31-481B-A9AF-D4DE0C350DA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85</xdr:row>
      <xdr:rowOff>29125</xdr:rowOff>
    </xdr:from>
    <xdr:to>
      <xdr:col>28</xdr:col>
      <xdr:colOff>647700</xdr:colOff>
      <xdr:row>85</xdr:row>
      <xdr:rowOff>235001</xdr:rowOff>
    </xdr:to>
    <xdr:sp macro="" textlink="">
      <xdr:nvSpPr>
        <xdr:cNvPr id="228" name="Text Box 51" hidden="1">
          <a:extLst>
            <a:ext uri="{FF2B5EF4-FFF2-40B4-BE49-F238E27FC236}">
              <a16:creationId xmlns:a16="http://schemas.microsoft.com/office/drawing/2014/main" id="{4CC242BD-7354-4391-AECA-40090E07BB5F}"/>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38100</xdr:rowOff>
    </xdr:to>
    <xdr:sp macro="" textlink="">
      <xdr:nvSpPr>
        <xdr:cNvPr id="229" name="Text Box 50" hidden="1">
          <a:extLst>
            <a:ext uri="{FF2B5EF4-FFF2-40B4-BE49-F238E27FC236}">
              <a16:creationId xmlns:a16="http://schemas.microsoft.com/office/drawing/2014/main" id="{033F2901-67E4-4BB4-BF34-294EE062ABFC}"/>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48</xdr:row>
      <xdr:rowOff>142875</xdr:rowOff>
    </xdr:from>
    <xdr:to>
      <xdr:col>2</xdr:col>
      <xdr:colOff>685800</xdr:colOff>
      <xdr:row>53</xdr:row>
      <xdr:rowOff>45072</xdr:rowOff>
    </xdr:to>
    <xdr:sp macro="" textlink="">
      <xdr:nvSpPr>
        <xdr:cNvPr id="230" name="Text Box 49" hidden="1">
          <a:extLst>
            <a:ext uri="{FF2B5EF4-FFF2-40B4-BE49-F238E27FC236}">
              <a16:creationId xmlns:a16="http://schemas.microsoft.com/office/drawing/2014/main" id="{0BC848F7-C60C-4F94-8F10-7304E17BEB0F}"/>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139754</xdr:rowOff>
    </xdr:from>
    <xdr:to>
      <xdr:col>21</xdr:col>
      <xdr:colOff>685800</xdr:colOff>
      <xdr:row>94</xdr:row>
      <xdr:rowOff>210230</xdr:rowOff>
    </xdr:to>
    <xdr:sp macro="" textlink="">
      <xdr:nvSpPr>
        <xdr:cNvPr id="231" name="Text Box 48" hidden="1">
          <a:extLst>
            <a:ext uri="{FF2B5EF4-FFF2-40B4-BE49-F238E27FC236}">
              <a16:creationId xmlns:a16="http://schemas.microsoft.com/office/drawing/2014/main" id="{5E864ECD-CA8F-4DE8-ACC9-04AF209F3395}"/>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139754</xdr:rowOff>
    </xdr:from>
    <xdr:to>
      <xdr:col>25</xdr:col>
      <xdr:colOff>685800</xdr:colOff>
      <xdr:row>94</xdr:row>
      <xdr:rowOff>210230</xdr:rowOff>
    </xdr:to>
    <xdr:sp macro="" textlink="">
      <xdr:nvSpPr>
        <xdr:cNvPr id="232" name="Text Box 47" hidden="1">
          <a:extLst>
            <a:ext uri="{FF2B5EF4-FFF2-40B4-BE49-F238E27FC236}">
              <a16:creationId xmlns:a16="http://schemas.microsoft.com/office/drawing/2014/main" id="{C8E9358F-3D7F-4598-9477-C56929C671AD}"/>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139754</xdr:rowOff>
    </xdr:from>
    <xdr:to>
      <xdr:col>29</xdr:col>
      <xdr:colOff>685800</xdr:colOff>
      <xdr:row>94</xdr:row>
      <xdr:rowOff>210230</xdr:rowOff>
    </xdr:to>
    <xdr:sp macro="" textlink="">
      <xdr:nvSpPr>
        <xdr:cNvPr id="233" name="Text Box 46" hidden="1">
          <a:extLst>
            <a:ext uri="{FF2B5EF4-FFF2-40B4-BE49-F238E27FC236}">
              <a16:creationId xmlns:a16="http://schemas.microsoft.com/office/drawing/2014/main" id="{C71BFFAB-4036-4EFF-851E-5D21C47C30A9}"/>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102161</xdr:rowOff>
    </xdr:from>
    <xdr:to>
      <xdr:col>22</xdr:col>
      <xdr:colOff>609600</xdr:colOff>
      <xdr:row>28</xdr:row>
      <xdr:rowOff>126626</xdr:rowOff>
    </xdr:to>
    <xdr:sp macro="" textlink="">
      <xdr:nvSpPr>
        <xdr:cNvPr id="234" name="Text Box 45" hidden="1">
          <a:extLst>
            <a:ext uri="{FF2B5EF4-FFF2-40B4-BE49-F238E27FC236}">
              <a16:creationId xmlns:a16="http://schemas.microsoft.com/office/drawing/2014/main" id="{D46873A7-6030-449F-B60E-ED1F4D9B1AF0}"/>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235" name="Text Box 76" hidden="1">
          <a:extLst>
            <a:ext uri="{FF2B5EF4-FFF2-40B4-BE49-F238E27FC236}">
              <a16:creationId xmlns:a16="http://schemas.microsoft.com/office/drawing/2014/main" id="{B6D1F791-EC21-48C7-86CF-F810D8072C13}"/>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236" name="Text Box 75" hidden="1">
          <a:extLst>
            <a:ext uri="{FF2B5EF4-FFF2-40B4-BE49-F238E27FC236}">
              <a16:creationId xmlns:a16="http://schemas.microsoft.com/office/drawing/2014/main" id="{6778EC1F-5D77-4302-9161-69B17B4FA76B}"/>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237" name="Text Box 74" hidden="1">
          <a:extLst>
            <a:ext uri="{FF2B5EF4-FFF2-40B4-BE49-F238E27FC236}">
              <a16:creationId xmlns:a16="http://schemas.microsoft.com/office/drawing/2014/main" id="{E7A4B1C0-C2E5-4B74-8440-1748DEDC7D4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238" name="Text Box 73" hidden="1">
          <a:extLst>
            <a:ext uri="{FF2B5EF4-FFF2-40B4-BE49-F238E27FC236}">
              <a16:creationId xmlns:a16="http://schemas.microsoft.com/office/drawing/2014/main" id="{6D25090B-CC31-466B-9DCC-530193F719FD}"/>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239" name="Text Box 72" hidden="1">
          <a:extLst>
            <a:ext uri="{FF2B5EF4-FFF2-40B4-BE49-F238E27FC236}">
              <a16:creationId xmlns:a16="http://schemas.microsoft.com/office/drawing/2014/main" id="{4112257A-9DB6-407F-8FD5-C4664BFD8FC5}"/>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240" name="Text Box 71" hidden="1">
          <a:extLst>
            <a:ext uri="{FF2B5EF4-FFF2-40B4-BE49-F238E27FC236}">
              <a16:creationId xmlns:a16="http://schemas.microsoft.com/office/drawing/2014/main" id="{8EA689F1-EC8B-4735-9343-01C587B6A86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241" name="Text Box 70" hidden="1">
          <a:extLst>
            <a:ext uri="{FF2B5EF4-FFF2-40B4-BE49-F238E27FC236}">
              <a16:creationId xmlns:a16="http://schemas.microsoft.com/office/drawing/2014/main" id="{702FF250-567B-49B3-B555-B2BEBA48EBF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242" name="Text Box 69" hidden="1">
          <a:extLst>
            <a:ext uri="{FF2B5EF4-FFF2-40B4-BE49-F238E27FC236}">
              <a16:creationId xmlns:a16="http://schemas.microsoft.com/office/drawing/2014/main" id="{F1525116-54E6-4817-8509-FB5677DC421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243" name="Text Box 68" hidden="1">
          <a:extLst>
            <a:ext uri="{FF2B5EF4-FFF2-40B4-BE49-F238E27FC236}">
              <a16:creationId xmlns:a16="http://schemas.microsoft.com/office/drawing/2014/main" id="{6F442E9E-B112-4511-A6B6-EA1E4BF133D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244" name="Text Box 67" hidden="1">
          <a:extLst>
            <a:ext uri="{FF2B5EF4-FFF2-40B4-BE49-F238E27FC236}">
              <a16:creationId xmlns:a16="http://schemas.microsoft.com/office/drawing/2014/main" id="{8CBF51C9-AAB5-4236-A5E2-AF6DCC4E5794}"/>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245" name="Text Box 66" hidden="1">
          <a:extLst>
            <a:ext uri="{FF2B5EF4-FFF2-40B4-BE49-F238E27FC236}">
              <a16:creationId xmlns:a16="http://schemas.microsoft.com/office/drawing/2014/main" id="{FCFF57A2-3F79-49BB-8715-72A90661F635}"/>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246" name="Text Box 65" hidden="1">
          <a:extLst>
            <a:ext uri="{FF2B5EF4-FFF2-40B4-BE49-F238E27FC236}">
              <a16:creationId xmlns:a16="http://schemas.microsoft.com/office/drawing/2014/main" id="{9D6E3BE3-A081-4DB7-95AE-4BFC1930D872}"/>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247" name="Text Box 64" hidden="1">
          <a:extLst>
            <a:ext uri="{FF2B5EF4-FFF2-40B4-BE49-F238E27FC236}">
              <a16:creationId xmlns:a16="http://schemas.microsoft.com/office/drawing/2014/main" id="{83772DB0-DD87-461B-B946-E7E17143268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248" name="Text Box 63" hidden="1">
          <a:extLst>
            <a:ext uri="{FF2B5EF4-FFF2-40B4-BE49-F238E27FC236}">
              <a16:creationId xmlns:a16="http://schemas.microsoft.com/office/drawing/2014/main" id="{B11E2A5C-8645-4F85-AC8D-3E8BBFDC0AA4}"/>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249" name="Text Box 62" hidden="1">
          <a:extLst>
            <a:ext uri="{FF2B5EF4-FFF2-40B4-BE49-F238E27FC236}">
              <a16:creationId xmlns:a16="http://schemas.microsoft.com/office/drawing/2014/main" id="{59043D2C-D182-42CB-A385-6194B4A71A0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250" name="Text Box 61" hidden="1">
          <a:extLst>
            <a:ext uri="{FF2B5EF4-FFF2-40B4-BE49-F238E27FC236}">
              <a16:creationId xmlns:a16="http://schemas.microsoft.com/office/drawing/2014/main" id="{6B536BA2-3127-430E-AAB9-4CD5269FA5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251" name="Text Box 166" hidden="1">
          <a:extLst>
            <a:ext uri="{FF2B5EF4-FFF2-40B4-BE49-F238E27FC236}">
              <a16:creationId xmlns:a16="http://schemas.microsoft.com/office/drawing/2014/main" id="{CD453E3C-E264-43D1-BB01-8BB67F910739}"/>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252" name="Text Box 167" hidden="1">
          <a:extLst>
            <a:ext uri="{FF2B5EF4-FFF2-40B4-BE49-F238E27FC236}">
              <a16:creationId xmlns:a16="http://schemas.microsoft.com/office/drawing/2014/main" id="{18A1B2E2-97E4-4D52-9BAA-7E5631C7BD31}"/>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253" name="Text Box 36" hidden="1">
          <a:extLst>
            <a:ext uri="{FF2B5EF4-FFF2-40B4-BE49-F238E27FC236}">
              <a16:creationId xmlns:a16="http://schemas.microsoft.com/office/drawing/2014/main" id="{0573902B-2874-48AD-B3DE-1592FA74552C}"/>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254" name="Text Box 35" hidden="1">
          <a:extLst>
            <a:ext uri="{FF2B5EF4-FFF2-40B4-BE49-F238E27FC236}">
              <a16:creationId xmlns:a16="http://schemas.microsoft.com/office/drawing/2014/main" id="{D502181B-3DB0-4325-B583-2B6D51CA6756}"/>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255" name="Text Box 34" hidden="1">
          <a:extLst>
            <a:ext uri="{FF2B5EF4-FFF2-40B4-BE49-F238E27FC236}">
              <a16:creationId xmlns:a16="http://schemas.microsoft.com/office/drawing/2014/main" id="{EE3F2A69-BDB2-4388-84F7-CCBCD787B95D}"/>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256" name="Text Box 33" hidden="1">
          <a:extLst>
            <a:ext uri="{FF2B5EF4-FFF2-40B4-BE49-F238E27FC236}">
              <a16:creationId xmlns:a16="http://schemas.microsoft.com/office/drawing/2014/main" id="{3BF95A8A-F7CD-4EEC-B5CE-8C238DF69ABA}"/>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257" name="Text Box 32" hidden="1">
          <a:extLst>
            <a:ext uri="{FF2B5EF4-FFF2-40B4-BE49-F238E27FC236}">
              <a16:creationId xmlns:a16="http://schemas.microsoft.com/office/drawing/2014/main" id="{01E4E9D6-58FE-462D-9EEB-E65670D5B3C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258" name="Text Box 31" hidden="1">
          <a:extLst>
            <a:ext uri="{FF2B5EF4-FFF2-40B4-BE49-F238E27FC236}">
              <a16:creationId xmlns:a16="http://schemas.microsoft.com/office/drawing/2014/main" id="{61E8C785-320F-46E5-80DB-2D8EE6B628FE}"/>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259" name="Text Box 30" hidden="1">
          <a:extLst>
            <a:ext uri="{FF2B5EF4-FFF2-40B4-BE49-F238E27FC236}">
              <a16:creationId xmlns:a16="http://schemas.microsoft.com/office/drawing/2014/main" id="{1A4248B8-54C7-40C5-B7AC-9FD42EB8AF80}"/>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260" name="Text Box 29" hidden="1">
          <a:extLst>
            <a:ext uri="{FF2B5EF4-FFF2-40B4-BE49-F238E27FC236}">
              <a16:creationId xmlns:a16="http://schemas.microsoft.com/office/drawing/2014/main" id="{ABAD5A0C-7B3D-4749-A5EA-D53D08C43B4F}"/>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261" name="Text Box 28" hidden="1">
          <a:extLst>
            <a:ext uri="{FF2B5EF4-FFF2-40B4-BE49-F238E27FC236}">
              <a16:creationId xmlns:a16="http://schemas.microsoft.com/office/drawing/2014/main" id="{31939386-9425-4475-8917-09ECEBFC107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262" name="Text Box 27" hidden="1">
          <a:extLst>
            <a:ext uri="{FF2B5EF4-FFF2-40B4-BE49-F238E27FC236}">
              <a16:creationId xmlns:a16="http://schemas.microsoft.com/office/drawing/2014/main" id="{8D2A3770-5B43-4AB4-9A35-9CC12A6B7A1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263" name="Text Box 26" hidden="1">
          <a:extLst>
            <a:ext uri="{FF2B5EF4-FFF2-40B4-BE49-F238E27FC236}">
              <a16:creationId xmlns:a16="http://schemas.microsoft.com/office/drawing/2014/main" id="{78D68DAA-DC08-49F6-9E6C-BDDF39E81F3E}"/>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264" name="Text Box 25" hidden="1">
          <a:extLst>
            <a:ext uri="{FF2B5EF4-FFF2-40B4-BE49-F238E27FC236}">
              <a16:creationId xmlns:a16="http://schemas.microsoft.com/office/drawing/2014/main" id="{AF3FA0FC-2F15-434D-8A61-C4C8809BC41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265" name="Text Box 24" hidden="1">
          <a:extLst>
            <a:ext uri="{FF2B5EF4-FFF2-40B4-BE49-F238E27FC236}">
              <a16:creationId xmlns:a16="http://schemas.microsoft.com/office/drawing/2014/main" id="{6F09AD86-70A6-44B3-B078-63B84AC44AFE}"/>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266" name="Text Box 23" hidden="1">
          <a:extLst>
            <a:ext uri="{FF2B5EF4-FFF2-40B4-BE49-F238E27FC236}">
              <a16:creationId xmlns:a16="http://schemas.microsoft.com/office/drawing/2014/main" id="{E906A43A-3D19-4F2F-BA95-68BBAA7EFFF0}"/>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267" name="Text Box 22" hidden="1">
          <a:extLst>
            <a:ext uri="{FF2B5EF4-FFF2-40B4-BE49-F238E27FC236}">
              <a16:creationId xmlns:a16="http://schemas.microsoft.com/office/drawing/2014/main" id="{01141E33-EEBB-45B5-A5CF-60953B1362F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268" name="Text Box 21" hidden="1">
          <a:extLst>
            <a:ext uri="{FF2B5EF4-FFF2-40B4-BE49-F238E27FC236}">
              <a16:creationId xmlns:a16="http://schemas.microsoft.com/office/drawing/2014/main" id="{C4786CF8-91EB-45E2-9F1E-4B97E05FA1D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269" name="Text Box 20" hidden="1">
          <a:extLst>
            <a:ext uri="{FF2B5EF4-FFF2-40B4-BE49-F238E27FC236}">
              <a16:creationId xmlns:a16="http://schemas.microsoft.com/office/drawing/2014/main" id="{021253E2-DEEC-4461-8281-4BAC9D934587}"/>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270" name="Text Box 19" hidden="1">
          <a:extLst>
            <a:ext uri="{FF2B5EF4-FFF2-40B4-BE49-F238E27FC236}">
              <a16:creationId xmlns:a16="http://schemas.microsoft.com/office/drawing/2014/main" id="{CBCE3985-4974-43D9-91B3-1CA35CAFC65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271" name="Text Box 18" hidden="1">
          <a:extLst>
            <a:ext uri="{FF2B5EF4-FFF2-40B4-BE49-F238E27FC236}">
              <a16:creationId xmlns:a16="http://schemas.microsoft.com/office/drawing/2014/main" id="{53257EC3-9C82-4E69-919B-466000DB262D}"/>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272" name="Text Box 17" hidden="1">
          <a:extLst>
            <a:ext uri="{FF2B5EF4-FFF2-40B4-BE49-F238E27FC236}">
              <a16:creationId xmlns:a16="http://schemas.microsoft.com/office/drawing/2014/main" id="{70782D0C-F9C5-49D4-8948-32D4359708C2}"/>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273" name="Text Box 16" hidden="1">
          <a:extLst>
            <a:ext uri="{FF2B5EF4-FFF2-40B4-BE49-F238E27FC236}">
              <a16:creationId xmlns:a16="http://schemas.microsoft.com/office/drawing/2014/main" id="{935C8B2A-0FF6-49A4-AA0B-5C580A8D4FEB}"/>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274" name="Text Box 15" hidden="1">
          <a:extLst>
            <a:ext uri="{FF2B5EF4-FFF2-40B4-BE49-F238E27FC236}">
              <a16:creationId xmlns:a16="http://schemas.microsoft.com/office/drawing/2014/main" id="{CD19C73F-36CB-41CC-982D-565FC720925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275" name="Text Box 14" hidden="1">
          <a:extLst>
            <a:ext uri="{FF2B5EF4-FFF2-40B4-BE49-F238E27FC236}">
              <a16:creationId xmlns:a16="http://schemas.microsoft.com/office/drawing/2014/main" id="{A72BAF03-41E6-4E53-8790-0F6BE97EFA96}"/>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276" name="Text Box 13" hidden="1">
          <a:extLst>
            <a:ext uri="{FF2B5EF4-FFF2-40B4-BE49-F238E27FC236}">
              <a16:creationId xmlns:a16="http://schemas.microsoft.com/office/drawing/2014/main" id="{A5A913CE-0651-4AD1-845D-C15A54A8BD33}"/>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277" name="Text Box 12" hidden="1">
          <a:extLst>
            <a:ext uri="{FF2B5EF4-FFF2-40B4-BE49-F238E27FC236}">
              <a16:creationId xmlns:a16="http://schemas.microsoft.com/office/drawing/2014/main" id="{31846029-0319-432A-925D-788594F3E2C9}"/>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278" name="Text Box 11" hidden="1">
          <a:extLst>
            <a:ext uri="{FF2B5EF4-FFF2-40B4-BE49-F238E27FC236}">
              <a16:creationId xmlns:a16="http://schemas.microsoft.com/office/drawing/2014/main" id="{3A1A987D-90E2-4ADE-B137-2111F8C3514E}"/>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279" name="Text Box 10" hidden="1">
          <a:extLst>
            <a:ext uri="{FF2B5EF4-FFF2-40B4-BE49-F238E27FC236}">
              <a16:creationId xmlns:a16="http://schemas.microsoft.com/office/drawing/2014/main" id="{C3DA8352-D702-44EE-B495-B160107BD339}"/>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280" name="Text Box 9" hidden="1">
          <a:extLst>
            <a:ext uri="{FF2B5EF4-FFF2-40B4-BE49-F238E27FC236}">
              <a16:creationId xmlns:a16="http://schemas.microsoft.com/office/drawing/2014/main" id="{938909A6-F21B-4505-AB89-609574EE5BD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281" name="Text Box 8" hidden="1">
          <a:extLst>
            <a:ext uri="{FF2B5EF4-FFF2-40B4-BE49-F238E27FC236}">
              <a16:creationId xmlns:a16="http://schemas.microsoft.com/office/drawing/2014/main" id="{28845088-350C-4ABC-94B8-62F3100F571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282" name="Text Box 7" hidden="1">
          <a:extLst>
            <a:ext uri="{FF2B5EF4-FFF2-40B4-BE49-F238E27FC236}">
              <a16:creationId xmlns:a16="http://schemas.microsoft.com/office/drawing/2014/main" id="{C736B958-F139-4D6B-80CB-ECE19D616733}"/>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283" name="Text Box 6" hidden="1">
          <a:extLst>
            <a:ext uri="{FF2B5EF4-FFF2-40B4-BE49-F238E27FC236}">
              <a16:creationId xmlns:a16="http://schemas.microsoft.com/office/drawing/2014/main" id="{F7DCC6B2-7883-4BCA-A60D-55BD263269C0}"/>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284" name="Text Box 5" hidden="1">
          <a:extLst>
            <a:ext uri="{FF2B5EF4-FFF2-40B4-BE49-F238E27FC236}">
              <a16:creationId xmlns:a16="http://schemas.microsoft.com/office/drawing/2014/main" id="{3FC7620A-0CCA-4C56-809E-CECA23D91A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285" name="Text Box 4" hidden="1">
          <a:extLst>
            <a:ext uri="{FF2B5EF4-FFF2-40B4-BE49-F238E27FC236}">
              <a16:creationId xmlns:a16="http://schemas.microsoft.com/office/drawing/2014/main" id="{C47915A5-CF82-4F7B-A633-67FE95D92DDE}"/>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286" name="Text Box 3" hidden="1">
          <a:extLst>
            <a:ext uri="{FF2B5EF4-FFF2-40B4-BE49-F238E27FC236}">
              <a16:creationId xmlns:a16="http://schemas.microsoft.com/office/drawing/2014/main" id="{19AAC7FD-2521-464F-A39B-68EB601D263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287" name="Text Box 2" hidden="1">
          <a:extLst>
            <a:ext uri="{FF2B5EF4-FFF2-40B4-BE49-F238E27FC236}">
              <a16:creationId xmlns:a16="http://schemas.microsoft.com/office/drawing/2014/main" id="{2076243E-9A44-4725-A5F1-B3973B3AD005}"/>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288" name="Text Box 1" hidden="1">
          <a:extLst>
            <a:ext uri="{FF2B5EF4-FFF2-40B4-BE49-F238E27FC236}">
              <a16:creationId xmlns:a16="http://schemas.microsoft.com/office/drawing/2014/main" id="{5A9285B8-B134-4B33-A4DA-93A7CDF0343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289" name="Text Box 54" hidden="1">
          <a:extLst>
            <a:ext uri="{FF2B5EF4-FFF2-40B4-BE49-F238E27FC236}">
              <a16:creationId xmlns:a16="http://schemas.microsoft.com/office/drawing/2014/main" id="{519BD03C-E809-46F8-BEF9-4E1B26FB8988}"/>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290" name="Text Box 53" hidden="1">
          <a:extLst>
            <a:ext uri="{FF2B5EF4-FFF2-40B4-BE49-F238E27FC236}">
              <a16:creationId xmlns:a16="http://schemas.microsoft.com/office/drawing/2014/main" id="{F443E261-F0F8-4206-BB6B-71E9F90DF7AC}"/>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291" name="Text Box 52" hidden="1">
          <a:extLst>
            <a:ext uri="{FF2B5EF4-FFF2-40B4-BE49-F238E27FC236}">
              <a16:creationId xmlns:a16="http://schemas.microsoft.com/office/drawing/2014/main" id="{A6DEEB2F-7426-43D7-AC17-921E8E4AADC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292" name="Text Box 51" hidden="1">
          <a:extLst>
            <a:ext uri="{FF2B5EF4-FFF2-40B4-BE49-F238E27FC236}">
              <a16:creationId xmlns:a16="http://schemas.microsoft.com/office/drawing/2014/main" id="{B24658A4-F873-4F4B-B05D-9DB4811C4E34}"/>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293" name="Text Box 50" hidden="1">
          <a:extLst>
            <a:ext uri="{FF2B5EF4-FFF2-40B4-BE49-F238E27FC236}">
              <a16:creationId xmlns:a16="http://schemas.microsoft.com/office/drawing/2014/main" id="{FC80EA09-00F1-460E-ACBF-3A4D6B7F85F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294" name="Text Box 49" hidden="1">
          <a:extLst>
            <a:ext uri="{FF2B5EF4-FFF2-40B4-BE49-F238E27FC236}">
              <a16:creationId xmlns:a16="http://schemas.microsoft.com/office/drawing/2014/main" id="{81D1EE7B-299B-47D9-B3AE-AE754336E6A0}"/>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295" name="Text Box 48" hidden="1">
          <a:extLst>
            <a:ext uri="{FF2B5EF4-FFF2-40B4-BE49-F238E27FC236}">
              <a16:creationId xmlns:a16="http://schemas.microsoft.com/office/drawing/2014/main" id="{DC186506-7504-4B83-88AF-A394FD193C3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296" name="Text Box 47" hidden="1">
          <a:extLst>
            <a:ext uri="{FF2B5EF4-FFF2-40B4-BE49-F238E27FC236}">
              <a16:creationId xmlns:a16="http://schemas.microsoft.com/office/drawing/2014/main" id="{45E07F6F-575A-4CE0-984A-E1CDD546ABF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297" name="Text Box 46" hidden="1">
          <a:extLst>
            <a:ext uri="{FF2B5EF4-FFF2-40B4-BE49-F238E27FC236}">
              <a16:creationId xmlns:a16="http://schemas.microsoft.com/office/drawing/2014/main" id="{44756D14-BB31-4F18-9EE4-ECBDC27075B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298" name="Text Box 45" hidden="1">
          <a:extLst>
            <a:ext uri="{FF2B5EF4-FFF2-40B4-BE49-F238E27FC236}">
              <a16:creationId xmlns:a16="http://schemas.microsoft.com/office/drawing/2014/main" id="{D84E2256-D466-430D-B48E-83031AF46ABF}"/>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299" name="Text Box 44" hidden="1">
          <a:extLst>
            <a:ext uri="{FF2B5EF4-FFF2-40B4-BE49-F238E27FC236}">
              <a16:creationId xmlns:a16="http://schemas.microsoft.com/office/drawing/2014/main" id="{6ADC248D-6CAF-49E3-BBED-CDACD627DA0C}"/>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300" name="Text Box 43" hidden="1">
          <a:extLst>
            <a:ext uri="{FF2B5EF4-FFF2-40B4-BE49-F238E27FC236}">
              <a16:creationId xmlns:a16="http://schemas.microsoft.com/office/drawing/2014/main" id="{9AC8567C-34AB-4605-8FD5-243EE03D3A3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01" name="Text Box 42" hidden="1">
          <a:extLst>
            <a:ext uri="{FF2B5EF4-FFF2-40B4-BE49-F238E27FC236}">
              <a16:creationId xmlns:a16="http://schemas.microsoft.com/office/drawing/2014/main" id="{14C03B5D-FAFD-40A5-BE75-956E19856788}"/>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02" name="Text Box 41" hidden="1">
          <a:extLst>
            <a:ext uri="{FF2B5EF4-FFF2-40B4-BE49-F238E27FC236}">
              <a16:creationId xmlns:a16="http://schemas.microsoft.com/office/drawing/2014/main" id="{6D81EF3C-6CC4-46EA-8FA9-412F8712664E}"/>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03" name="Text Box 40" hidden="1">
          <a:extLst>
            <a:ext uri="{FF2B5EF4-FFF2-40B4-BE49-F238E27FC236}">
              <a16:creationId xmlns:a16="http://schemas.microsoft.com/office/drawing/2014/main" id="{C5212FE3-4A25-49AF-A23E-046D3D9C18EA}"/>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304" name="Text Box 39" hidden="1">
          <a:extLst>
            <a:ext uri="{FF2B5EF4-FFF2-40B4-BE49-F238E27FC236}">
              <a16:creationId xmlns:a16="http://schemas.microsoft.com/office/drawing/2014/main" id="{D2C73926-10DB-459A-BBF9-55E91318AD14}"/>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305" name="Text Box 38" hidden="1">
          <a:extLst>
            <a:ext uri="{FF2B5EF4-FFF2-40B4-BE49-F238E27FC236}">
              <a16:creationId xmlns:a16="http://schemas.microsoft.com/office/drawing/2014/main" id="{6E6407B4-EAF8-4030-8434-3875805B1BD6}"/>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306" name="Text Box 37" hidden="1">
          <a:extLst>
            <a:ext uri="{FF2B5EF4-FFF2-40B4-BE49-F238E27FC236}">
              <a16:creationId xmlns:a16="http://schemas.microsoft.com/office/drawing/2014/main" id="{EA692B54-A08E-47D4-A09D-A15F0D00C14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07" name="Text Box 72" hidden="1">
          <a:extLst>
            <a:ext uri="{FF2B5EF4-FFF2-40B4-BE49-F238E27FC236}">
              <a16:creationId xmlns:a16="http://schemas.microsoft.com/office/drawing/2014/main" id="{FEFA30C4-FE88-4EDF-98CE-D679CA55265A}"/>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08" name="Text Box 71" hidden="1">
          <a:extLst>
            <a:ext uri="{FF2B5EF4-FFF2-40B4-BE49-F238E27FC236}">
              <a16:creationId xmlns:a16="http://schemas.microsoft.com/office/drawing/2014/main" id="{78A9A55F-3F94-45B5-9971-84B93E910DE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309" name="Text Box 70" hidden="1">
          <a:extLst>
            <a:ext uri="{FF2B5EF4-FFF2-40B4-BE49-F238E27FC236}">
              <a16:creationId xmlns:a16="http://schemas.microsoft.com/office/drawing/2014/main" id="{EDBA7A2F-E6C1-46E2-B3CA-760574CE68C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310" name="Text Box 69" hidden="1">
          <a:extLst>
            <a:ext uri="{FF2B5EF4-FFF2-40B4-BE49-F238E27FC236}">
              <a16:creationId xmlns:a16="http://schemas.microsoft.com/office/drawing/2014/main" id="{29DCB1A4-B374-43E5-958F-8639E8B7C26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311" name="Text Box 68" hidden="1">
          <a:extLst>
            <a:ext uri="{FF2B5EF4-FFF2-40B4-BE49-F238E27FC236}">
              <a16:creationId xmlns:a16="http://schemas.microsoft.com/office/drawing/2014/main" id="{E2450AAA-5744-4A31-9649-653EDE4E426B}"/>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312" name="Text Box 67" hidden="1">
          <a:extLst>
            <a:ext uri="{FF2B5EF4-FFF2-40B4-BE49-F238E27FC236}">
              <a16:creationId xmlns:a16="http://schemas.microsoft.com/office/drawing/2014/main" id="{8A03FB7E-B749-46C5-9EC8-B163D2B4B02A}"/>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313" name="Text Box 66" hidden="1">
          <a:extLst>
            <a:ext uri="{FF2B5EF4-FFF2-40B4-BE49-F238E27FC236}">
              <a16:creationId xmlns:a16="http://schemas.microsoft.com/office/drawing/2014/main" id="{BDC4C573-F48B-419C-B1EF-D36A42B9CBD8}"/>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314" name="Text Box 65" hidden="1">
          <a:extLst>
            <a:ext uri="{FF2B5EF4-FFF2-40B4-BE49-F238E27FC236}">
              <a16:creationId xmlns:a16="http://schemas.microsoft.com/office/drawing/2014/main" id="{D84459AF-0B38-4C67-A0E8-EB789BF5A022}"/>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315" name="Text Box 64" hidden="1">
          <a:extLst>
            <a:ext uri="{FF2B5EF4-FFF2-40B4-BE49-F238E27FC236}">
              <a16:creationId xmlns:a16="http://schemas.microsoft.com/office/drawing/2014/main" id="{A6937401-4B91-47EB-81F2-528118F37F06}"/>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316" name="Text Box 63" hidden="1">
          <a:extLst>
            <a:ext uri="{FF2B5EF4-FFF2-40B4-BE49-F238E27FC236}">
              <a16:creationId xmlns:a16="http://schemas.microsoft.com/office/drawing/2014/main" id="{42519B63-FCB6-4D75-BC7C-32AD57BB6B8C}"/>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317" name="Text Box 62" hidden="1">
          <a:extLst>
            <a:ext uri="{FF2B5EF4-FFF2-40B4-BE49-F238E27FC236}">
              <a16:creationId xmlns:a16="http://schemas.microsoft.com/office/drawing/2014/main" id="{B8DE685F-D4D7-4685-8FFC-4F301CA54CF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318" name="Text Box 61" hidden="1">
          <a:extLst>
            <a:ext uri="{FF2B5EF4-FFF2-40B4-BE49-F238E27FC236}">
              <a16:creationId xmlns:a16="http://schemas.microsoft.com/office/drawing/2014/main" id="{DC99D559-62DD-4EE7-A84D-59CCD493D908}"/>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19" name="Text Box 60" hidden="1">
          <a:extLst>
            <a:ext uri="{FF2B5EF4-FFF2-40B4-BE49-F238E27FC236}">
              <a16:creationId xmlns:a16="http://schemas.microsoft.com/office/drawing/2014/main" id="{FA17335D-77C4-4303-B81B-7B802C7E5ED4}"/>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20" name="Text Box 59" hidden="1">
          <a:extLst>
            <a:ext uri="{FF2B5EF4-FFF2-40B4-BE49-F238E27FC236}">
              <a16:creationId xmlns:a16="http://schemas.microsoft.com/office/drawing/2014/main" id="{CD5BC584-4BA6-4198-BF2C-985918C660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21" name="Text Box 58" hidden="1">
          <a:extLst>
            <a:ext uri="{FF2B5EF4-FFF2-40B4-BE49-F238E27FC236}">
              <a16:creationId xmlns:a16="http://schemas.microsoft.com/office/drawing/2014/main" id="{16B35B28-19B8-4FDE-ACE6-AC687960891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322" name="Text Box 57" hidden="1">
          <a:extLst>
            <a:ext uri="{FF2B5EF4-FFF2-40B4-BE49-F238E27FC236}">
              <a16:creationId xmlns:a16="http://schemas.microsoft.com/office/drawing/2014/main" id="{55611E8B-B385-4375-92A3-AB539BE177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323" name="Text Box 56" hidden="1">
          <a:extLst>
            <a:ext uri="{FF2B5EF4-FFF2-40B4-BE49-F238E27FC236}">
              <a16:creationId xmlns:a16="http://schemas.microsoft.com/office/drawing/2014/main" id="{8CB60056-23EC-42F7-93EF-9C72D0FF30AC}"/>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324" name="Text Box 55" hidden="1">
          <a:extLst>
            <a:ext uri="{FF2B5EF4-FFF2-40B4-BE49-F238E27FC236}">
              <a16:creationId xmlns:a16="http://schemas.microsoft.com/office/drawing/2014/main" id="{8F54F671-3267-445D-A477-9DC8A59D8A8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25" name="Text Box 90" hidden="1">
          <a:extLst>
            <a:ext uri="{FF2B5EF4-FFF2-40B4-BE49-F238E27FC236}">
              <a16:creationId xmlns:a16="http://schemas.microsoft.com/office/drawing/2014/main" id="{AE5C2C9B-1390-481B-A8E7-AADA9458912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26" name="Text Box 89" hidden="1">
          <a:extLst>
            <a:ext uri="{FF2B5EF4-FFF2-40B4-BE49-F238E27FC236}">
              <a16:creationId xmlns:a16="http://schemas.microsoft.com/office/drawing/2014/main" id="{1280A5D2-9CF1-413B-8C9F-9394A9D2CF7F}"/>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327" name="Text Box 88" hidden="1">
          <a:extLst>
            <a:ext uri="{FF2B5EF4-FFF2-40B4-BE49-F238E27FC236}">
              <a16:creationId xmlns:a16="http://schemas.microsoft.com/office/drawing/2014/main" id="{77A6202A-A039-4D79-8A4B-FBEC2CC878F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328" name="Text Box 87" hidden="1">
          <a:extLst>
            <a:ext uri="{FF2B5EF4-FFF2-40B4-BE49-F238E27FC236}">
              <a16:creationId xmlns:a16="http://schemas.microsoft.com/office/drawing/2014/main" id="{7A5AF997-A4E8-453D-94AD-160C4A03BB6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329" name="Text Box 86" hidden="1">
          <a:extLst>
            <a:ext uri="{FF2B5EF4-FFF2-40B4-BE49-F238E27FC236}">
              <a16:creationId xmlns:a16="http://schemas.microsoft.com/office/drawing/2014/main" id="{0D7DB28E-3254-45A2-9ED9-E1651A97A93E}"/>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330" name="Text Box 85" hidden="1">
          <a:extLst>
            <a:ext uri="{FF2B5EF4-FFF2-40B4-BE49-F238E27FC236}">
              <a16:creationId xmlns:a16="http://schemas.microsoft.com/office/drawing/2014/main" id="{2E3FF752-A397-4CC8-AEC9-02BE0BDBEE1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331" name="Text Box 84" hidden="1">
          <a:extLst>
            <a:ext uri="{FF2B5EF4-FFF2-40B4-BE49-F238E27FC236}">
              <a16:creationId xmlns:a16="http://schemas.microsoft.com/office/drawing/2014/main" id="{381CE688-A961-47DA-A638-CCB29B09D8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332" name="Text Box 83" hidden="1">
          <a:extLst>
            <a:ext uri="{FF2B5EF4-FFF2-40B4-BE49-F238E27FC236}">
              <a16:creationId xmlns:a16="http://schemas.microsoft.com/office/drawing/2014/main" id="{953880B5-7776-45B5-B6B9-F2518254B0E4}"/>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333" name="Text Box 82" hidden="1">
          <a:extLst>
            <a:ext uri="{FF2B5EF4-FFF2-40B4-BE49-F238E27FC236}">
              <a16:creationId xmlns:a16="http://schemas.microsoft.com/office/drawing/2014/main" id="{FF178F65-6E07-4E9C-9E22-EFA3022218F2}"/>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334" name="Text Box 81" hidden="1">
          <a:extLst>
            <a:ext uri="{FF2B5EF4-FFF2-40B4-BE49-F238E27FC236}">
              <a16:creationId xmlns:a16="http://schemas.microsoft.com/office/drawing/2014/main" id="{84992346-DC49-4151-978A-B7CAA88EB101}"/>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335" name="Text Box 80" hidden="1">
          <a:extLst>
            <a:ext uri="{FF2B5EF4-FFF2-40B4-BE49-F238E27FC236}">
              <a16:creationId xmlns:a16="http://schemas.microsoft.com/office/drawing/2014/main" id="{A04CFBC3-AE27-48D5-A19B-CF9925327BDB}"/>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336" name="Text Box 79" hidden="1">
          <a:extLst>
            <a:ext uri="{FF2B5EF4-FFF2-40B4-BE49-F238E27FC236}">
              <a16:creationId xmlns:a16="http://schemas.microsoft.com/office/drawing/2014/main" id="{4641BA50-6685-4C59-B89E-4F8011A5668A}"/>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37" name="Text Box 78" hidden="1">
          <a:extLst>
            <a:ext uri="{FF2B5EF4-FFF2-40B4-BE49-F238E27FC236}">
              <a16:creationId xmlns:a16="http://schemas.microsoft.com/office/drawing/2014/main" id="{0E4CE939-FFD5-459D-B5C3-C559053E8F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38" name="Text Box 77" hidden="1">
          <a:extLst>
            <a:ext uri="{FF2B5EF4-FFF2-40B4-BE49-F238E27FC236}">
              <a16:creationId xmlns:a16="http://schemas.microsoft.com/office/drawing/2014/main" id="{EE337949-EBD5-4D06-889C-9447B9682115}"/>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39" name="Text Box 76" hidden="1">
          <a:extLst>
            <a:ext uri="{FF2B5EF4-FFF2-40B4-BE49-F238E27FC236}">
              <a16:creationId xmlns:a16="http://schemas.microsoft.com/office/drawing/2014/main" id="{13B1E7F3-7DAE-4800-BB6C-24917BA916B1}"/>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340" name="Text Box 75" hidden="1">
          <a:extLst>
            <a:ext uri="{FF2B5EF4-FFF2-40B4-BE49-F238E27FC236}">
              <a16:creationId xmlns:a16="http://schemas.microsoft.com/office/drawing/2014/main" id="{10CF6074-730B-4807-B373-DEE38CDC263C}"/>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341" name="Text Box 74" hidden="1">
          <a:extLst>
            <a:ext uri="{FF2B5EF4-FFF2-40B4-BE49-F238E27FC236}">
              <a16:creationId xmlns:a16="http://schemas.microsoft.com/office/drawing/2014/main" id="{6A56A7CD-8672-4985-BBD7-2B167467B8F3}"/>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342" name="Text Box 73" hidden="1">
          <a:extLst>
            <a:ext uri="{FF2B5EF4-FFF2-40B4-BE49-F238E27FC236}">
              <a16:creationId xmlns:a16="http://schemas.microsoft.com/office/drawing/2014/main" id="{05FEDD86-F8C9-4F8B-85C1-2F66CFA56E59}"/>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43" name="Text Box 108" hidden="1">
          <a:extLst>
            <a:ext uri="{FF2B5EF4-FFF2-40B4-BE49-F238E27FC236}">
              <a16:creationId xmlns:a16="http://schemas.microsoft.com/office/drawing/2014/main" id="{43044C3F-AD5C-41F0-8CD8-B4968EDC28C4}"/>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44" name="Text Box 107" hidden="1">
          <a:extLst>
            <a:ext uri="{FF2B5EF4-FFF2-40B4-BE49-F238E27FC236}">
              <a16:creationId xmlns:a16="http://schemas.microsoft.com/office/drawing/2014/main" id="{4BB64884-0FE6-47FC-B426-1A9E6AA3ECC7}"/>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345" name="Text Box 106" hidden="1">
          <a:extLst>
            <a:ext uri="{FF2B5EF4-FFF2-40B4-BE49-F238E27FC236}">
              <a16:creationId xmlns:a16="http://schemas.microsoft.com/office/drawing/2014/main" id="{0C8898CE-33FD-4BC2-9FA0-36027D0697F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346" name="Text Box 105" hidden="1">
          <a:extLst>
            <a:ext uri="{FF2B5EF4-FFF2-40B4-BE49-F238E27FC236}">
              <a16:creationId xmlns:a16="http://schemas.microsoft.com/office/drawing/2014/main" id="{BD2DD48A-8A74-44B9-9631-72D3F0F592D3}"/>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347" name="Text Box 104" hidden="1">
          <a:extLst>
            <a:ext uri="{FF2B5EF4-FFF2-40B4-BE49-F238E27FC236}">
              <a16:creationId xmlns:a16="http://schemas.microsoft.com/office/drawing/2014/main" id="{15A60577-A849-489D-AC44-6FA25A656718}"/>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348" name="Text Box 103" hidden="1">
          <a:extLst>
            <a:ext uri="{FF2B5EF4-FFF2-40B4-BE49-F238E27FC236}">
              <a16:creationId xmlns:a16="http://schemas.microsoft.com/office/drawing/2014/main" id="{1460FCAC-EE57-4D46-9027-B1C8E1DB866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349" name="Text Box 102" hidden="1">
          <a:extLst>
            <a:ext uri="{FF2B5EF4-FFF2-40B4-BE49-F238E27FC236}">
              <a16:creationId xmlns:a16="http://schemas.microsoft.com/office/drawing/2014/main" id="{8EA24C2F-0E4D-4BE9-B915-20525C3EB0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350" name="Text Box 101" hidden="1">
          <a:extLst>
            <a:ext uri="{FF2B5EF4-FFF2-40B4-BE49-F238E27FC236}">
              <a16:creationId xmlns:a16="http://schemas.microsoft.com/office/drawing/2014/main" id="{A1DAB1D7-F4E2-4371-8A32-D18BA717982B}"/>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351" name="Text Box 100" hidden="1">
          <a:extLst>
            <a:ext uri="{FF2B5EF4-FFF2-40B4-BE49-F238E27FC236}">
              <a16:creationId xmlns:a16="http://schemas.microsoft.com/office/drawing/2014/main" id="{4C91E84A-4CEB-4172-AF56-F2558D42FFCF}"/>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352" name="Text Box 99" hidden="1">
          <a:extLst>
            <a:ext uri="{FF2B5EF4-FFF2-40B4-BE49-F238E27FC236}">
              <a16:creationId xmlns:a16="http://schemas.microsoft.com/office/drawing/2014/main" id="{7F0207CC-EA36-4509-B6B1-CA6D3BD4FDD8}"/>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353" name="Text Box 98" hidden="1">
          <a:extLst>
            <a:ext uri="{FF2B5EF4-FFF2-40B4-BE49-F238E27FC236}">
              <a16:creationId xmlns:a16="http://schemas.microsoft.com/office/drawing/2014/main" id="{C9E21B2D-63C4-4EEB-A441-8C56D7EDC2D5}"/>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354" name="Text Box 97" hidden="1">
          <a:extLst>
            <a:ext uri="{FF2B5EF4-FFF2-40B4-BE49-F238E27FC236}">
              <a16:creationId xmlns:a16="http://schemas.microsoft.com/office/drawing/2014/main" id="{7E604325-E1D3-45D1-B627-B06953019F2C}"/>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55" name="Text Box 96" hidden="1">
          <a:extLst>
            <a:ext uri="{FF2B5EF4-FFF2-40B4-BE49-F238E27FC236}">
              <a16:creationId xmlns:a16="http://schemas.microsoft.com/office/drawing/2014/main" id="{5DFE01ED-75F3-4420-ACE8-5298727CE1A9}"/>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56" name="Text Box 95" hidden="1">
          <a:extLst>
            <a:ext uri="{FF2B5EF4-FFF2-40B4-BE49-F238E27FC236}">
              <a16:creationId xmlns:a16="http://schemas.microsoft.com/office/drawing/2014/main" id="{CFAC8603-EB00-47AB-AD36-0C77E1F887E8}"/>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57" name="Text Box 94" hidden="1">
          <a:extLst>
            <a:ext uri="{FF2B5EF4-FFF2-40B4-BE49-F238E27FC236}">
              <a16:creationId xmlns:a16="http://schemas.microsoft.com/office/drawing/2014/main" id="{547157BC-FA6C-466C-B253-04D2999FFF1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358" name="Text Box 93" hidden="1">
          <a:extLst>
            <a:ext uri="{FF2B5EF4-FFF2-40B4-BE49-F238E27FC236}">
              <a16:creationId xmlns:a16="http://schemas.microsoft.com/office/drawing/2014/main" id="{04052AA0-6750-4D00-AEE5-2F0B03F2E445}"/>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359" name="Text Box 92" hidden="1">
          <a:extLst>
            <a:ext uri="{FF2B5EF4-FFF2-40B4-BE49-F238E27FC236}">
              <a16:creationId xmlns:a16="http://schemas.microsoft.com/office/drawing/2014/main" id="{2C732A3F-DA07-477A-AC49-65634FE407BE}"/>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360" name="Text Box 91" hidden="1">
          <a:extLst>
            <a:ext uri="{FF2B5EF4-FFF2-40B4-BE49-F238E27FC236}">
              <a16:creationId xmlns:a16="http://schemas.microsoft.com/office/drawing/2014/main" id="{70AC1882-7498-4C95-B1DE-A05D0385D47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61" name="Text Box 144" hidden="1">
          <a:extLst>
            <a:ext uri="{FF2B5EF4-FFF2-40B4-BE49-F238E27FC236}">
              <a16:creationId xmlns:a16="http://schemas.microsoft.com/office/drawing/2014/main" id="{4DC733E6-C779-4BC5-8DDA-4AF4D3DF8A6F}"/>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62" name="Text Box 143" hidden="1">
          <a:extLst>
            <a:ext uri="{FF2B5EF4-FFF2-40B4-BE49-F238E27FC236}">
              <a16:creationId xmlns:a16="http://schemas.microsoft.com/office/drawing/2014/main" id="{BD70C142-62A5-4A17-8135-C9564512C6B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363" name="Text Box 142" hidden="1">
          <a:extLst>
            <a:ext uri="{FF2B5EF4-FFF2-40B4-BE49-F238E27FC236}">
              <a16:creationId xmlns:a16="http://schemas.microsoft.com/office/drawing/2014/main" id="{827156D7-A431-46DF-B6C6-B14A5AA359A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364" name="Text Box 141" hidden="1">
          <a:extLst>
            <a:ext uri="{FF2B5EF4-FFF2-40B4-BE49-F238E27FC236}">
              <a16:creationId xmlns:a16="http://schemas.microsoft.com/office/drawing/2014/main" id="{D13871B5-C77D-4ED0-9D75-75013C658B21}"/>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365" name="Text Box 140" hidden="1">
          <a:extLst>
            <a:ext uri="{FF2B5EF4-FFF2-40B4-BE49-F238E27FC236}">
              <a16:creationId xmlns:a16="http://schemas.microsoft.com/office/drawing/2014/main" id="{F8B81463-3AD4-420E-B87C-B48D2152B2C1}"/>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366" name="Text Box 139" hidden="1">
          <a:extLst>
            <a:ext uri="{FF2B5EF4-FFF2-40B4-BE49-F238E27FC236}">
              <a16:creationId xmlns:a16="http://schemas.microsoft.com/office/drawing/2014/main" id="{5B86921A-69DD-4B25-B80C-E7BBC18317E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367" name="Text Box 138" hidden="1">
          <a:extLst>
            <a:ext uri="{FF2B5EF4-FFF2-40B4-BE49-F238E27FC236}">
              <a16:creationId xmlns:a16="http://schemas.microsoft.com/office/drawing/2014/main" id="{69FD7D77-AD40-460A-891D-B98E0CE9D3C1}"/>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368" name="Text Box 137" hidden="1">
          <a:extLst>
            <a:ext uri="{FF2B5EF4-FFF2-40B4-BE49-F238E27FC236}">
              <a16:creationId xmlns:a16="http://schemas.microsoft.com/office/drawing/2014/main" id="{BEBB96D8-EC9C-49EB-AEB8-114A88E2F981}"/>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369" name="Text Box 136" hidden="1">
          <a:extLst>
            <a:ext uri="{FF2B5EF4-FFF2-40B4-BE49-F238E27FC236}">
              <a16:creationId xmlns:a16="http://schemas.microsoft.com/office/drawing/2014/main" id="{D9A2D4D7-572B-4D23-856E-0E975D5CAFC2}"/>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370" name="Text Box 135" hidden="1">
          <a:extLst>
            <a:ext uri="{FF2B5EF4-FFF2-40B4-BE49-F238E27FC236}">
              <a16:creationId xmlns:a16="http://schemas.microsoft.com/office/drawing/2014/main" id="{0745830B-6BA8-45A1-BC75-21C32D70682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371" name="Text Box 134" hidden="1">
          <a:extLst>
            <a:ext uri="{FF2B5EF4-FFF2-40B4-BE49-F238E27FC236}">
              <a16:creationId xmlns:a16="http://schemas.microsoft.com/office/drawing/2014/main" id="{5962A70B-E30B-485E-8BAC-34F5CBE83742}"/>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372" name="Text Box 133" hidden="1">
          <a:extLst>
            <a:ext uri="{FF2B5EF4-FFF2-40B4-BE49-F238E27FC236}">
              <a16:creationId xmlns:a16="http://schemas.microsoft.com/office/drawing/2014/main" id="{A6C97EAB-FD31-4B62-AC84-8DB28ADC113D}"/>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73" name="Text Box 132" hidden="1">
          <a:extLst>
            <a:ext uri="{FF2B5EF4-FFF2-40B4-BE49-F238E27FC236}">
              <a16:creationId xmlns:a16="http://schemas.microsoft.com/office/drawing/2014/main" id="{DE761493-70C9-4401-97D6-733B5BFB98C3}"/>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74" name="Text Box 131" hidden="1">
          <a:extLst>
            <a:ext uri="{FF2B5EF4-FFF2-40B4-BE49-F238E27FC236}">
              <a16:creationId xmlns:a16="http://schemas.microsoft.com/office/drawing/2014/main" id="{115F44FB-D5AF-47DA-92E4-E6560D03F29B}"/>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75" name="Text Box 130" hidden="1">
          <a:extLst>
            <a:ext uri="{FF2B5EF4-FFF2-40B4-BE49-F238E27FC236}">
              <a16:creationId xmlns:a16="http://schemas.microsoft.com/office/drawing/2014/main" id="{DF6A928D-A3E0-4E85-B025-EF7905FEA6E6}"/>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376" name="Text Box 129" hidden="1">
          <a:extLst>
            <a:ext uri="{FF2B5EF4-FFF2-40B4-BE49-F238E27FC236}">
              <a16:creationId xmlns:a16="http://schemas.microsoft.com/office/drawing/2014/main" id="{2E356699-4854-477D-9E57-6B6139D52925}"/>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377" name="Text Box 128" hidden="1">
          <a:extLst>
            <a:ext uri="{FF2B5EF4-FFF2-40B4-BE49-F238E27FC236}">
              <a16:creationId xmlns:a16="http://schemas.microsoft.com/office/drawing/2014/main" id="{9829337A-74BF-434D-9305-007FDE14C9A2}"/>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378" name="Text Box 127" hidden="1">
          <a:extLst>
            <a:ext uri="{FF2B5EF4-FFF2-40B4-BE49-F238E27FC236}">
              <a16:creationId xmlns:a16="http://schemas.microsoft.com/office/drawing/2014/main" id="{C44C4B78-3E3B-482E-9687-33814FF285B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79" name="Text Box 126" hidden="1">
          <a:extLst>
            <a:ext uri="{FF2B5EF4-FFF2-40B4-BE49-F238E27FC236}">
              <a16:creationId xmlns:a16="http://schemas.microsoft.com/office/drawing/2014/main" id="{914504A0-45CF-4F0C-A2D7-18F26467127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80" name="Text Box 125" hidden="1">
          <a:extLst>
            <a:ext uri="{FF2B5EF4-FFF2-40B4-BE49-F238E27FC236}">
              <a16:creationId xmlns:a16="http://schemas.microsoft.com/office/drawing/2014/main" id="{406B8A7B-820A-45B7-AD51-A44A47653B32}"/>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381" name="Text Box 124" hidden="1">
          <a:extLst>
            <a:ext uri="{FF2B5EF4-FFF2-40B4-BE49-F238E27FC236}">
              <a16:creationId xmlns:a16="http://schemas.microsoft.com/office/drawing/2014/main" id="{603D8482-ED1C-4F69-A5EC-1B8DFF016897}"/>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382" name="Text Box 123" hidden="1">
          <a:extLst>
            <a:ext uri="{FF2B5EF4-FFF2-40B4-BE49-F238E27FC236}">
              <a16:creationId xmlns:a16="http://schemas.microsoft.com/office/drawing/2014/main" id="{1806D683-E19F-41DD-B589-7E351E5722D0}"/>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383" name="Text Box 122" hidden="1">
          <a:extLst>
            <a:ext uri="{FF2B5EF4-FFF2-40B4-BE49-F238E27FC236}">
              <a16:creationId xmlns:a16="http://schemas.microsoft.com/office/drawing/2014/main" id="{09B94298-4559-4EB2-A38C-0F572F4B73AC}"/>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384" name="Text Box 121" hidden="1">
          <a:extLst>
            <a:ext uri="{FF2B5EF4-FFF2-40B4-BE49-F238E27FC236}">
              <a16:creationId xmlns:a16="http://schemas.microsoft.com/office/drawing/2014/main" id="{9CC09211-EFB4-43BD-BAD4-6617939037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385" name="Text Box 120" hidden="1">
          <a:extLst>
            <a:ext uri="{FF2B5EF4-FFF2-40B4-BE49-F238E27FC236}">
              <a16:creationId xmlns:a16="http://schemas.microsoft.com/office/drawing/2014/main" id="{AAA75BF3-7034-492F-B885-6395BDCCC2BD}"/>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386" name="Text Box 119" hidden="1">
          <a:extLst>
            <a:ext uri="{FF2B5EF4-FFF2-40B4-BE49-F238E27FC236}">
              <a16:creationId xmlns:a16="http://schemas.microsoft.com/office/drawing/2014/main" id="{F7D47738-8B62-4B3C-A973-5F45A864EBF8}"/>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387" name="Text Box 118" hidden="1">
          <a:extLst>
            <a:ext uri="{FF2B5EF4-FFF2-40B4-BE49-F238E27FC236}">
              <a16:creationId xmlns:a16="http://schemas.microsoft.com/office/drawing/2014/main" id="{9C22BF66-F449-4F7A-8922-0746886D664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388" name="Text Box 117" hidden="1">
          <a:extLst>
            <a:ext uri="{FF2B5EF4-FFF2-40B4-BE49-F238E27FC236}">
              <a16:creationId xmlns:a16="http://schemas.microsoft.com/office/drawing/2014/main" id="{A68D4AF5-345B-43C2-ABC3-C9A914D49A0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389" name="Text Box 116" hidden="1">
          <a:extLst>
            <a:ext uri="{FF2B5EF4-FFF2-40B4-BE49-F238E27FC236}">
              <a16:creationId xmlns:a16="http://schemas.microsoft.com/office/drawing/2014/main" id="{DC98C9D0-DBD6-4282-9150-18E87C1F25AA}"/>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390" name="Text Box 115" hidden="1">
          <a:extLst>
            <a:ext uri="{FF2B5EF4-FFF2-40B4-BE49-F238E27FC236}">
              <a16:creationId xmlns:a16="http://schemas.microsoft.com/office/drawing/2014/main" id="{BF13EACD-8DDB-4A24-B574-87C5B2042BC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91" name="Text Box 114" hidden="1">
          <a:extLst>
            <a:ext uri="{FF2B5EF4-FFF2-40B4-BE49-F238E27FC236}">
              <a16:creationId xmlns:a16="http://schemas.microsoft.com/office/drawing/2014/main" id="{5CBB0CA3-D937-4F1B-8880-7D745779BA35}"/>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92" name="Text Box 113" hidden="1">
          <a:extLst>
            <a:ext uri="{FF2B5EF4-FFF2-40B4-BE49-F238E27FC236}">
              <a16:creationId xmlns:a16="http://schemas.microsoft.com/office/drawing/2014/main" id="{C04E5AAD-9456-45D9-A683-1097C20AE6C1}"/>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93" name="Text Box 112" hidden="1">
          <a:extLst>
            <a:ext uri="{FF2B5EF4-FFF2-40B4-BE49-F238E27FC236}">
              <a16:creationId xmlns:a16="http://schemas.microsoft.com/office/drawing/2014/main" id="{FB31F688-01DA-497C-8EFD-D2D580974CA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394" name="Text Box 111" hidden="1">
          <a:extLst>
            <a:ext uri="{FF2B5EF4-FFF2-40B4-BE49-F238E27FC236}">
              <a16:creationId xmlns:a16="http://schemas.microsoft.com/office/drawing/2014/main" id="{5CA2E6F4-C697-44FC-8DD4-BB845049128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395" name="Text Box 110" hidden="1">
          <a:extLst>
            <a:ext uri="{FF2B5EF4-FFF2-40B4-BE49-F238E27FC236}">
              <a16:creationId xmlns:a16="http://schemas.microsoft.com/office/drawing/2014/main" id="{22EF98A4-199C-48E4-AE77-AC2B321A54E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396" name="Text Box 109" hidden="1">
          <a:extLst>
            <a:ext uri="{FF2B5EF4-FFF2-40B4-BE49-F238E27FC236}">
              <a16:creationId xmlns:a16="http://schemas.microsoft.com/office/drawing/2014/main" id="{5887E422-D59D-492A-B22D-85A44ECCFB42}"/>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97" name="Text Box 162" hidden="1">
          <a:extLst>
            <a:ext uri="{FF2B5EF4-FFF2-40B4-BE49-F238E27FC236}">
              <a16:creationId xmlns:a16="http://schemas.microsoft.com/office/drawing/2014/main" id="{FC888541-2BF5-4EB6-B54D-E72873EBB6B4}"/>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98" name="Text Box 161" hidden="1">
          <a:extLst>
            <a:ext uri="{FF2B5EF4-FFF2-40B4-BE49-F238E27FC236}">
              <a16:creationId xmlns:a16="http://schemas.microsoft.com/office/drawing/2014/main" id="{60C8B19C-A148-48B0-B9BF-CB5B623EF2EA}"/>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399" name="Text Box 160" hidden="1">
          <a:extLst>
            <a:ext uri="{FF2B5EF4-FFF2-40B4-BE49-F238E27FC236}">
              <a16:creationId xmlns:a16="http://schemas.microsoft.com/office/drawing/2014/main" id="{ED5201DF-8FB3-4B86-9A4F-61A7FFCE992A}"/>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400" name="Text Box 159" hidden="1">
          <a:extLst>
            <a:ext uri="{FF2B5EF4-FFF2-40B4-BE49-F238E27FC236}">
              <a16:creationId xmlns:a16="http://schemas.microsoft.com/office/drawing/2014/main" id="{B4C45A78-7B7D-4CF8-B4D4-FB30556427B3}"/>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401" name="Text Box 158" hidden="1">
          <a:extLst>
            <a:ext uri="{FF2B5EF4-FFF2-40B4-BE49-F238E27FC236}">
              <a16:creationId xmlns:a16="http://schemas.microsoft.com/office/drawing/2014/main" id="{F1AF94F7-BF0C-49AF-8C81-4EFE537D20AA}"/>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402" name="Text Box 157" hidden="1">
          <a:extLst>
            <a:ext uri="{FF2B5EF4-FFF2-40B4-BE49-F238E27FC236}">
              <a16:creationId xmlns:a16="http://schemas.microsoft.com/office/drawing/2014/main" id="{5FF86895-9E11-43A0-A649-3A625E46F5A9}"/>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403" name="Text Box 156" hidden="1">
          <a:extLst>
            <a:ext uri="{FF2B5EF4-FFF2-40B4-BE49-F238E27FC236}">
              <a16:creationId xmlns:a16="http://schemas.microsoft.com/office/drawing/2014/main" id="{8BFBD689-C9F9-4365-B744-3EDC9DCBA58D}"/>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404" name="Text Box 155" hidden="1">
          <a:extLst>
            <a:ext uri="{FF2B5EF4-FFF2-40B4-BE49-F238E27FC236}">
              <a16:creationId xmlns:a16="http://schemas.microsoft.com/office/drawing/2014/main" id="{013C31CD-1005-40A1-B63A-4A613B14EB89}"/>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405" name="Text Box 154" hidden="1">
          <a:extLst>
            <a:ext uri="{FF2B5EF4-FFF2-40B4-BE49-F238E27FC236}">
              <a16:creationId xmlns:a16="http://schemas.microsoft.com/office/drawing/2014/main" id="{A6A45BE9-6357-494A-89D2-D41DB7E760F1}"/>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406" name="Text Box 153" hidden="1">
          <a:extLst>
            <a:ext uri="{FF2B5EF4-FFF2-40B4-BE49-F238E27FC236}">
              <a16:creationId xmlns:a16="http://schemas.microsoft.com/office/drawing/2014/main" id="{9C586D0D-29FF-49FE-A051-9A2127304A73}"/>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407" name="Text Box 152" hidden="1">
          <a:extLst>
            <a:ext uri="{FF2B5EF4-FFF2-40B4-BE49-F238E27FC236}">
              <a16:creationId xmlns:a16="http://schemas.microsoft.com/office/drawing/2014/main" id="{072BEC9C-A7B0-4AF8-9897-ED28EFEA774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408" name="Text Box 151" hidden="1">
          <a:extLst>
            <a:ext uri="{FF2B5EF4-FFF2-40B4-BE49-F238E27FC236}">
              <a16:creationId xmlns:a16="http://schemas.microsoft.com/office/drawing/2014/main" id="{A5DF08F0-50F1-4F4F-AFEA-EB02B6B1F386}"/>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409" name="Text Box 150" hidden="1">
          <a:extLst>
            <a:ext uri="{FF2B5EF4-FFF2-40B4-BE49-F238E27FC236}">
              <a16:creationId xmlns:a16="http://schemas.microsoft.com/office/drawing/2014/main" id="{DE93A99B-4C1B-4792-B937-208A87EF4377}"/>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410" name="Text Box 149" hidden="1">
          <a:extLst>
            <a:ext uri="{FF2B5EF4-FFF2-40B4-BE49-F238E27FC236}">
              <a16:creationId xmlns:a16="http://schemas.microsoft.com/office/drawing/2014/main" id="{FC3A4C59-BC7E-4FF9-BA8B-2B78AC716672}"/>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411" name="Text Box 148" hidden="1">
          <a:extLst>
            <a:ext uri="{FF2B5EF4-FFF2-40B4-BE49-F238E27FC236}">
              <a16:creationId xmlns:a16="http://schemas.microsoft.com/office/drawing/2014/main" id="{D4F5F303-A4CE-4CFF-BBE0-0C7CD8C30178}"/>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412" name="Text Box 147" hidden="1">
          <a:extLst>
            <a:ext uri="{FF2B5EF4-FFF2-40B4-BE49-F238E27FC236}">
              <a16:creationId xmlns:a16="http://schemas.microsoft.com/office/drawing/2014/main" id="{C46A37E7-62B5-4D62-A695-D6978E49590E}"/>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413" name="Text Box 146" hidden="1">
          <a:extLst>
            <a:ext uri="{FF2B5EF4-FFF2-40B4-BE49-F238E27FC236}">
              <a16:creationId xmlns:a16="http://schemas.microsoft.com/office/drawing/2014/main" id="{7C7A13DE-B58B-4175-822F-811058BE513F}"/>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414" name="Text Box 145" hidden="1">
          <a:extLst>
            <a:ext uri="{FF2B5EF4-FFF2-40B4-BE49-F238E27FC236}">
              <a16:creationId xmlns:a16="http://schemas.microsoft.com/office/drawing/2014/main" id="{6C1053B8-DAED-4BD5-A2A2-152074A9BDF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415" name="Text Box 180" hidden="1">
          <a:extLst>
            <a:ext uri="{FF2B5EF4-FFF2-40B4-BE49-F238E27FC236}">
              <a16:creationId xmlns:a16="http://schemas.microsoft.com/office/drawing/2014/main" id="{982BFCB8-B65B-4BF5-A6C7-D5336D355DB5}"/>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416" name="Text Box 179" hidden="1">
          <a:extLst>
            <a:ext uri="{FF2B5EF4-FFF2-40B4-BE49-F238E27FC236}">
              <a16:creationId xmlns:a16="http://schemas.microsoft.com/office/drawing/2014/main" id="{26510CB4-45B9-4548-8179-85F251BFE44A}"/>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417" name="Text Box 178" hidden="1">
          <a:extLst>
            <a:ext uri="{FF2B5EF4-FFF2-40B4-BE49-F238E27FC236}">
              <a16:creationId xmlns:a16="http://schemas.microsoft.com/office/drawing/2014/main" id="{2E4CCC05-7516-457A-B5FB-6E862A6257D4}"/>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418" name="Text Box 177" hidden="1">
          <a:extLst>
            <a:ext uri="{FF2B5EF4-FFF2-40B4-BE49-F238E27FC236}">
              <a16:creationId xmlns:a16="http://schemas.microsoft.com/office/drawing/2014/main" id="{95DFC5BD-E558-4A41-93F7-D6FF44352FFE}"/>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419" name="Text Box 176" hidden="1">
          <a:extLst>
            <a:ext uri="{FF2B5EF4-FFF2-40B4-BE49-F238E27FC236}">
              <a16:creationId xmlns:a16="http://schemas.microsoft.com/office/drawing/2014/main" id="{983547DC-3D21-491A-B8DB-05CD02F23162}"/>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420" name="Text Box 175" hidden="1">
          <a:extLst>
            <a:ext uri="{FF2B5EF4-FFF2-40B4-BE49-F238E27FC236}">
              <a16:creationId xmlns:a16="http://schemas.microsoft.com/office/drawing/2014/main" id="{141F9CF4-9BC0-4791-B028-AF003C7C12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421" name="Text Box 174" hidden="1">
          <a:extLst>
            <a:ext uri="{FF2B5EF4-FFF2-40B4-BE49-F238E27FC236}">
              <a16:creationId xmlns:a16="http://schemas.microsoft.com/office/drawing/2014/main" id="{B3853FCD-1ED7-4441-9647-EAE6D88A41E0}"/>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422" name="Text Box 173" hidden="1">
          <a:extLst>
            <a:ext uri="{FF2B5EF4-FFF2-40B4-BE49-F238E27FC236}">
              <a16:creationId xmlns:a16="http://schemas.microsoft.com/office/drawing/2014/main" id="{0615C300-6126-465F-88C1-1BD74E7C7CD1}"/>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423" name="Text Box 172" hidden="1">
          <a:extLst>
            <a:ext uri="{FF2B5EF4-FFF2-40B4-BE49-F238E27FC236}">
              <a16:creationId xmlns:a16="http://schemas.microsoft.com/office/drawing/2014/main" id="{8EBEFB38-7123-41FD-9308-34B91F3C1EFC}"/>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424" name="Text Box 171" hidden="1">
          <a:extLst>
            <a:ext uri="{FF2B5EF4-FFF2-40B4-BE49-F238E27FC236}">
              <a16:creationId xmlns:a16="http://schemas.microsoft.com/office/drawing/2014/main" id="{6D3114CD-3707-4594-9B86-4B57708F889B}"/>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425" name="Text Box 170" hidden="1">
          <a:extLst>
            <a:ext uri="{FF2B5EF4-FFF2-40B4-BE49-F238E27FC236}">
              <a16:creationId xmlns:a16="http://schemas.microsoft.com/office/drawing/2014/main" id="{049AF0DC-C014-4E36-ABD2-53EA9D4F0FD4}"/>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426" name="Text Box 169" hidden="1">
          <a:extLst>
            <a:ext uri="{FF2B5EF4-FFF2-40B4-BE49-F238E27FC236}">
              <a16:creationId xmlns:a16="http://schemas.microsoft.com/office/drawing/2014/main" id="{EA1682C8-6A2A-4C23-9C59-E522DAE300BB}"/>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427" name="Text Box 168" hidden="1">
          <a:extLst>
            <a:ext uri="{FF2B5EF4-FFF2-40B4-BE49-F238E27FC236}">
              <a16:creationId xmlns:a16="http://schemas.microsoft.com/office/drawing/2014/main" id="{C3AA1763-A9DE-4037-BB4A-418A25DDD9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428" name="Text Box 167" hidden="1">
          <a:extLst>
            <a:ext uri="{FF2B5EF4-FFF2-40B4-BE49-F238E27FC236}">
              <a16:creationId xmlns:a16="http://schemas.microsoft.com/office/drawing/2014/main" id="{750577F1-220A-47A3-B723-92B5A47AE4C0}"/>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429" name="Text Box 166" hidden="1">
          <a:extLst>
            <a:ext uri="{FF2B5EF4-FFF2-40B4-BE49-F238E27FC236}">
              <a16:creationId xmlns:a16="http://schemas.microsoft.com/office/drawing/2014/main" id="{313E946A-4676-4A3A-B4BB-D892543DA386}"/>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430" name="Text Box 165" hidden="1">
          <a:extLst>
            <a:ext uri="{FF2B5EF4-FFF2-40B4-BE49-F238E27FC236}">
              <a16:creationId xmlns:a16="http://schemas.microsoft.com/office/drawing/2014/main" id="{93FD148A-FA8B-4F8F-BFB3-FD8A4BD3BD56}"/>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431" name="Text Box 164" hidden="1">
          <a:extLst>
            <a:ext uri="{FF2B5EF4-FFF2-40B4-BE49-F238E27FC236}">
              <a16:creationId xmlns:a16="http://schemas.microsoft.com/office/drawing/2014/main" id="{67FEB2D4-6F92-4F8E-A352-50551F2340AD}"/>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432" name="Text Box 163" hidden="1">
          <a:extLst>
            <a:ext uri="{FF2B5EF4-FFF2-40B4-BE49-F238E27FC236}">
              <a16:creationId xmlns:a16="http://schemas.microsoft.com/office/drawing/2014/main" id="{EF435CAE-36DF-4DA9-A9E6-8FA6794AD2A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433" name="Text Box 198" hidden="1">
          <a:extLst>
            <a:ext uri="{FF2B5EF4-FFF2-40B4-BE49-F238E27FC236}">
              <a16:creationId xmlns:a16="http://schemas.microsoft.com/office/drawing/2014/main" id="{E2AA59B4-92A1-41BB-AFC8-5AC8D9EE141B}"/>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434" name="Text Box 197" hidden="1">
          <a:extLst>
            <a:ext uri="{FF2B5EF4-FFF2-40B4-BE49-F238E27FC236}">
              <a16:creationId xmlns:a16="http://schemas.microsoft.com/office/drawing/2014/main" id="{90A51AAC-D4DD-4CBC-8EAB-93D20881FC98}"/>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435" name="Text Box 196" hidden="1">
          <a:extLst>
            <a:ext uri="{FF2B5EF4-FFF2-40B4-BE49-F238E27FC236}">
              <a16:creationId xmlns:a16="http://schemas.microsoft.com/office/drawing/2014/main" id="{5D4F66BE-D9E5-41A4-A026-870C8E8F875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436" name="Text Box 195" hidden="1">
          <a:extLst>
            <a:ext uri="{FF2B5EF4-FFF2-40B4-BE49-F238E27FC236}">
              <a16:creationId xmlns:a16="http://schemas.microsoft.com/office/drawing/2014/main" id="{8872E55C-7AE3-489D-BA4C-A9A06E97E0C1}"/>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437" name="Text Box 194" hidden="1">
          <a:extLst>
            <a:ext uri="{FF2B5EF4-FFF2-40B4-BE49-F238E27FC236}">
              <a16:creationId xmlns:a16="http://schemas.microsoft.com/office/drawing/2014/main" id="{14DA875E-DD96-4519-A9A4-0BB8458A16F1}"/>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438" name="Text Box 193" hidden="1">
          <a:extLst>
            <a:ext uri="{FF2B5EF4-FFF2-40B4-BE49-F238E27FC236}">
              <a16:creationId xmlns:a16="http://schemas.microsoft.com/office/drawing/2014/main" id="{FA922297-0C6C-4337-9FF0-EB40BE6295CB}"/>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439" name="Text Box 192" hidden="1">
          <a:extLst>
            <a:ext uri="{FF2B5EF4-FFF2-40B4-BE49-F238E27FC236}">
              <a16:creationId xmlns:a16="http://schemas.microsoft.com/office/drawing/2014/main" id="{DC17761C-AFE9-462F-A203-16362C2C9011}"/>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440" name="Text Box 191" hidden="1">
          <a:extLst>
            <a:ext uri="{FF2B5EF4-FFF2-40B4-BE49-F238E27FC236}">
              <a16:creationId xmlns:a16="http://schemas.microsoft.com/office/drawing/2014/main" id="{47368AA7-847D-406B-81E1-0C25CE032EC0}"/>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441" name="Text Box 190" hidden="1">
          <a:extLst>
            <a:ext uri="{FF2B5EF4-FFF2-40B4-BE49-F238E27FC236}">
              <a16:creationId xmlns:a16="http://schemas.microsoft.com/office/drawing/2014/main" id="{AA4A8E42-0FD7-492D-8617-CE2E63EF381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442" name="Text Box 189" hidden="1">
          <a:extLst>
            <a:ext uri="{FF2B5EF4-FFF2-40B4-BE49-F238E27FC236}">
              <a16:creationId xmlns:a16="http://schemas.microsoft.com/office/drawing/2014/main" id="{C09C24D7-B354-4703-9BE4-93A18D7682E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443" name="Text Box 188" hidden="1">
          <a:extLst>
            <a:ext uri="{FF2B5EF4-FFF2-40B4-BE49-F238E27FC236}">
              <a16:creationId xmlns:a16="http://schemas.microsoft.com/office/drawing/2014/main" id="{9FCC3FA9-FD50-42EB-B1DA-E96198EAAE33}"/>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444" name="Text Box 187" hidden="1">
          <a:extLst>
            <a:ext uri="{FF2B5EF4-FFF2-40B4-BE49-F238E27FC236}">
              <a16:creationId xmlns:a16="http://schemas.microsoft.com/office/drawing/2014/main" id="{1D6163E5-232B-401E-B929-7FE2D2236FE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445" name="Text Box 186" hidden="1">
          <a:extLst>
            <a:ext uri="{FF2B5EF4-FFF2-40B4-BE49-F238E27FC236}">
              <a16:creationId xmlns:a16="http://schemas.microsoft.com/office/drawing/2014/main" id="{4E176495-0D2F-4959-98D3-A2FF24AF87FD}"/>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446" name="Text Box 185" hidden="1">
          <a:extLst>
            <a:ext uri="{FF2B5EF4-FFF2-40B4-BE49-F238E27FC236}">
              <a16:creationId xmlns:a16="http://schemas.microsoft.com/office/drawing/2014/main" id="{C9A5EE2E-C7EB-49A3-A223-212A5D4EF877}"/>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447" name="Text Box 184" hidden="1">
          <a:extLst>
            <a:ext uri="{FF2B5EF4-FFF2-40B4-BE49-F238E27FC236}">
              <a16:creationId xmlns:a16="http://schemas.microsoft.com/office/drawing/2014/main" id="{9ED0538C-9553-4FC7-B4E8-332304DC236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448" name="Text Box 183" hidden="1">
          <a:extLst>
            <a:ext uri="{FF2B5EF4-FFF2-40B4-BE49-F238E27FC236}">
              <a16:creationId xmlns:a16="http://schemas.microsoft.com/office/drawing/2014/main" id="{A261EECC-6AD7-4882-AEF6-C9719B90EE7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449" name="Text Box 182" hidden="1">
          <a:extLst>
            <a:ext uri="{FF2B5EF4-FFF2-40B4-BE49-F238E27FC236}">
              <a16:creationId xmlns:a16="http://schemas.microsoft.com/office/drawing/2014/main" id="{5C1BAD62-718E-43E1-83AB-254B41C7B97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450" name="Text Box 181" hidden="1">
          <a:extLst>
            <a:ext uri="{FF2B5EF4-FFF2-40B4-BE49-F238E27FC236}">
              <a16:creationId xmlns:a16="http://schemas.microsoft.com/office/drawing/2014/main" id="{6C7C9981-4272-441D-8F20-6C22BDA612A0}"/>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451" name="Text Box 216" hidden="1">
          <a:extLst>
            <a:ext uri="{FF2B5EF4-FFF2-40B4-BE49-F238E27FC236}">
              <a16:creationId xmlns:a16="http://schemas.microsoft.com/office/drawing/2014/main" id="{25397D7C-D393-432A-96AF-AB22A02272F2}"/>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452" name="Text Box 215" hidden="1">
          <a:extLst>
            <a:ext uri="{FF2B5EF4-FFF2-40B4-BE49-F238E27FC236}">
              <a16:creationId xmlns:a16="http://schemas.microsoft.com/office/drawing/2014/main" id="{F8A3CFAA-2FBE-44AE-AA13-117D94257800}"/>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453" name="Text Box 214" hidden="1">
          <a:extLst>
            <a:ext uri="{FF2B5EF4-FFF2-40B4-BE49-F238E27FC236}">
              <a16:creationId xmlns:a16="http://schemas.microsoft.com/office/drawing/2014/main" id="{C6AD1081-DAF2-4763-810B-8C95F130784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454" name="Text Box 213" hidden="1">
          <a:extLst>
            <a:ext uri="{FF2B5EF4-FFF2-40B4-BE49-F238E27FC236}">
              <a16:creationId xmlns:a16="http://schemas.microsoft.com/office/drawing/2014/main" id="{77C89654-073E-41B0-ABB2-B54C2F063806}"/>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455" name="Text Box 212" hidden="1">
          <a:extLst>
            <a:ext uri="{FF2B5EF4-FFF2-40B4-BE49-F238E27FC236}">
              <a16:creationId xmlns:a16="http://schemas.microsoft.com/office/drawing/2014/main" id="{AA919DA2-45FD-4E3E-8B6B-C9E0147BF5F3}"/>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456" name="Text Box 211" hidden="1">
          <a:extLst>
            <a:ext uri="{FF2B5EF4-FFF2-40B4-BE49-F238E27FC236}">
              <a16:creationId xmlns:a16="http://schemas.microsoft.com/office/drawing/2014/main" id="{8222090F-858E-438F-942C-5839DD0E5F3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457" name="Text Box 210" hidden="1">
          <a:extLst>
            <a:ext uri="{FF2B5EF4-FFF2-40B4-BE49-F238E27FC236}">
              <a16:creationId xmlns:a16="http://schemas.microsoft.com/office/drawing/2014/main" id="{529BDD04-6C36-452C-9F1A-2606460DA7F7}"/>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458" name="Text Box 209" hidden="1">
          <a:extLst>
            <a:ext uri="{FF2B5EF4-FFF2-40B4-BE49-F238E27FC236}">
              <a16:creationId xmlns:a16="http://schemas.microsoft.com/office/drawing/2014/main" id="{026E835A-FB26-4E52-AF04-4B1C00404E8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459" name="Text Box 208" hidden="1">
          <a:extLst>
            <a:ext uri="{FF2B5EF4-FFF2-40B4-BE49-F238E27FC236}">
              <a16:creationId xmlns:a16="http://schemas.microsoft.com/office/drawing/2014/main" id="{BBD9210D-F196-499C-BBAA-18AF0B87BD5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460" name="Text Box 207" hidden="1">
          <a:extLst>
            <a:ext uri="{FF2B5EF4-FFF2-40B4-BE49-F238E27FC236}">
              <a16:creationId xmlns:a16="http://schemas.microsoft.com/office/drawing/2014/main" id="{CB6420D2-AEE9-4E11-98A3-A08E348E0D8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461" name="Text Box 206" hidden="1">
          <a:extLst>
            <a:ext uri="{FF2B5EF4-FFF2-40B4-BE49-F238E27FC236}">
              <a16:creationId xmlns:a16="http://schemas.microsoft.com/office/drawing/2014/main" id="{0355558E-39A5-4ABE-8CA8-D480E63BA86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462" name="Text Box 205" hidden="1">
          <a:extLst>
            <a:ext uri="{FF2B5EF4-FFF2-40B4-BE49-F238E27FC236}">
              <a16:creationId xmlns:a16="http://schemas.microsoft.com/office/drawing/2014/main" id="{2AB81670-44D2-4609-8BE5-1B41521F8DB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463" name="Text Box 204" hidden="1">
          <a:extLst>
            <a:ext uri="{FF2B5EF4-FFF2-40B4-BE49-F238E27FC236}">
              <a16:creationId xmlns:a16="http://schemas.microsoft.com/office/drawing/2014/main" id="{4EB957D3-C09A-486A-B10D-B907CF0097A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464" name="Text Box 203" hidden="1">
          <a:extLst>
            <a:ext uri="{FF2B5EF4-FFF2-40B4-BE49-F238E27FC236}">
              <a16:creationId xmlns:a16="http://schemas.microsoft.com/office/drawing/2014/main" id="{B2DBF858-2318-4ED5-92D1-1E812BBE0671}"/>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465" name="Text Box 202" hidden="1">
          <a:extLst>
            <a:ext uri="{FF2B5EF4-FFF2-40B4-BE49-F238E27FC236}">
              <a16:creationId xmlns:a16="http://schemas.microsoft.com/office/drawing/2014/main" id="{CA27306B-5D00-4240-B937-79D058159BF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466" name="Text Box 201" hidden="1">
          <a:extLst>
            <a:ext uri="{FF2B5EF4-FFF2-40B4-BE49-F238E27FC236}">
              <a16:creationId xmlns:a16="http://schemas.microsoft.com/office/drawing/2014/main" id="{387B8BE5-2F84-4ECF-BCF7-DEBC562EA9D3}"/>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467" name="Text Box 200" hidden="1">
          <a:extLst>
            <a:ext uri="{FF2B5EF4-FFF2-40B4-BE49-F238E27FC236}">
              <a16:creationId xmlns:a16="http://schemas.microsoft.com/office/drawing/2014/main" id="{1FE00516-202F-406C-901D-86E16C2F3574}"/>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468" name="Text Box 199" hidden="1">
          <a:extLst>
            <a:ext uri="{FF2B5EF4-FFF2-40B4-BE49-F238E27FC236}">
              <a16:creationId xmlns:a16="http://schemas.microsoft.com/office/drawing/2014/main" id="{0EEB4C2D-D600-4874-A757-1601D02028D4}"/>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469" name="Text Box 21" hidden="1">
          <a:extLst>
            <a:ext uri="{FF2B5EF4-FFF2-40B4-BE49-F238E27FC236}">
              <a16:creationId xmlns:a16="http://schemas.microsoft.com/office/drawing/2014/main" id="{588E477B-BD50-453F-B668-922F756508DC}"/>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470" name="Text Box 20" hidden="1">
          <a:extLst>
            <a:ext uri="{FF2B5EF4-FFF2-40B4-BE49-F238E27FC236}">
              <a16:creationId xmlns:a16="http://schemas.microsoft.com/office/drawing/2014/main" id="{3CF2BD39-D1B5-461F-B7C7-B29767DA4FD3}"/>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471" name="Text Box 19" hidden="1">
          <a:extLst>
            <a:ext uri="{FF2B5EF4-FFF2-40B4-BE49-F238E27FC236}">
              <a16:creationId xmlns:a16="http://schemas.microsoft.com/office/drawing/2014/main" id="{29802324-99BF-4316-A93B-27935397AF3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472" name="Text Box 18" hidden="1">
          <a:extLst>
            <a:ext uri="{FF2B5EF4-FFF2-40B4-BE49-F238E27FC236}">
              <a16:creationId xmlns:a16="http://schemas.microsoft.com/office/drawing/2014/main" id="{24E22375-F54A-4B23-AA8E-8A69ED58A6C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473" name="Text Box 17" hidden="1">
          <a:extLst>
            <a:ext uri="{FF2B5EF4-FFF2-40B4-BE49-F238E27FC236}">
              <a16:creationId xmlns:a16="http://schemas.microsoft.com/office/drawing/2014/main" id="{EB500606-CFD9-4A06-8CC2-07AAC339E0E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474" name="Text Box 16" hidden="1">
          <a:extLst>
            <a:ext uri="{FF2B5EF4-FFF2-40B4-BE49-F238E27FC236}">
              <a16:creationId xmlns:a16="http://schemas.microsoft.com/office/drawing/2014/main" id="{EA2F3C5E-619E-4222-88F4-1B82497E2AA8}"/>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475" name="Text Box 15" hidden="1">
          <a:extLst>
            <a:ext uri="{FF2B5EF4-FFF2-40B4-BE49-F238E27FC236}">
              <a16:creationId xmlns:a16="http://schemas.microsoft.com/office/drawing/2014/main" id="{0C4887B5-BFF0-44E4-9F5F-A314F0FD3EE5}"/>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476" name="Text Box 14" hidden="1">
          <a:extLst>
            <a:ext uri="{FF2B5EF4-FFF2-40B4-BE49-F238E27FC236}">
              <a16:creationId xmlns:a16="http://schemas.microsoft.com/office/drawing/2014/main" id="{D89C35ED-2BD7-40F9-BE4C-BE57F9B0D2B2}"/>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477" name="Text Box 13" hidden="1">
          <a:extLst>
            <a:ext uri="{FF2B5EF4-FFF2-40B4-BE49-F238E27FC236}">
              <a16:creationId xmlns:a16="http://schemas.microsoft.com/office/drawing/2014/main" id="{C3B4E031-295D-4DDE-AFC9-FD71DED43DFA}"/>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478" name="Text Box 12" hidden="1">
          <a:extLst>
            <a:ext uri="{FF2B5EF4-FFF2-40B4-BE49-F238E27FC236}">
              <a16:creationId xmlns:a16="http://schemas.microsoft.com/office/drawing/2014/main" id="{A50B3A3A-087A-4DF9-B7DC-6DE48C1F3F19}"/>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479" name="Text Box 11" hidden="1">
          <a:extLst>
            <a:ext uri="{FF2B5EF4-FFF2-40B4-BE49-F238E27FC236}">
              <a16:creationId xmlns:a16="http://schemas.microsoft.com/office/drawing/2014/main" id="{5CE1A15A-3879-4E92-9A3B-CEE04E800DE8}"/>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480" name="Text Box 10" hidden="1">
          <a:extLst>
            <a:ext uri="{FF2B5EF4-FFF2-40B4-BE49-F238E27FC236}">
              <a16:creationId xmlns:a16="http://schemas.microsoft.com/office/drawing/2014/main" id="{4067408C-32C0-4E83-A241-9B291C77D3E4}"/>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481" name="Text Box 9" hidden="1">
          <a:extLst>
            <a:ext uri="{FF2B5EF4-FFF2-40B4-BE49-F238E27FC236}">
              <a16:creationId xmlns:a16="http://schemas.microsoft.com/office/drawing/2014/main" id="{8225AF8F-5645-4BDF-866D-FA89320D7F9C}"/>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482" name="Text Box 8" hidden="1">
          <a:extLst>
            <a:ext uri="{FF2B5EF4-FFF2-40B4-BE49-F238E27FC236}">
              <a16:creationId xmlns:a16="http://schemas.microsoft.com/office/drawing/2014/main" id="{92972044-B538-46B2-B469-C9C85758F8B6}"/>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483" name="Text Box 7" hidden="1">
          <a:extLst>
            <a:ext uri="{FF2B5EF4-FFF2-40B4-BE49-F238E27FC236}">
              <a16:creationId xmlns:a16="http://schemas.microsoft.com/office/drawing/2014/main" id="{A90E18C9-FF0C-43BA-B9A6-591A153A39F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484" name="Text Box 6" hidden="1">
          <a:extLst>
            <a:ext uri="{FF2B5EF4-FFF2-40B4-BE49-F238E27FC236}">
              <a16:creationId xmlns:a16="http://schemas.microsoft.com/office/drawing/2014/main" id="{8ADC74F2-32CE-4389-BC19-814E95F8E04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485" name="Text Box 5" hidden="1">
          <a:extLst>
            <a:ext uri="{FF2B5EF4-FFF2-40B4-BE49-F238E27FC236}">
              <a16:creationId xmlns:a16="http://schemas.microsoft.com/office/drawing/2014/main" id="{C4F6885A-18A8-48CA-809A-FB41C4DA6ED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486" name="Text Box 4" hidden="1">
          <a:extLst>
            <a:ext uri="{FF2B5EF4-FFF2-40B4-BE49-F238E27FC236}">
              <a16:creationId xmlns:a16="http://schemas.microsoft.com/office/drawing/2014/main" id="{FFD73C2E-EC48-4B97-A68D-54CE0DB9EA5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487" name="Text Box 3" hidden="1">
          <a:extLst>
            <a:ext uri="{FF2B5EF4-FFF2-40B4-BE49-F238E27FC236}">
              <a16:creationId xmlns:a16="http://schemas.microsoft.com/office/drawing/2014/main" id="{4DD55EEE-38CC-4678-974F-1AA2A775D36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488" name="Text Box 2" hidden="1">
          <a:extLst>
            <a:ext uri="{FF2B5EF4-FFF2-40B4-BE49-F238E27FC236}">
              <a16:creationId xmlns:a16="http://schemas.microsoft.com/office/drawing/2014/main" id="{0AA9D06B-F5F1-4404-B4D5-748A0626E4CC}"/>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85</xdr:row>
      <xdr:rowOff>178411</xdr:rowOff>
    </xdr:from>
    <xdr:to>
      <xdr:col>32</xdr:col>
      <xdr:colOff>666750</xdr:colOff>
      <xdr:row>86</xdr:row>
      <xdr:rowOff>87176</xdr:rowOff>
    </xdr:to>
    <xdr:sp macro="" textlink="">
      <xdr:nvSpPr>
        <xdr:cNvPr id="489" name="Text Box 1" hidden="1">
          <a:extLst>
            <a:ext uri="{FF2B5EF4-FFF2-40B4-BE49-F238E27FC236}">
              <a16:creationId xmlns:a16="http://schemas.microsoft.com/office/drawing/2014/main" id="{3FCF8548-B4B8-41F5-B69A-A12306DDE7EE}"/>
            </a:ext>
          </a:extLst>
        </xdr:cNvPr>
        <xdr:cNvSpPr txBox="1">
          <a:spLocks noChangeArrowheads="1"/>
        </xdr:cNvSpPr>
      </xdr:nvSpPr>
      <xdr:spPr bwMode="auto">
        <a:xfrm>
          <a:off x="28060650" y="22771711"/>
          <a:ext cx="1333500" cy="781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490" name="Text Box 42" hidden="1">
          <a:extLst>
            <a:ext uri="{FF2B5EF4-FFF2-40B4-BE49-F238E27FC236}">
              <a16:creationId xmlns:a16="http://schemas.microsoft.com/office/drawing/2014/main" id="{76E561AA-9597-45A9-8772-F1B49669F3C7}"/>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491" name="Text Box 41" hidden="1">
          <a:extLst>
            <a:ext uri="{FF2B5EF4-FFF2-40B4-BE49-F238E27FC236}">
              <a16:creationId xmlns:a16="http://schemas.microsoft.com/office/drawing/2014/main" id="{BBC4CBE9-6DEF-4DEE-9962-611F0FE670AD}"/>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17</xdr:col>
      <xdr:colOff>533400</xdr:colOff>
      <xdr:row>32</xdr:row>
      <xdr:rowOff>120650</xdr:rowOff>
    </xdr:to>
    <xdr:sp macro="" textlink="">
      <xdr:nvSpPr>
        <xdr:cNvPr id="492" name="Text Box 40" hidden="1">
          <a:extLst>
            <a:ext uri="{FF2B5EF4-FFF2-40B4-BE49-F238E27FC236}">
              <a16:creationId xmlns:a16="http://schemas.microsoft.com/office/drawing/2014/main" id="{08816436-7145-4AA3-9F66-6BBACB1503A4}"/>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17</xdr:col>
      <xdr:colOff>533400</xdr:colOff>
      <xdr:row>32</xdr:row>
      <xdr:rowOff>120650</xdr:rowOff>
    </xdr:to>
    <xdr:sp macro="" textlink="">
      <xdr:nvSpPr>
        <xdr:cNvPr id="493" name="Text Box 39" hidden="1">
          <a:extLst>
            <a:ext uri="{FF2B5EF4-FFF2-40B4-BE49-F238E27FC236}">
              <a16:creationId xmlns:a16="http://schemas.microsoft.com/office/drawing/2014/main" id="{1DEBF5B2-B156-4022-9A29-6390D9410D7B}"/>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494" name="Text Box 38" hidden="1">
          <a:extLst>
            <a:ext uri="{FF2B5EF4-FFF2-40B4-BE49-F238E27FC236}">
              <a16:creationId xmlns:a16="http://schemas.microsoft.com/office/drawing/2014/main" id="{291EED72-7B7E-4B28-A2E8-CCCAF249C479}"/>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495" name="Text Box 37" hidden="1">
          <a:extLst>
            <a:ext uri="{FF2B5EF4-FFF2-40B4-BE49-F238E27FC236}">
              <a16:creationId xmlns:a16="http://schemas.microsoft.com/office/drawing/2014/main" id="{EF8B471A-BDB0-423B-BE6A-D3AC7E47344F}"/>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496" name="Text Box 36" hidden="1">
          <a:extLst>
            <a:ext uri="{FF2B5EF4-FFF2-40B4-BE49-F238E27FC236}">
              <a16:creationId xmlns:a16="http://schemas.microsoft.com/office/drawing/2014/main" id="{F971F037-31A6-4987-944C-8EC05B92806D}"/>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84377</xdr:rowOff>
    </xdr:from>
    <xdr:to>
      <xdr:col>20</xdr:col>
      <xdr:colOff>647700</xdr:colOff>
      <xdr:row>66</xdr:row>
      <xdr:rowOff>12034</xdr:rowOff>
    </xdr:to>
    <xdr:sp macro="" textlink="">
      <xdr:nvSpPr>
        <xdr:cNvPr id="497" name="Text Box 35" hidden="1">
          <a:extLst>
            <a:ext uri="{FF2B5EF4-FFF2-40B4-BE49-F238E27FC236}">
              <a16:creationId xmlns:a16="http://schemas.microsoft.com/office/drawing/2014/main" id="{CF3326E2-163D-4A75-A8CD-B5F030144DC8}"/>
            </a:ext>
          </a:extLst>
        </xdr:cNvPr>
        <xdr:cNvSpPr txBox="1">
          <a:spLocks noChangeArrowheads="1"/>
        </xdr:cNvSpPr>
      </xdr:nvSpPr>
      <xdr:spPr bwMode="auto">
        <a:xfrm>
          <a:off x="18935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84377</xdr:rowOff>
    </xdr:from>
    <xdr:to>
      <xdr:col>24</xdr:col>
      <xdr:colOff>647700</xdr:colOff>
      <xdr:row>66</xdr:row>
      <xdr:rowOff>12034</xdr:rowOff>
    </xdr:to>
    <xdr:sp macro="" textlink="">
      <xdr:nvSpPr>
        <xdr:cNvPr id="498" name="Text Box 34" hidden="1">
          <a:extLst>
            <a:ext uri="{FF2B5EF4-FFF2-40B4-BE49-F238E27FC236}">
              <a16:creationId xmlns:a16="http://schemas.microsoft.com/office/drawing/2014/main" id="{41572555-9728-44A4-B870-F82CBC36196F}"/>
            </a:ext>
          </a:extLst>
        </xdr:cNvPr>
        <xdr:cNvSpPr txBox="1">
          <a:spLocks noChangeArrowheads="1"/>
        </xdr:cNvSpPr>
      </xdr:nvSpPr>
      <xdr:spPr bwMode="auto">
        <a:xfrm>
          <a:off x="21983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84377</xdr:rowOff>
    </xdr:from>
    <xdr:to>
      <xdr:col>28</xdr:col>
      <xdr:colOff>647700</xdr:colOff>
      <xdr:row>66</xdr:row>
      <xdr:rowOff>12034</xdr:rowOff>
    </xdr:to>
    <xdr:sp macro="" textlink="">
      <xdr:nvSpPr>
        <xdr:cNvPr id="499" name="Text Box 33" hidden="1">
          <a:extLst>
            <a:ext uri="{FF2B5EF4-FFF2-40B4-BE49-F238E27FC236}">
              <a16:creationId xmlns:a16="http://schemas.microsoft.com/office/drawing/2014/main" id="{4A39310E-8860-4A57-BD98-FFF20D1A5389}"/>
            </a:ext>
          </a:extLst>
        </xdr:cNvPr>
        <xdr:cNvSpPr txBox="1">
          <a:spLocks noChangeArrowheads="1"/>
        </xdr:cNvSpPr>
      </xdr:nvSpPr>
      <xdr:spPr bwMode="auto">
        <a:xfrm>
          <a:off x="25031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25400</xdr:rowOff>
    </xdr:to>
    <xdr:sp macro="" textlink="">
      <xdr:nvSpPr>
        <xdr:cNvPr id="500" name="Text Box 32" hidden="1">
          <a:extLst>
            <a:ext uri="{FF2B5EF4-FFF2-40B4-BE49-F238E27FC236}">
              <a16:creationId xmlns:a16="http://schemas.microsoft.com/office/drawing/2014/main" id="{33685F26-F1EB-45AB-B74E-71197BC45749}"/>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181138</xdr:rowOff>
    </xdr:from>
    <xdr:to>
      <xdr:col>21</xdr:col>
      <xdr:colOff>685800</xdr:colOff>
      <xdr:row>81</xdr:row>
      <xdr:rowOff>92976</xdr:rowOff>
    </xdr:to>
    <xdr:sp macro="" textlink="">
      <xdr:nvSpPr>
        <xdr:cNvPr id="501" name="Text Box 30" hidden="1">
          <a:extLst>
            <a:ext uri="{FF2B5EF4-FFF2-40B4-BE49-F238E27FC236}">
              <a16:creationId xmlns:a16="http://schemas.microsoft.com/office/drawing/2014/main" id="{5D0ED652-DB5A-478E-9D69-DE14AF37033F}"/>
            </a:ext>
          </a:extLst>
        </xdr:cNvPr>
        <xdr:cNvSpPr txBox="1">
          <a:spLocks noChangeArrowheads="1"/>
        </xdr:cNvSpPr>
      </xdr:nvSpPr>
      <xdr:spPr bwMode="auto">
        <a:xfrm>
          <a:off x="19735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181138</xdr:rowOff>
    </xdr:from>
    <xdr:to>
      <xdr:col>25</xdr:col>
      <xdr:colOff>685800</xdr:colOff>
      <xdr:row>81</xdr:row>
      <xdr:rowOff>92976</xdr:rowOff>
    </xdr:to>
    <xdr:sp macro="" textlink="">
      <xdr:nvSpPr>
        <xdr:cNvPr id="502" name="Text Box 29" hidden="1">
          <a:extLst>
            <a:ext uri="{FF2B5EF4-FFF2-40B4-BE49-F238E27FC236}">
              <a16:creationId xmlns:a16="http://schemas.microsoft.com/office/drawing/2014/main" id="{69DA9006-31F1-4B84-BFF9-204BEFBEF318}"/>
            </a:ext>
          </a:extLst>
        </xdr:cNvPr>
        <xdr:cNvSpPr txBox="1">
          <a:spLocks noChangeArrowheads="1"/>
        </xdr:cNvSpPr>
      </xdr:nvSpPr>
      <xdr:spPr bwMode="auto">
        <a:xfrm>
          <a:off x="22783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181138</xdr:rowOff>
    </xdr:from>
    <xdr:to>
      <xdr:col>29</xdr:col>
      <xdr:colOff>685800</xdr:colOff>
      <xdr:row>81</xdr:row>
      <xdr:rowOff>92976</xdr:rowOff>
    </xdr:to>
    <xdr:sp macro="" textlink="">
      <xdr:nvSpPr>
        <xdr:cNvPr id="503" name="Text Box 28" hidden="1">
          <a:extLst>
            <a:ext uri="{FF2B5EF4-FFF2-40B4-BE49-F238E27FC236}">
              <a16:creationId xmlns:a16="http://schemas.microsoft.com/office/drawing/2014/main" id="{B7797946-3EAF-4920-B107-CAA201E9F770}"/>
            </a:ext>
          </a:extLst>
        </xdr:cNvPr>
        <xdr:cNvSpPr txBox="1">
          <a:spLocks noChangeArrowheads="1"/>
        </xdr:cNvSpPr>
      </xdr:nvSpPr>
      <xdr:spPr bwMode="auto">
        <a:xfrm>
          <a:off x="25831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504" name="Text Box 27" hidden="1">
          <a:extLst>
            <a:ext uri="{FF2B5EF4-FFF2-40B4-BE49-F238E27FC236}">
              <a16:creationId xmlns:a16="http://schemas.microsoft.com/office/drawing/2014/main" id="{37F8B78D-01B3-4E5E-A472-28DA90C6AD6B}"/>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505" name="Text Box 26" hidden="1">
          <a:extLst>
            <a:ext uri="{FF2B5EF4-FFF2-40B4-BE49-F238E27FC236}">
              <a16:creationId xmlns:a16="http://schemas.microsoft.com/office/drawing/2014/main" id="{F459EB4C-5BFD-482B-A7F7-FB357A33174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506" name="Text Box 25" hidden="1">
          <a:extLst>
            <a:ext uri="{FF2B5EF4-FFF2-40B4-BE49-F238E27FC236}">
              <a16:creationId xmlns:a16="http://schemas.microsoft.com/office/drawing/2014/main" id="{694CABC8-8054-4138-9474-440C0BEA4663}"/>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507" name="Text Box 24" hidden="1">
          <a:extLst>
            <a:ext uri="{FF2B5EF4-FFF2-40B4-BE49-F238E27FC236}">
              <a16:creationId xmlns:a16="http://schemas.microsoft.com/office/drawing/2014/main" id="{EACACD2D-8C18-4708-B5A1-DA92FCC3275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08" name="Text Box 23" hidden="1">
          <a:extLst>
            <a:ext uri="{FF2B5EF4-FFF2-40B4-BE49-F238E27FC236}">
              <a16:creationId xmlns:a16="http://schemas.microsoft.com/office/drawing/2014/main" id="{FA7A5FB7-A3EF-492E-8E39-82B31468AFC0}"/>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09" name="Text Box 22" hidden="1">
          <a:extLst>
            <a:ext uri="{FF2B5EF4-FFF2-40B4-BE49-F238E27FC236}">
              <a16:creationId xmlns:a16="http://schemas.microsoft.com/office/drawing/2014/main" id="{305F6BAD-D92F-421C-A652-F84C36B76A01}"/>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10" name="Text Box 62" hidden="1">
          <a:extLst>
            <a:ext uri="{FF2B5EF4-FFF2-40B4-BE49-F238E27FC236}">
              <a16:creationId xmlns:a16="http://schemas.microsoft.com/office/drawing/2014/main" id="{820909C5-586E-493F-95F9-9656A076859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11" name="Text Box 61" hidden="1">
          <a:extLst>
            <a:ext uri="{FF2B5EF4-FFF2-40B4-BE49-F238E27FC236}">
              <a16:creationId xmlns:a16="http://schemas.microsoft.com/office/drawing/2014/main" id="{9A812129-5596-41DB-AA13-B6C45AB3C087}"/>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17</xdr:col>
      <xdr:colOff>533400</xdr:colOff>
      <xdr:row>32</xdr:row>
      <xdr:rowOff>120650</xdr:rowOff>
    </xdr:to>
    <xdr:sp macro="" textlink="">
      <xdr:nvSpPr>
        <xdr:cNvPr id="512" name="Text Box 60" hidden="1">
          <a:extLst>
            <a:ext uri="{FF2B5EF4-FFF2-40B4-BE49-F238E27FC236}">
              <a16:creationId xmlns:a16="http://schemas.microsoft.com/office/drawing/2014/main" id="{5F872371-3102-4C7F-8852-44D1D2417C6E}"/>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17</xdr:col>
      <xdr:colOff>533400</xdr:colOff>
      <xdr:row>32</xdr:row>
      <xdr:rowOff>120650</xdr:rowOff>
    </xdr:to>
    <xdr:sp macro="" textlink="">
      <xdr:nvSpPr>
        <xdr:cNvPr id="513" name="Text Box 59" hidden="1">
          <a:extLst>
            <a:ext uri="{FF2B5EF4-FFF2-40B4-BE49-F238E27FC236}">
              <a16:creationId xmlns:a16="http://schemas.microsoft.com/office/drawing/2014/main" id="{27B8158B-DC1C-49E0-A297-50DF370CD219}"/>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514" name="Text Box 58" hidden="1">
          <a:extLst>
            <a:ext uri="{FF2B5EF4-FFF2-40B4-BE49-F238E27FC236}">
              <a16:creationId xmlns:a16="http://schemas.microsoft.com/office/drawing/2014/main" id="{F81B1A57-4744-43CB-B315-B7A6AE75C65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515" name="Text Box 57" hidden="1">
          <a:extLst>
            <a:ext uri="{FF2B5EF4-FFF2-40B4-BE49-F238E27FC236}">
              <a16:creationId xmlns:a16="http://schemas.microsoft.com/office/drawing/2014/main" id="{CE068FA9-70D1-44B7-813D-8F2EF0B025DA}"/>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516" name="Text Box 56" hidden="1">
          <a:extLst>
            <a:ext uri="{FF2B5EF4-FFF2-40B4-BE49-F238E27FC236}">
              <a16:creationId xmlns:a16="http://schemas.microsoft.com/office/drawing/2014/main" id="{83B619E5-348F-41CD-96FC-F24A9555EF0B}"/>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20</xdr:col>
      <xdr:colOff>647700</xdr:colOff>
      <xdr:row>66</xdr:row>
      <xdr:rowOff>12034</xdr:rowOff>
    </xdr:to>
    <xdr:sp macro="" textlink="">
      <xdr:nvSpPr>
        <xdr:cNvPr id="517" name="Text Box 55" hidden="1">
          <a:extLst>
            <a:ext uri="{FF2B5EF4-FFF2-40B4-BE49-F238E27FC236}">
              <a16:creationId xmlns:a16="http://schemas.microsoft.com/office/drawing/2014/main" id="{EDD6AEBE-0E45-47B3-AAAE-C3748802B3EA}"/>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24</xdr:col>
      <xdr:colOff>647700</xdr:colOff>
      <xdr:row>66</xdr:row>
      <xdr:rowOff>12034</xdr:rowOff>
    </xdr:to>
    <xdr:sp macro="" textlink="">
      <xdr:nvSpPr>
        <xdr:cNvPr id="518" name="Text Box 54" hidden="1">
          <a:extLst>
            <a:ext uri="{FF2B5EF4-FFF2-40B4-BE49-F238E27FC236}">
              <a16:creationId xmlns:a16="http://schemas.microsoft.com/office/drawing/2014/main" id="{57D600A1-E29B-4A93-9265-1350138C7E5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28</xdr:col>
      <xdr:colOff>647700</xdr:colOff>
      <xdr:row>66</xdr:row>
      <xdr:rowOff>12034</xdr:rowOff>
    </xdr:to>
    <xdr:sp macro="" textlink="">
      <xdr:nvSpPr>
        <xdr:cNvPr id="519" name="Text Box 53" hidden="1">
          <a:extLst>
            <a:ext uri="{FF2B5EF4-FFF2-40B4-BE49-F238E27FC236}">
              <a16:creationId xmlns:a16="http://schemas.microsoft.com/office/drawing/2014/main" id="{A4FCEF37-A805-44D2-93BD-07997AD4C322}"/>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25400</xdr:rowOff>
    </xdr:to>
    <xdr:sp macro="" textlink="">
      <xdr:nvSpPr>
        <xdr:cNvPr id="520" name="Text Box 52" hidden="1">
          <a:extLst>
            <a:ext uri="{FF2B5EF4-FFF2-40B4-BE49-F238E27FC236}">
              <a16:creationId xmlns:a16="http://schemas.microsoft.com/office/drawing/2014/main" id="{2A6731EE-198A-475A-8930-EEA5BD26D3D6}"/>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521" name="Text Box 51" hidden="1">
          <a:extLst>
            <a:ext uri="{FF2B5EF4-FFF2-40B4-BE49-F238E27FC236}">
              <a16:creationId xmlns:a16="http://schemas.microsoft.com/office/drawing/2014/main" id="{FBB052FF-A8D2-4A15-BE0B-ADC4B9C29A3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522" name="Text Box 50" hidden="1">
          <a:extLst>
            <a:ext uri="{FF2B5EF4-FFF2-40B4-BE49-F238E27FC236}">
              <a16:creationId xmlns:a16="http://schemas.microsoft.com/office/drawing/2014/main" id="{2916AD7F-E577-4D9E-8E61-6F93252335CF}"/>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523" name="Text Box 49" hidden="1">
          <a:extLst>
            <a:ext uri="{FF2B5EF4-FFF2-40B4-BE49-F238E27FC236}">
              <a16:creationId xmlns:a16="http://schemas.microsoft.com/office/drawing/2014/main" id="{6DCB136A-9575-4687-99C6-E5DA9428DF9E}"/>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524" name="Text Box 48" hidden="1">
          <a:extLst>
            <a:ext uri="{FF2B5EF4-FFF2-40B4-BE49-F238E27FC236}">
              <a16:creationId xmlns:a16="http://schemas.microsoft.com/office/drawing/2014/main" id="{B94174D3-A5D9-407F-8105-AC5AB055FB9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525" name="Text Box 47" hidden="1">
          <a:extLst>
            <a:ext uri="{FF2B5EF4-FFF2-40B4-BE49-F238E27FC236}">
              <a16:creationId xmlns:a16="http://schemas.microsoft.com/office/drawing/2014/main" id="{230CEB61-89A8-42E5-8A13-48368D2B6C0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526" name="Text Box 46" hidden="1">
          <a:extLst>
            <a:ext uri="{FF2B5EF4-FFF2-40B4-BE49-F238E27FC236}">
              <a16:creationId xmlns:a16="http://schemas.microsoft.com/office/drawing/2014/main" id="{A360839F-12A6-4401-9E17-069638C4BB79}"/>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527" name="Text Box 45" hidden="1">
          <a:extLst>
            <a:ext uri="{FF2B5EF4-FFF2-40B4-BE49-F238E27FC236}">
              <a16:creationId xmlns:a16="http://schemas.microsoft.com/office/drawing/2014/main" id="{09B886E0-7C71-4A53-9EB9-8E0BC98062F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28" name="Text Box 44" hidden="1">
          <a:extLst>
            <a:ext uri="{FF2B5EF4-FFF2-40B4-BE49-F238E27FC236}">
              <a16:creationId xmlns:a16="http://schemas.microsoft.com/office/drawing/2014/main" id="{60700F60-844F-4FE3-A400-0C4350399F6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29" name="Text Box 43" hidden="1">
          <a:extLst>
            <a:ext uri="{FF2B5EF4-FFF2-40B4-BE49-F238E27FC236}">
              <a16:creationId xmlns:a16="http://schemas.microsoft.com/office/drawing/2014/main" id="{C1C68B24-2534-4171-B4E6-B470F3D4F8FC}"/>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30" name="Text Box 82" hidden="1">
          <a:extLst>
            <a:ext uri="{FF2B5EF4-FFF2-40B4-BE49-F238E27FC236}">
              <a16:creationId xmlns:a16="http://schemas.microsoft.com/office/drawing/2014/main" id="{9EB18236-A13A-4CB1-94AA-E83AF2372FB0}"/>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31" name="Text Box 81" hidden="1">
          <a:extLst>
            <a:ext uri="{FF2B5EF4-FFF2-40B4-BE49-F238E27FC236}">
              <a16:creationId xmlns:a16="http://schemas.microsoft.com/office/drawing/2014/main" id="{A4C34F09-A96E-4B4E-A1E5-13578D8086CB}"/>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17</xdr:col>
      <xdr:colOff>533400</xdr:colOff>
      <xdr:row>32</xdr:row>
      <xdr:rowOff>120650</xdr:rowOff>
    </xdr:to>
    <xdr:sp macro="" textlink="">
      <xdr:nvSpPr>
        <xdr:cNvPr id="532" name="Text Box 80" hidden="1">
          <a:extLst>
            <a:ext uri="{FF2B5EF4-FFF2-40B4-BE49-F238E27FC236}">
              <a16:creationId xmlns:a16="http://schemas.microsoft.com/office/drawing/2014/main" id="{BBB2502E-469F-4BE9-B115-AD1AA7EB3BAB}"/>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17</xdr:col>
      <xdr:colOff>533400</xdr:colOff>
      <xdr:row>32</xdr:row>
      <xdr:rowOff>120650</xdr:rowOff>
    </xdr:to>
    <xdr:sp macro="" textlink="">
      <xdr:nvSpPr>
        <xdr:cNvPr id="533" name="Text Box 79" hidden="1">
          <a:extLst>
            <a:ext uri="{FF2B5EF4-FFF2-40B4-BE49-F238E27FC236}">
              <a16:creationId xmlns:a16="http://schemas.microsoft.com/office/drawing/2014/main" id="{9C8D310B-5C75-49EA-A6B4-8F419412128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534" name="Text Box 78" hidden="1">
          <a:extLst>
            <a:ext uri="{FF2B5EF4-FFF2-40B4-BE49-F238E27FC236}">
              <a16:creationId xmlns:a16="http://schemas.microsoft.com/office/drawing/2014/main" id="{0AE827B8-406C-4C97-8EB8-C0417289885F}"/>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535" name="Text Box 77" hidden="1">
          <a:extLst>
            <a:ext uri="{FF2B5EF4-FFF2-40B4-BE49-F238E27FC236}">
              <a16:creationId xmlns:a16="http://schemas.microsoft.com/office/drawing/2014/main" id="{DF99F0F4-0388-4AAD-AB7F-E4E2649B7C6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536" name="Text Box 76" hidden="1">
          <a:extLst>
            <a:ext uri="{FF2B5EF4-FFF2-40B4-BE49-F238E27FC236}">
              <a16:creationId xmlns:a16="http://schemas.microsoft.com/office/drawing/2014/main" id="{6326597E-3267-4489-BC67-1E9513626E81}"/>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20</xdr:col>
      <xdr:colOff>647700</xdr:colOff>
      <xdr:row>66</xdr:row>
      <xdr:rowOff>12034</xdr:rowOff>
    </xdr:to>
    <xdr:sp macro="" textlink="">
      <xdr:nvSpPr>
        <xdr:cNvPr id="537" name="Text Box 75" hidden="1">
          <a:extLst>
            <a:ext uri="{FF2B5EF4-FFF2-40B4-BE49-F238E27FC236}">
              <a16:creationId xmlns:a16="http://schemas.microsoft.com/office/drawing/2014/main" id="{C2B837BA-F9D4-4EFC-9D39-089435A05CC6}"/>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24</xdr:col>
      <xdr:colOff>647700</xdr:colOff>
      <xdr:row>66</xdr:row>
      <xdr:rowOff>12034</xdr:rowOff>
    </xdr:to>
    <xdr:sp macro="" textlink="">
      <xdr:nvSpPr>
        <xdr:cNvPr id="538" name="Text Box 74" hidden="1">
          <a:extLst>
            <a:ext uri="{FF2B5EF4-FFF2-40B4-BE49-F238E27FC236}">
              <a16:creationId xmlns:a16="http://schemas.microsoft.com/office/drawing/2014/main" id="{47C19F1C-F925-4C4E-BB79-5F7FF547F68D}"/>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28</xdr:col>
      <xdr:colOff>647700</xdr:colOff>
      <xdr:row>66</xdr:row>
      <xdr:rowOff>12034</xdr:rowOff>
    </xdr:to>
    <xdr:sp macro="" textlink="">
      <xdr:nvSpPr>
        <xdr:cNvPr id="539" name="Text Box 73" hidden="1">
          <a:extLst>
            <a:ext uri="{FF2B5EF4-FFF2-40B4-BE49-F238E27FC236}">
              <a16:creationId xmlns:a16="http://schemas.microsoft.com/office/drawing/2014/main" id="{161F26D0-772E-41B2-B2CE-EDDC83AD6578}"/>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25400</xdr:rowOff>
    </xdr:to>
    <xdr:sp macro="" textlink="">
      <xdr:nvSpPr>
        <xdr:cNvPr id="540" name="Text Box 72" hidden="1">
          <a:extLst>
            <a:ext uri="{FF2B5EF4-FFF2-40B4-BE49-F238E27FC236}">
              <a16:creationId xmlns:a16="http://schemas.microsoft.com/office/drawing/2014/main" id="{4BC3C405-69CF-4D64-B050-15F60408A83E}"/>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541" name="Text Box 71" hidden="1">
          <a:extLst>
            <a:ext uri="{FF2B5EF4-FFF2-40B4-BE49-F238E27FC236}">
              <a16:creationId xmlns:a16="http://schemas.microsoft.com/office/drawing/2014/main" id="{37540C88-BDE7-4A2F-9647-042A91EE3A6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542" name="Text Box 70" hidden="1">
          <a:extLst>
            <a:ext uri="{FF2B5EF4-FFF2-40B4-BE49-F238E27FC236}">
              <a16:creationId xmlns:a16="http://schemas.microsoft.com/office/drawing/2014/main" id="{543CBB2F-8B38-4084-8FA6-F272943862E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543" name="Text Box 69" hidden="1">
          <a:extLst>
            <a:ext uri="{FF2B5EF4-FFF2-40B4-BE49-F238E27FC236}">
              <a16:creationId xmlns:a16="http://schemas.microsoft.com/office/drawing/2014/main" id="{143BEBF3-89E4-44FE-AC9B-0842E021AE0B}"/>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544" name="Text Box 68" hidden="1">
          <a:extLst>
            <a:ext uri="{FF2B5EF4-FFF2-40B4-BE49-F238E27FC236}">
              <a16:creationId xmlns:a16="http://schemas.microsoft.com/office/drawing/2014/main" id="{C904956A-6D17-40B0-A418-A52D5ADE162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545" name="Text Box 67" hidden="1">
          <a:extLst>
            <a:ext uri="{FF2B5EF4-FFF2-40B4-BE49-F238E27FC236}">
              <a16:creationId xmlns:a16="http://schemas.microsoft.com/office/drawing/2014/main" id="{854AABDD-8B99-4E51-ADBB-757BD66DECF6}"/>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546" name="Text Box 66" hidden="1">
          <a:extLst>
            <a:ext uri="{FF2B5EF4-FFF2-40B4-BE49-F238E27FC236}">
              <a16:creationId xmlns:a16="http://schemas.microsoft.com/office/drawing/2014/main" id="{7C9A300C-53C4-4E56-BC9B-F84873557625}"/>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547" name="Text Box 65" hidden="1">
          <a:extLst>
            <a:ext uri="{FF2B5EF4-FFF2-40B4-BE49-F238E27FC236}">
              <a16:creationId xmlns:a16="http://schemas.microsoft.com/office/drawing/2014/main" id="{DB470A6B-F6ED-4314-A4AB-8A1B4CCA608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48" name="Text Box 64" hidden="1">
          <a:extLst>
            <a:ext uri="{FF2B5EF4-FFF2-40B4-BE49-F238E27FC236}">
              <a16:creationId xmlns:a16="http://schemas.microsoft.com/office/drawing/2014/main" id="{5E67E09D-0A01-4B53-8462-CD4B8BEBFC1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49" name="Text Box 63" hidden="1">
          <a:extLst>
            <a:ext uri="{FF2B5EF4-FFF2-40B4-BE49-F238E27FC236}">
              <a16:creationId xmlns:a16="http://schemas.microsoft.com/office/drawing/2014/main" id="{61E7573E-CFF1-41E1-936A-86301AC24FB5}"/>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50" name="Text Box 102" hidden="1">
          <a:extLst>
            <a:ext uri="{FF2B5EF4-FFF2-40B4-BE49-F238E27FC236}">
              <a16:creationId xmlns:a16="http://schemas.microsoft.com/office/drawing/2014/main" id="{54DCA8EA-C9DB-4772-8EBB-9F6A481924A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51" name="Text Box 101" hidden="1">
          <a:extLst>
            <a:ext uri="{FF2B5EF4-FFF2-40B4-BE49-F238E27FC236}">
              <a16:creationId xmlns:a16="http://schemas.microsoft.com/office/drawing/2014/main" id="{42DEFD9E-515C-48AE-8E57-1E49E169B9A6}"/>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17</xdr:col>
      <xdr:colOff>533400</xdr:colOff>
      <xdr:row>32</xdr:row>
      <xdr:rowOff>120650</xdr:rowOff>
    </xdr:to>
    <xdr:sp macro="" textlink="">
      <xdr:nvSpPr>
        <xdr:cNvPr id="552" name="Text Box 100" hidden="1">
          <a:extLst>
            <a:ext uri="{FF2B5EF4-FFF2-40B4-BE49-F238E27FC236}">
              <a16:creationId xmlns:a16="http://schemas.microsoft.com/office/drawing/2014/main" id="{58421A3A-CAAB-4311-95F6-54455764D1C3}"/>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17</xdr:col>
      <xdr:colOff>533400</xdr:colOff>
      <xdr:row>32</xdr:row>
      <xdr:rowOff>120650</xdr:rowOff>
    </xdr:to>
    <xdr:sp macro="" textlink="">
      <xdr:nvSpPr>
        <xdr:cNvPr id="553" name="Text Box 99" hidden="1">
          <a:extLst>
            <a:ext uri="{FF2B5EF4-FFF2-40B4-BE49-F238E27FC236}">
              <a16:creationId xmlns:a16="http://schemas.microsoft.com/office/drawing/2014/main" id="{E7642007-D8D9-4982-8CA6-BB7BEBCE4F96}"/>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554" name="Text Box 98" hidden="1">
          <a:extLst>
            <a:ext uri="{FF2B5EF4-FFF2-40B4-BE49-F238E27FC236}">
              <a16:creationId xmlns:a16="http://schemas.microsoft.com/office/drawing/2014/main" id="{C28A6EC9-472B-47B0-A1CA-EBFF486A18D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555" name="Text Box 97" hidden="1">
          <a:extLst>
            <a:ext uri="{FF2B5EF4-FFF2-40B4-BE49-F238E27FC236}">
              <a16:creationId xmlns:a16="http://schemas.microsoft.com/office/drawing/2014/main" id="{AEC95CE4-52C1-441A-8531-D7D6576A542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556" name="Text Box 96" hidden="1">
          <a:extLst>
            <a:ext uri="{FF2B5EF4-FFF2-40B4-BE49-F238E27FC236}">
              <a16:creationId xmlns:a16="http://schemas.microsoft.com/office/drawing/2014/main" id="{AEB6E3C6-D40C-44C7-9F1A-8D23AA9E0E4A}"/>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20</xdr:col>
      <xdr:colOff>647700</xdr:colOff>
      <xdr:row>66</xdr:row>
      <xdr:rowOff>12034</xdr:rowOff>
    </xdr:to>
    <xdr:sp macro="" textlink="">
      <xdr:nvSpPr>
        <xdr:cNvPr id="557" name="Text Box 95" hidden="1">
          <a:extLst>
            <a:ext uri="{FF2B5EF4-FFF2-40B4-BE49-F238E27FC236}">
              <a16:creationId xmlns:a16="http://schemas.microsoft.com/office/drawing/2014/main" id="{8ABA0A27-D44A-4561-846D-E879D681613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24</xdr:col>
      <xdr:colOff>647700</xdr:colOff>
      <xdr:row>66</xdr:row>
      <xdr:rowOff>12034</xdr:rowOff>
    </xdr:to>
    <xdr:sp macro="" textlink="">
      <xdr:nvSpPr>
        <xdr:cNvPr id="558" name="Text Box 94" hidden="1">
          <a:extLst>
            <a:ext uri="{FF2B5EF4-FFF2-40B4-BE49-F238E27FC236}">
              <a16:creationId xmlns:a16="http://schemas.microsoft.com/office/drawing/2014/main" id="{3798441E-DD16-4F88-A353-63939B3BFB74}"/>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28</xdr:col>
      <xdr:colOff>647700</xdr:colOff>
      <xdr:row>66</xdr:row>
      <xdr:rowOff>12034</xdr:rowOff>
    </xdr:to>
    <xdr:sp macro="" textlink="">
      <xdr:nvSpPr>
        <xdr:cNvPr id="559" name="Text Box 93" hidden="1">
          <a:extLst>
            <a:ext uri="{FF2B5EF4-FFF2-40B4-BE49-F238E27FC236}">
              <a16:creationId xmlns:a16="http://schemas.microsoft.com/office/drawing/2014/main" id="{B8768C7A-BCBE-454C-AA85-58B43A31BEB5}"/>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25400</xdr:rowOff>
    </xdr:to>
    <xdr:sp macro="" textlink="">
      <xdr:nvSpPr>
        <xdr:cNvPr id="560" name="Text Box 92" hidden="1">
          <a:extLst>
            <a:ext uri="{FF2B5EF4-FFF2-40B4-BE49-F238E27FC236}">
              <a16:creationId xmlns:a16="http://schemas.microsoft.com/office/drawing/2014/main" id="{A367FDCB-E81B-49A2-B5CD-7692C8FC5598}"/>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561" name="Text Box 91" hidden="1">
          <a:extLst>
            <a:ext uri="{FF2B5EF4-FFF2-40B4-BE49-F238E27FC236}">
              <a16:creationId xmlns:a16="http://schemas.microsoft.com/office/drawing/2014/main" id="{6764E09A-C1F8-4AB8-B2E7-B0E08608115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562" name="Text Box 90" hidden="1">
          <a:extLst>
            <a:ext uri="{FF2B5EF4-FFF2-40B4-BE49-F238E27FC236}">
              <a16:creationId xmlns:a16="http://schemas.microsoft.com/office/drawing/2014/main" id="{D62400A4-0AA4-478B-9694-3B1DF4AFB6BE}"/>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563" name="Text Box 89" hidden="1">
          <a:extLst>
            <a:ext uri="{FF2B5EF4-FFF2-40B4-BE49-F238E27FC236}">
              <a16:creationId xmlns:a16="http://schemas.microsoft.com/office/drawing/2014/main" id="{F849AD51-8547-4DE1-8F97-2FE96900F8FA}"/>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564" name="Text Box 88" hidden="1">
          <a:extLst>
            <a:ext uri="{FF2B5EF4-FFF2-40B4-BE49-F238E27FC236}">
              <a16:creationId xmlns:a16="http://schemas.microsoft.com/office/drawing/2014/main" id="{B78C1AA7-3E71-4FC0-8A7B-E03E4B7C790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565" name="Text Box 87" hidden="1">
          <a:extLst>
            <a:ext uri="{FF2B5EF4-FFF2-40B4-BE49-F238E27FC236}">
              <a16:creationId xmlns:a16="http://schemas.microsoft.com/office/drawing/2014/main" id="{F6A63C05-3589-4000-A293-AA402C7CD42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566" name="Text Box 86" hidden="1">
          <a:extLst>
            <a:ext uri="{FF2B5EF4-FFF2-40B4-BE49-F238E27FC236}">
              <a16:creationId xmlns:a16="http://schemas.microsoft.com/office/drawing/2014/main" id="{EBCF1B72-3BF0-4507-9420-AC59D9E404F2}"/>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567" name="Text Box 85" hidden="1">
          <a:extLst>
            <a:ext uri="{FF2B5EF4-FFF2-40B4-BE49-F238E27FC236}">
              <a16:creationId xmlns:a16="http://schemas.microsoft.com/office/drawing/2014/main" id="{EAA17793-3A93-44F3-980B-B5EE3BB9AA8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68" name="Text Box 84" hidden="1">
          <a:extLst>
            <a:ext uri="{FF2B5EF4-FFF2-40B4-BE49-F238E27FC236}">
              <a16:creationId xmlns:a16="http://schemas.microsoft.com/office/drawing/2014/main" id="{89147B59-B6DC-4514-A2D7-CFF28960C1C7}"/>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69" name="Text Box 83" hidden="1">
          <a:extLst>
            <a:ext uri="{FF2B5EF4-FFF2-40B4-BE49-F238E27FC236}">
              <a16:creationId xmlns:a16="http://schemas.microsoft.com/office/drawing/2014/main" id="{77414880-A65E-475C-B407-761353F56E7A}"/>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70" name="Text Box 122" hidden="1">
          <a:extLst>
            <a:ext uri="{FF2B5EF4-FFF2-40B4-BE49-F238E27FC236}">
              <a16:creationId xmlns:a16="http://schemas.microsoft.com/office/drawing/2014/main" id="{10B5A53C-2A2A-4EA1-998A-C59B3D40A1B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71" name="Text Box 121" hidden="1">
          <a:extLst>
            <a:ext uri="{FF2B5EF4-FFF2-40B4-BE49-F238E27FC236}">
              <a16:creationId xmlns:a16="http://schemas.microsoft.com/office/drawing/2014/main" id="{960FD3A0-8992-4F64-9EC9-E4E828BFBBEF}"/>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17</xdr:col>
      <xdr:colOff>533400</xdr:colOff>
      <xdr:row>32</xdr:row>
      <xdr:rowOff>120650</xdr:rowOff>
    </xdr:to>
    <xdr:sp macro="" textlink="">
      <xdr:nvSpPr>
        <xdr:cNvPr id="572" name="Text Box 120" hidden="1">
          <a:extLst>
            <a:ext uri="{FF2B5EF4-FFF2-40B4-BE49-F238E27FC236}">
              <a16:creationId xmlns:a16="http://schemas.microsoft.com/office/drawing/2014/main" id="{F0A00D1E-D2BB-4594-A855-10B43FF961C7}"/>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17</xdr:col>
      <xdr:colOff>533400</xdr:colOff>
      <xdr:row>32</xdr:row>
      <xdr:rowOff>120650</xdr:rowOff>
    </xdr:to>
    <xdr:sp macro="" textlink="">
      <xdr:nvSpPr>
        <xdr:cNvPr id="573" name="Text Box 119" hidden="1">
          <a:extLst>
            <a:ext uri="{FF2B5EF4-FFF2-40B4-BE49-F238E27FC236}">
              <a16:creationId xmlns:a16="http://schemas.microsoft.com/office/drawing/2014/main" id="{199FA453-73AF-48CD-91D4-784B625559A3}"/>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574" name="Text Box 118" hidden="1">
          <a:extLst>
            <a:ext uri="{FF2B5EF4-FFF2-40B4-BE49-F238E27FC236}">
              <a16:creationId xmlns:a16="http://schemas.microsoft.com/office/drawing/2014/main" id="{916EBBA0-0595-4BE8-AE6A-56650B4698F6}"/>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575" name="Text Box 117" hidden="1">
          <a:extLst>
            <a:ext uri="{FF2B5EF4-FFF2-40B4-BE49-F238E27FC236}">
              <a16:creationId xmlns:a16="http://schemas.microsoft.com/office/drawing/2014/main" id="{0571E059-E80A-43FA-AB5A-1B7F092E64F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576" name="Text Box 116" hidden="1">
          <a:extLst>
            <a:ext uri="{FF2B5EF4-FFF2-40B4-BE49-F238E27FC236}">
              <a16:creationId xmlns:a16="http://schemas.microsoft.com/office/drawing/2014/main" id="{01AE812E-394F-4DE4-A9A5-EAF21B9680A2}"/>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20</xdr:col>
      <xdr:colOff>647700</xdr:colOff>
      <xdr:row>66</xdr:row>
      <xdr:rowOff>12034</xdr:rowOff>
    </xdr:to>
    <xdr:sp macro="" textlink="">
      <xdr:nvSpPr>
        <xdr:cNvPr id="577" name="Text Box 115" hidden="1">
          <a:extLst>
            <a:ext uri="{FF2B5EF4-FFF2-40B4-BE49-F238E27FC236}">
              <a16:creationId xmlns:a16="http://schemas.microsoft.com/office/drawing/2014/main" id="{58333A3B-8FD0-49B9-AB53-D3E0EA1F4569}"/>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24</xdr:col>
      <xdr:colOff>647700</xdr:colOff>
      <xdr:row>66</xdr:row>
      <xdr:rowOff>12034</xdr:rowOff>
    </xdr:to>
    <xdr:sp macro="" textlink="">
      <xdr:nvSpPr>
        <xdr:cNvPr id="578" name="Text Box 114" hidden="1">
          <a:extLst>
            <a:ext uri="{FF2B5EF4-FFF2-40B4-BE49-F238E27FC236}">
              <a16:creationId xmlns:a16="http://schemas.microsoft.com/office/drawing/2014/main" id="{068A46E7-817F-44CE-B821-D99E03A72C6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28</xdr:col>
      <xdr:colOff>647700</xdr:colOff>
      <xdr:row>66</xdr:row>
      <xdr:rowOff>12034</xdr:rowOff>
    </xdr:to>
    <xdr:sp macro="" textlink="">
      <xdr:nvSpPr>
        <xdr:cNvPr id="579" name="Text Box 113" hidden="1">
          <a:extLst>
            <a:ext uri="{FF2B5EF4-FFF2-40B4-BE49-F238E27FC236}">
              <a16:creationId xmlns:a16="http://schemas.microsoft.com/office/drawing/2014/main" id="{6334D704-E118-4C28-B1F6-12E964272126}"/>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25400</xdr:rowOff>
    </xdr:to>
    <xdr:sp macro="" textlink="">
      <xdr:nvSpPr>
        <xdr:cNvPr id="580" name="Text Box 112" hidden="1">
          <a:extLst>
            <a:ext uri="{FF2B5EF4-FFF2-40B4-BE49-F238E27FC236}">
              <a16:creationId xmlns:a16="http://schemas.microsoft.com/office/drawing/2014/main" id="{52B135AE-CC36-43B7-928A-157FA3A0CDAF}"/>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581" name="Text Box 111" hidden="1">
          <a:extLst>
            <a:ext uri="{FF2B5EF4-FFF2-40B4-BE49-F238E27FC236}">
              <a16:creationId xmlns:a16="http://schemas.microsoft.com/office/drawing/2014/main" id="{D88A91C2-9EF8-4272-9B19-049A55BC2D38}"/>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582" name="Text Box 110" hidden="1">
          <a:extLst>
            <a:ext uri="{FF2B5EF4-FFF2-40B4-BE49-F238E27FC236}">
              <a16:creationId xmlns:a16="http://schemas.microsoft.com/office/drawing/2014/main" id="{0F9D4CEC-A2B9-44BA-884D-C09B7A78857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583" name="Text Box 109" hidden="1">
          <a:extLst>
            <a:ext uri="{FF2B5EF4-FFF2-40B4-BE49-F238E27FC236}">
              <a16:creationId xmlns:a16="http://schemas.microsoft.com/office/drawing/2014/main" id="{4DC0203C-B498-4724-8979-49F3790ECC75}"/>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584" name="Text Box 108" hidden="1">
          <a:extLst>
            <a:ext uri="{FF2B5EF4-FFF2-40B4-BE49-F238E27FC236}">
              <a16:creationId xmlns:a16="http://schemas.microsoft.com/office/drawing/2014/main" id="{E3A7610E-9471-4BCA-AE92-D197627B9B58}"/>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585" name="Text Box 107" hidden="1">
          <a:extLst>
            <a:ext uri="{FF2B5EF4-FFF2-40B4-BE49-F238E27FC236}">
              <a16:creationId xmlns:a16="http://schemas.microsoft.com/office/drawing/2014/main" id="{CD2198E9-2C46-49A3-8880-45F5CAB4F052}"/>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586" name="Text Box 106" hidden="1">
          <a:extLst>
            <a:ext uri="{FF2B5EF4-FFF2-40B4-BE49-F238E27FC236}">
              <a16:creationId xmlns:a16="http://schemas.microsoft.com/office/drawing/2014/main" id="{8FABE568-8E4D-4ED8-8F04-C27FBE9D8A97}"/>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587" name="Text Box 105" hidden="1">
          <a:extLst>
            <a:ext uri="{FF2B5EF4-FFF2-40B4-BE49-F238E27FC236}">
              <a16:creationId xmlns:a16="http://schemas.microsoft.com/office/drawing/2014/main" id="{8B96D131-AFD0-436B-9467-6AAB33D5857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88" name="Text Box 104" hidden="1">
          <a:extLst>
            <a:ext uri="{FF2B5EF4-FFF2-40B4-BE49-F238E27FC236}">
              <a16:creationId xmlns:a16="http://schemas.microsoft.com/office/drawing/2014/main" id="{D7B5B3DF-6878-41E2-BC5F-B22681AEBF7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89" name="Text Box 103" hidden="1">
          <a:extLst>
            <a:ext uri="{FF2B5EF4-FFF2-40B4-BE49-F238E27FC236}">
              <a16:creationId xmlns:a16="http://schemas.microsoft.com/office/drawing/2014/main" id="{70D6BDC7-AD91-4656-A7D5-DFC58C131623}"/>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90" name="Text Box 142" hidden="1">
          <a:extLst>
            <a:ext uri="{FF2B5EF4-FFF2-40B4-BE49-F238E27FC236}">
              <a16:creationId xmlns:a16="http://schemas.microsoft.com/office/drawing/2014/main" id="{85EB7D1C-7543-4471-99B0-4D82FD3D2CA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91" name="Text Box 141" hidden="1">
          <a:extLst>
            <a:ext uri="{FF2B5EF4-FFF2-40B4-BE49-F238E27FC236}">
              <a16:creationId xmlns:a16="http://schemas.microsoft.com/office/drawing/2014/main" id="{8724BB02-A142-490B-9EBB-CFA5617398EA}"/>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17</xdr:col>
      <xdr:colOff>533400</xdr:colOff>
      <xdr:row>32</xdr:row>
      <xdr:rowOff>120650</xdr:rowOff>
    </xdr:to>
    <xdr:sp macro="" textlink="">
      <xdr:nvSpPr>
        <xdr:cNvPr id="592" name="Text Box 140" hidden="1">
          <a:extLst>
            <a:ext uri="{FF2B5EF4-FFF2-40B4-BE49-F238E27FC236}">
              <a16:creationId xmlns:a16="http://schemas.microsoft.com/office/drawing/2014/main" id="{0F5DF952-34C5-4A97-B8D2-08EE8B626879}"/>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17</xdr:col>
      <xdr:colOff>533400</xdr:colOff>
      <xdr:row>32</xdr:row>
      <xdr:rowOff>120650</xdr:rowOff>
    </xdr:to>
    <xdr:sp macro="" textlink="">
      <xdr:nvSpPr>
        <xdr:cNvPr id="593" name="Text Box 139" hidden="1">
          <a:extLst>
            <a:ext uri="{FF2B5EF4-FFF2-40B4-BE49-F238E27FC236}">
              <a16:creationId xmlns:a16="http://schemas.microsoft.com/office/drawing/2014/main" id="{A151BF8C-0548-4828-8740-DEC5AC70091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594" name="Text Box 138" hidden="1">
          <a:extLst>
            <a:ext uri="{FF2B5EF4-FFF2-40B4-BE49-F238E27FC236}">
              <a16:creationId xmlns:a16="http://schemas.microsoft.com/office/drawing/2014/main" id="{9AB617E8-67CD-43E4-BCA6-F0309F01705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595" name="Text Box 137" hidden="1">
          <a:extLst>
            <a:ext uri="{FF2B5EF4-FFF2-40B4-BE49-F238E27FC236}">
              <a16:creationId xmlns:a16="http://schemas.microsoft.com/office/drawing/2014/main" id="{54A6733F-B27C-4642-AAC2-0D3A1F5BC74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596" name="Text Box 136" hidden="1">
          <a:extLst>
            <a:ext uri="{FF2B5EF4-FFF2-40B4-BE49-F238E27FC236}">
              <a16:creationId xmlns:a16="http://schemas.microsoft.com/office/drawing/2014/main" id="{C32B3912-3FCB-4F63-88C2-DAD9A600C829}"/>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20</xdr:col>
      <xdr:colOff>647700</xdr:colOff>
      <xdr:row>66</xdr:row>
      <xdr:rowOff>12034</xdr:rowOff>
    </xdr:to>
    <xdr:sp macro="" textlink="">
      <xdr:nvSpPr>
        <xdr:cNvPr id="597" name="Text Box 135" hidden="1">
          <a:extLst>
            <a:ext uri="{FF2B5EF4-FFF2-40B4-BE49-F238E27FC236}">
              <a16:creationId xmlns:a16="http://schemas.microsoft.com/office/drawing/2014/main" id="{D6A4A6DF-73F8-4A7D-8421-5ADDC230730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24</xdr:col>
      <xdr:colOff>647700</xdr:colOff>
      <xdr:row>66</xdr:row>
      <xdr:rowOff>12034</xdr:rowOff>
    </xdr:to>
    <xdr:sp macro="" textlink="">
      <xdr:nvSpPr>
        <xdr:cNvPr id="598" name="Text Box 134" hidden="1">
          <a:extLst>
            <a:ext uri="{FF2B5EF4-FFF2-40B4-BE49-F238E27FC236}">
              <a16:creationId xmlns:a16="http://schemas.microsoft.com/office/drawing/2014/main" id="{100C719C-CF6F-4915-A8EE-F1D1B4F68518}"/>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28</xdr:col>
      <xdr:colOff>647700</xdr:colOff>
      <xdr:row>66</xdr:row>
      <xdr:rowOff>12034</xdr:rowOff>
    </xdr:to>
    <xdr:sp macro="" textlink="">
      <xdr:nvSpPr>
        <xdr:cNvPr id="599" name="Text Box 133" hidden="1">
          <a:extLst>
            <a:ext uri="{FF2B5EF4-FFF2-40B4-BE49-F238E27FC236}">
              <a16:creationId xmlns:a16="http://schemas.microsoft.com/office/drawing/2014/main" id="{1855459F-1798-41C7-A9F8-36D0DD8E38EC}"/>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25400</xdr:rowOff>
    </xdr:to>
    <xdr:sp macro="" textlink="">
      <xdr:nvSpPr>
        <xdr:cNvPr id="600" name="Text Box 132" hidden="1">
          <a:extLst>
            <a:ext uri="{FF2B5EF4-FFF2-40B4-BE49-F238E27FC236}">
              <a16:creationId xmlns:a16="http://schemas.microsoft.com/office/drawing/2014/main" id="{928404FE-E033-4FF1-B27F-9FB0D7C6CEE7}"/>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601" name="Text Box 131" hidden="1">
          <a:extLst>
            <a:ext uri="{FF2B5EF4-FFF2-40B4-BE49-F238E27FC236}">
              <a16:creationId xmlns:a16="http://schemas.microsoft.com/office/drawing/2014/main" id="{DB1FAF4E-6B25-4BAB-BD0D-C6D8AC64B9FA}"/>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602" name="Text Box 130" hidden="1">
          <a:extLst>
            <a:ext uri="{FF2B5EF4-FFF2-40B4-BE49-F238E27FC236}">
              <a16:creationId xmlns:a16="http://schemas.microsoft.com/office/drawing/2014/main" id="{66CCCF2A-B09C-488F-9071-C2C53FAAD135}"/>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603" name="Text Box 129" hidden="1">
          <a:extLst>
            <a:ext uri="{FF2B5EF4-FFF2-40B4-BE49-F238E27FC236}">
              <a16:creationId xmlns:a16="http://schemas.microsoft.com/office/drawing/2014/main" id="{52ACB31B-E587-4AA9-978F-C648CAE681D4}"/>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604" name="Text Box 128" hidden="1">
          <a:extLst>
            <a:ext uri="{FF2B5EF4-FFF2-40B4-BE49-F238E27FC236}">
              <a16:creationId xmlns:a16="http://schemas.microsoft.com/office/drawing/2014/main" id="{CAE80AEC-22C2-41E0-933B-6367493FFB2F}"/>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605" name="Text Box 127" hidden="1">
          <a:extLst>
            <a:ext uri="{FF2B5EF4-FFF2-40B4-BE49-F238E27FC236}">
              <a16:creationId xmlns:a16="http://schemas.microsoft.com/office/drawing/2014/main" id="{5262CFEC-1548-465D-8AED-47DA3734C3FC}"/>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606" name="Text Box 126" hidden="1">
          <a:extLst>
            <a:ext uri="{FF2B5EF4-FFF2-40B4-BE49-F238E27FC236}">
              <a16:creationId xmlns:a16="http://schemas.microsoft.com/office/drawing/2014/main" id="{15E427BA-FFD2-4E91-AC74-03AF6D7B0BE6}"/>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607" name="Text Box 125" hidden="1">
          <a:extLst>
            <a:ext uri="{FF2B5EF4-FFF2-40B4-BE49-F238E27FC236}">
              <a16:creationId xmlns:a16="http://schemas.microsoft.com/office/drawing/2014/main" id="{44E39522-1C63-4160-8C4F-5A8B74074327}"/>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608" name="Text Box 124" hidden="1">
          <a:extLst>
            <a:ext uri="{FF2B5EF4-FFF2-40B4-BE49-F238E27FC236}">
              <a16:creationId xmlns:a16="http://schemas.microsoft.com/office/drawing/2014/main" id="{0A77F2CC-77DE-4233-AF98-B15F14FE98E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609" name="Text Box 123" hidden="1">
          <a:extLst>
            <a:ext uri="{FF2B5EF4-FFF2-40B4-BE49-F238E27FC236}">
              <a16:creationId xmlns:a16="http://schemas.microsoft.com/office/drawing/2014/main" id="{54604EAA-E6C0-4033-9088-D0DB398FE8C8}"/>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610" name="Text Box 162" hidden="1">
          <a:extLst>
            <a:ext uri="{FF2B5EF4-FFF2-40B4-BE49-F238E27FC236}">
              <a16:creationId xmlns:a16="http://schemas.microsoft.com/office/drawing/2014/main" id="{C34C91F3-6415-4F55-93CB-4DCD4D58411E}"/>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611" name="Text Box 161" hidden="1">
          <a:extLst>
            <a:ext uri="{FF2B5EF4-FFF2-40B4-BE49-F238E27FC236}">
              <a16:creationId xmlns:a16="http://schemas.microsoft.com/office/drawing/2014/main" id="{A3AEABD5-5DBC-43BD-B63D-92B77DC9B327}"/>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20</xdr:col>
      <xdr:colOff>533400</xdr:colOff>
      <xdr:row>52</xdr:row>
      <xdr:rowOff>84231</xdr:rowOff>
    </xdr:to>
    <xdr:sp macro="" textlink="">
      <xdr:nvSpPr>
        <xdr:cNvPr id="612" name="Text Box 160" hidden="1">
          <a:extLst>
            <a:ext uri="{FF2B5EF4-FFF2-40B4-BE49-F238E27FC236}">
              <a16:creationId xmlns:a16="http://schemas.microsoft.com/office/drawing/2014/main" id="{936DDBDE-241A-4C79-A195-9EBE26D11C5F}"/>
            </a:ext>
          </a:extLst>
        </xdr:cNvPr>
        <xdr:cNvSpPr txBox="1">
          <a:spLocks noChangeArrowheads="1"/>
        </xdr:cNvSpPr>
      </xdr:nvSpPr>
      <xdr:spPr bwMode="auto">
        <a:xfrm>
          <a:off x="16545984" y="7543800"/>
          <a:ext cx="3570816"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20</xdr:col>
      <xdr:colOff>533400</xdr:colOff>
      <xdr:row>50</xdr:row>
      <xdr:rowOff>74706</xdr:rowOff>
    </xdr:to>
    <xdr:sp macro="" textlink="">
      <xdr:nvSpPr>
        <xdr:cNvPr id="613" name="Text Box 159" hidden="1">
          <a:extLst>
            <a:ext uri="{FF2B5EF4-FFF2-40B4-BE49-F238E27FC236}">
              <a16:creationId xmlns:a16="http://schemas.microsoft.com/office/drawing/2014/main" id="{144C4930-40CD-4458-9A1A-152576CE31BE}"/>
            </a:ext>
          </a:extLst>
        </xdr:cNvPr>
        <xdr:cNvSpPr txBox="1">
          <a:spLocks noChangeArrowheads="1"/>
        </xdr:cNvSpPr>
      </xdr:nvSpPr>
      <xdr:spPr bwMode="auto">
        <a:xfrm>
          <a:off x="16545984" y="7153275"/>
          <a:ext cx="3570816"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46</xdr:row>
      <xdr:rowOff>121708</xdr:rowOff>
    </xdr:to>
    <xdr:sp macro="" textlink="">
      <xdr:nvSpPr>
        <xdr:cNvPr id="614" name="Text Box 158" hidden="1">
          <a:extLst>
            <a:ext uri="{FF2B5EF4-FFF2-40B4-BE49-F238E27FC236}">
              <a16:creationId xmlns:a16="http://schemas.microsoft.com/office/drawing/2014/main" id="{9B192EFB-5A70-4DB1-B749-1AA575E1BAFA}"/>
            </a:ext>
          </a:extLst>
        </xdr:cNvPr>
        <xdr:cNvSpPr txBox="1">
          <a:spLocks noChangeArrowheads="1"/>
        </xdr:cNvSpPr>
      </xdr:nvSpPr>
      <xdr:spPr bwMode="auto">
        <a:xfrm>
          <a:off x="18135600" y="5334000"/>
          <a:ext cx="4343400" cy="55827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7</xdr:col>
      <xdr:colOff>6350</xdr:colOff>
      <xdr:row>51</xdr:row>
      <xdr:rowOff>53975</xdr:rowOff>
    </xdr:to>
    <xdr:sp macro="" textlink="">
      <xdr:nvSpPr>
        <xdr:cNvPr id="615" name="Text Box 157" hidden="1">
          <a:extLst>
            <a:ext uri="{FF2B5EF4-FFF2-40B4-BE49-F238E27FC236}">
              <a16:creationId xmlns:a16="http://schemas.microsoft.com/office/drawing/2014/main" id="{85C2287F-11AE-4DF2-9908-F9EE0B0A3F9B}"/>
            </a:ext>
          </a:extLst>
        </xdr:cNvPr>
        <xdr:cNvSpPr txBox="1">
          <a:spLocks noChangeArrowheads="1"/>
        </xdr:cNvSpPr>
      </xdr:nvSpPr>
      <xdr:spPr bwMode="auto">
        <a:xfrm>
          <a:off x="4229100" y="7543800"/>
          <a:ext cx="5378450"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7</xdr:col>
      <xdr:colOff>6350</xdr:colOff>
      <xdr:row>179</xdr:row>
      <xdr:rowOff>6488</xdr:rowOff>
    </xdr:to>
    <xdr:sp macro="" textlink="">
      <xdr:nvSpPr>
        <xdr:cNvPr id="616" name="Text Box 156" hidden="1">
          <a:extLst>
            <a:ext uri="{FF2B5EF4-FFF2-40B4-BE49-F238E27FC236}">
              <a16:creationId xmlns:a16="http://schemas.microsoft.com/office/drawing/2014/main" id="{1604C540-CD94-4617-8185-36675684B713}"/>
            </a:ext>
          </a:extLst>
        </xdr:cNvPr>
        <xdr:cNvSpPr txBox="1">
          <a:spLocks noChangeArrowheads="1"/>
        </xdr:cNvSpPr>
      </xdr:nvSpPr>
      <xdr:spPr bwMode="auto">
        <a:xfrm>
          <a:off x="4229100" y="36803902"/>
          <a:ext cx="5378450"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83</xdr:row>
      <xdr:rowOff>288202</xdr:rowOff>
    </xdr:to>
    <xdr:sp macro="" textlink="">
      <xdr:nvSpPr>
        <xdr:cNvPr id="617" name="Text Box 155" hidden="1">
          <a:extLst>
            <a:ext uri="{FF2B5EF4-FFF2-40B4-BE49-F238E27FC236}">
              <a16:creationId xmlns:a16="http://schemas.microsoft.com/office/drawing/2014/main" id="{69A91C4B-3B2B-411A-8970-CD0A5F218CF1}"/>
            </a:ext>
          </a:extLst>
        </xdr:cNvPr>
        <xdr:cNvSpPr txBox="1">
          <a:spLocks noChangeArrowheads="1"/>
        </xdr:cNvSpPr>
      </xdr:nvSpPr>
      <xdr:spPr bwMode="auto">
        <a:xfrm>
          <a:off x="18935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83</xdr:row>
      <xdr:rowOff>288202</xdr:rowOff>
    </xdr:to>
    <xdr:sp macro="" textlink="">
      <xdr:nvSpPr>
        <xdr:cNvPr id="618" name="Text Box 154" hidden="1">
          <a:extLst>
            <a:ext uri="{FF2B5EF4-FFF2-40B4-BE49-F238E27FC236}">
              <a16:creationId xmlns:a16="http://schemas.microsoft.com/office/drawing/2014/main" id="{A35811EC-1E11-4E5C-9CCB-9AA4CF4102E5}"/>
            </a:ext>
          </a:extLst>
        </xdr:cNvPr>
        <xdr:cNvSpPr txBox="1">
          <a:spLocks noChangeArrowheads="1"/>
        </xdr:cNvSpPr>
      </xdr:nvSpPr>
      <xdr:spPr bwMode="auto">
        <a:xfrm>
          <a:off x="21983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83</xdr:row>
      <xdr:rowOff>288202</xdr:rowOff>
    </xdr:to>
    <xdr:sp macro="" textlink="">
      <xdr:nvSpPr>
        <xdr:cNvPr id="619" name="Text Box 153" hidden="1">
          <a:extLst>
            <a:ext uri="{FF2B5EF4-FFF2-40B4-BE49-F238E27FC236}">
              <a16:creationId xmlns:a16="http://schemas.microsoft.com/office/drawing/2014/main" id="{A7CA0D62-30C2-44DF-BA89-DA070EF36294}"/>
            </a:ext>
          </a:extLst>
        </xdr:cNvPr>
        <xdr:cNvSpPr txBox="1">
          <a:spLocks noChangeArrowheads="1"/>
        </xdr:cNvSpPr>
      </xdr:nvSpPr>
      <xdr:spPr bwMode="auto">
        <a:xfrm>
          <a:off x="25031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10583</xdr:colOff>
      <xdr:row>33</xdr:row>
      <xdr:rowOff>190500</xdr:rowOff>
    </xdr:to>
    <xdr:sp macro="" textlink="">
      <xdr:nvSpPr>
        <xdr:cNvPr id="620" name="Text Box 152" hidden="1">
          <a:extLst>
            <a:ext uri="{FF2B5EF4-FFF2-40B4-BE49-F238E27FC236}">
              <a16:creationId xmlns:a16="http://schemas.microsoft.com/office/drawing/2014/main" id="{D893F8C7-CB0C-40D8-8BC9-CA59592C65BB}"/>
            </a:ext>
          </a:extLst>
        </xdr:cNvPr>
        <xdr:cNvSpPr txBox="1">
          <a:spLocks noChangeArrowheads="1"/>
        </xdr:cNvSpPr>
      </xdr:nvSpPr>
      <xdr:spPr bwMode="auto">
        <a:xfrm>
          <a:off x="20497800" y="2009775"/>
          <a:ext cx="4430183"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621" name="Text Box 148" hidden="1">
          <a:extLst>
            <a:ext uri="{FF2B5EF4-FFF2-40B4-BE49-F238E27FC236}">
              <a16:creationId xmlns:a16="http://schemas.microsoft.com/office/drawing/2014/main" id="{7251DED9-1C24-412E-A21E-2E2E91099851}"/>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48</xdr:row>
      <xdr:rowOff>96308</xdr:rowOff>
    </xdr:to>
    <xdr:sp macro="" textlink="">
      <xdr:nvSpPr>
        <xdr:cNvPr id="622" name="Text Box 147" hidden="1">
          <a:extLst>
            <a:ext uri="{FF2B5EF4-FFF2-40B4-BE49-F238E27FC236}">
              <a16:creationId xmlns:a16="http://schemas.microsoft.com/office/drawing/2014/main" id="{958FA4F7-E2C4-481C-8326-692599E72E06}"/>
            </a:ext>
          </a:extLst>
        </xdr:cNvPr>
        <xdr:cNvSpPr txBox="1">
          <a:spLocks noChangeArrowheads="1"/>
        </xdr:cNvSpPr>
      </xdr:nvSpPr>
      <xdr:spPr bwMode="auto">
        <a:xfrm>
          <a:off x="21964650" y="6588125"/>
          <a:ext cx="4362450" cy="50588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28</xdr:col>
      <xdr:colOff>57150</xdr:colOff>
      <xdr:row>64</xdr:row>
      <xdr:rowOff>39512</xdr:rowOff>
    </xdr:to>
    <xdr:sp macro="" textlink="">
      <xdr:nvSpPr>
        <xdr:cNvPr id="623" name="Text Box 146" hidden="1">
          <a:extLst>
            <a:ext uri="{FF2B5EF4-FFF2-40B4-BE49-F238E27FC236}">
              <a16:creationId xmlns:a16="http://schemas.microsoft.com/office/drawing/2014/main" id="{F821FDB6-C304-4EA7-A91C-821222932D73}"/>
            </a:ext>
          </a:extLst>
        </xdr:cNvPr>
        <xdr:cNvSpPr txBox="1">
          <a:spLocks noChangeArrowheads="1"/>
        </xdr:cNvSpPr>
      </xdr:nvSpPr>
      <xdr:spPr bwMode="auto">
        <a:xfrm>
          <a:off x="22002750" y="10554758"/>
          <a:ext cx="3733800" cy="53915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624" name="Text Box 145" hidden="1">
          <a:extLst>
            <a:ext uri="{FF2B5EF4-FFF2-40B4-BE49-F238E27FC236}">
              <a16:creationId xmlns:a16="http://schemas.microsoft.com/office/drawing/2014/main" id="{4373AE81-3683-42B3-B705-EA826C9C6D3E}"/>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39</xdr:row>
      <xdr:rowOff>83608</xdr:rowOff>
    </xdr:to>
    <xdr:sp macro="" textlink="">
      <xdr:nvSpPr>
        <xdr:cNvPr id="625" name="Text Box 144" hidden="1">
          <a:extLst>
            <a:ext uri="{FF2B5EF4-FFF2-40B4-BE49-F238E27FC236}">
              <a16:creationId xmlns:a16="http://schemas.microsoft.com/office/drawing/2014/main" id="{6D9FDEBD-A571-4F8E-A92D-75C60BC5A7A3}"/>
            </a:ext>
          </a:extLst>
        </xdr:cNvPr>
        <xdr:cNvSpPr txBox="1">
          <a:spLocks noChangeArrowheads="1"/>
        </xdr:cNvSpPr>
      </xdr:nvSpPr>
      <xdr:spPr bwMode="auto">
        <a:xfrm>
          <a:off x="29641800" y="3819525"/>
          <a:ext cx="3733800" cy="57922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36</xdr:col>
      <xdr:colOff>666750</xdr:colOff>
      <xdr:row>81</xdr:row>
      <xdr:rowOff>54876</xdr:rowOff>
    </xdr:to>
    <xdr:sp macro="" textlink="">
      <xdr:nvSpPr>
        <xdr:cNvPr id="626" name="Text Box 143" hidden="1">
          <a:extLst>
            <a:ext uri="{FF2B5EF4-FFF2-40B4-BE49-F238E27FC236}">
              <a16:creationId xmlns:a16="http://schemas.microsoft.com/office/drawing/2014/main" id="{7BB629E6-D06E-41F9-8D54-FE81D4D4C70A}"/>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627" name="Text Box 1041" hidden="1">
          <a:extLst>
            <a:ext uri="{FF2B5EF4-FFF2-40B4-BE49-F238E27FC236}">
              <a16:creationId xmlns:a16="http://schemas.microsoft.com/office/drawing/2014/main" id="{89186352-47A1-456F-BA55-3A2E79736597}"/>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628" name="Text Box 1040" hidden="1">
          <a:extLst>
            <a:ext uri="{FF2B5EF4-FFF2-40B4-BE49-F238E27FC236}">
              <a16:creationId xmlns:a16="http://schemas.microsoft.com/office/drawing/2014/main" id="{C65FECA6-6200-4037-9383-3EA9370C3073}"/>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120650</xdr:rowOff>
    </xdr:from>
    <xdr:to>
      <xdr:col>20</xdr:col>
      <xdr:colOff>533400</xdr:colOff>
      <xdr:row>52</xdr:row>
      <xdr:rowOff>84231</xdr:rowOff>
    </xdr:to>
    <xdr:sp macro="" textlink="">
      <xdr:nvSpPr>
        <xdr:cNvPr id="629" name="Text Box 1039" hidden="1">
          <a:extLst>
            <a:ext uri="{FF2B5EF4-FFF2-40B4-BE49-F238E27FC236}">
              <a16:creationId xmlns:a16="http://schemas.microsoft.com/office/drawing/2014/main" id="{CF1EFF48-435D-44EB-B60D-E408B4213C1E}"/>
            </a:ext>
          </a:extLst>
        </xdr:cNvPr>
        <xdr:cNvSpPr txBox="1">
          <a:spLocks noChangeArrowheads="1"/>
        </xdr:cNvSpPr>
      </xdr:nvSpPr>
      <xdr:spPr bwMode="auto">
        <a:xfrm>
          <a:off x="16535400" y="7543800"/>
          <a:ext cx="35814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31</xdr:row>
      <xdr:rowOff>292100</xdr:rowOff>
    </xdr:from>
    <xdr:to>
      <xdr:col>20</xdr:col>
      <xdr:colOff>533400</xdr:colOff>
      <xdr:row>50</xdr:row>
      <xdr:rowOff>74706</xdr:rowOff>
    </xdr:to>
    <xdr:sp macro="" textlink="">
      <xdr:nvSpPr>
        <xdr:cNvPr id="630" name="Text Box 1038" hidden="1">
          <a:extLst>
            <a:ext uri="{FF2B5EF4-FFF2-40B4-BE49-F238E27FC236}">
              <a16:creationId xmlns:a16="http://schemas.microsoft.com/office/drawing/2014/main" id="{C61D1BFB-5285-4A3A-A1DC-82474FCA0C92}"/>
            </a:ext>
          </a:extLst>
        </xdr:cNvPr>
        <xdr:cNvSpPr txBox="1">
          <a:spLocks noChangeArrowheads="1"/>
        </xdr:cNvSpPr>
      </xdr:nvSpPr>
      <xdr:spPr bwMode="auto">
        <a:xfrm>
          <a:off x="16535400" y="7153275"/>
          <a:ext cx="35814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46</xdr:row>
      <xdr:rowOff>120650</xdr:rowOff>
    </xdr:to>
    <xdr:sp macro="" textlink="">
      <xdr:nvSpPr>
        <xdr:cNvPr id="631" name="Text Box 1037" hidden="1">
          <a:extLst>
            <a:ext uri="{FF2B5EF4-FFF2-40B4-BE49-F238E27FC236}">
              <a16:creationId xmlns:a16="http://schemas.microsoft.com/office/drawing/2014/main" id="{DC3DBA39-DC30-4867-92B8-9857B440A535}"/>
            </a:ext>
          </a:extLst>
        </xdr:cNvPr>
        <xdr:cNvSpPr txBox="1">
          <a:spLocks noChangeArrowheads="1"/>
        </xdr:cNvSpPr>
      </xdr:nvSpPr>
      <xdr:spPr bwMode="auto">
        <a:xfrm>
          <a:off x="18135600" y="5334000"/>
          <a:ext cx="4343400" cy="558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7</xdr:col>
      <xdr:colOff>1727</xdr:colOff>
      <xdr:row>51</xdr:row>
      <xdr:rowOff>53975</xdr:rowOff>
    </xdr:to>
    <xdr:sp macro="" textlink="">
      <xdr:nvSpPr>
        <xdr:cNvPr id="632" name="Text Box 1036" hidden="1">
          <a:extLst>
            <a:ext uri="{FF2B5EF4-FFF2-40B4-BE49-F238E27FC236}">
              <a16:creationId xmlns:a16="http://schemas.microsoft.com/office/drawing/2014/main" id="{11653216-4A9D-4737-989B-AB5FF4C83526}"/>
            </a:ext>
          </a:extLst>
        </xdr:cNvPr>
        <xdr:cNvSpPr txBox="1">
          <a:spLocks noChangeArrowheads="1"/>
        </xdr:cNvSpPr>
      </xdr:nvSpPr>
      <xdr:spPr bwMode="auto">
        <a:xfrm>
          <a:off x="4229100" y="7543800"/>
          <a:ext cx="5373827"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7</xdr:col>
      <xdr:colOff>1727</xdr:colOff>
      <xdr:row>179</xdr:row>
      <xdr:rowOff>6488</xdr:rowOff>
    </xdr:to>
    <xdr:sp macro="" textlink="">
      <xdr:nvSpPr>
        <xdr:cNvPr id="633" name="Text Box 1035" hidden="1">
          <a:extLst>
            <a:ext uri="{FF2B5EF4-FFF2-40B4-BE49-F238E27FC236}">
              <a16:creationId xmlns:a16="http://schemas.microsoft.com/office/drawing/2014/main" id="{B0A308F3-A830-4743-834D-1CE4CFAA3246}"/>
            </a:ext>
          </a:extLst>
        </xdr:cNvPr>
        <xdr:cNvSpPr txBox="1">
          <a:spLocks noChangeArrowheads="1"/>
        </xdr:cNvSpPr>
      </xdr:nvSpPr>
      <xdr:spPr bwMode="auto">
        <a:xfrm>
          <a:off x="4229100" y="36803902"/>
          <a:ext cx="5373827" cy="36584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78027</xdr:rowOff>
    </xdr:from>
    <xdr:to>
      <xdr:col>24</xdr:col>
      <xdr:colOff>647700</xdr:colOff>
      <xdr:row>83</xdr:row>
      <xdr:rowOff>288202</xdr:rowOff>
    </xdr:to>
    <xdr:sp macro="" textlink="">
      <xdr:nvSpPr>
        <xdr:cNvPr id="634" name="Text Box 1034" hidden="1">
          <a:extLst>
            <a:ext uri="{FF2B5EF4-FFF2-40B4-BE49-F238E27FC236}">
              <a16:creationId xmlns:a16="http://schemas.microsoft.com/office/drawing/2014/main" id="{D82A2804-4700-4112-AAC0-B05018B82BB2}"/>
            </a:ext>
          </a:extLst>
        </xdr:cNvPr>
        <xdr:cNvSpPr txBox="1">
          <a:spLocks noChangeArrowheads="1"/>
        </xdr:cNvSpPr>
      </xdr:nvSpPr>
      <xdr:spPr bwMode="auto">
        <a:xfrm>
          <a:off x="18935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78027</xdr:rowOff>
    </xdr:from>
    <xdr:to>
      <xdr:col>28</xdr:col>
      <xdr:colOff>647700</xdr:colOff>
      <xdr:row>83</xdr:row>
      <xdr:rowOff>288202</xdr:rowOff>
    </xdr:to>
    <xdr:sp macro="" textlink="">
      <xdr:nvSpPr>
        <xdr:cNvPr id="635" name="Text Box 1033" hidden="1">
          <a:extLst>
            <a:ext uri="{FF2B5EF4-FFF2-40B4-BE49-F238E27FC236}">
              <a16:creationId xmlns:a16="http://schemas.microsoft.com/office/drawing/2014/main" id="{20670D2A-9F19-4ED6-AE2B-E5F4E1EEC530}"/>
            </a:ext>
          </a:extLst>
        </xdr:cNvPr>
        <xdr:cNvSpPr txBox="1">
          <a:spLocks noChangeArrowheads="1"/>
        </xdr:cNvSpPr>
      </xdr:nvSpPr>
      <xdr:spPr bwMode="auto">
        <a:xfrm>
          <a:off x="21983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78027</xdr:rowOff>
    </xdr:from>
    <xdr:to>
      <xdr:col>32</xdr:col>
      <xdr:colOff>647700</xdr:colOff>
      <xdr:row>83</xdr:row>
      <xdr:rowOff>288202</xdr:rowOff>
    </xdr:to>
    <xdr:sp macro="" textlink="">
      <xdr:nvSpPr>
        <xdr:cNvPr id="636" name="Text Box 1032" hidden="1">
          <a:extLst>
            <a:ext uri="{FF2B5EF4-FFF2-40B4-BE49-F238E27FC236}">
              <a16:creationId xmlns:a16="http://schemas.microsoft.com/office/drawing/2014/main" id="{A4922670-09BD-4096-A7E3-D9DE87FEA0EF}"/>
            </a:ext>
          </a:extLst>
        </xdr:cNvPr>
        <xdr:cNvSpPr txBox="1">
          <a:spLocks noChangeArrowheads="1"/>
        </xdr:cNvSpPr>
      </xdr:nvSpPr>
      <xdr:spPr bwMode="auto">
        <a:xfrm>
          <a:off x="25031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33</xdr:row>
      <xdr:rowOff>190500</xdr:rowOff>
    </xdr:to>
    <xdr:sp macro="" textlink="">
      <xdr:nvSpPr>
        <xdr:cNvPr id="637" name="Text Box 1031" hidden="1">
          <a:extLst>
            <a:ext uri="{FF2B5EF4-FFF2-40B4-BE49-F238E27FC236}">
              <a16:creationId xmlns:a16="http://schemas.microsoft.com/office/drawing/2014/main" id="{91A7D522-1FF5-4561-B2AA-52349904F608}"/>
            </a:ext>
          </a:extLst>
        </xdr:cNvPr>
        <xdr:cNvSpPr txBox="1">
          <a:spLocks noChangeArrowheads="1"/>
        </xdr:cNvSpPr>
      </xdr:nvSpPr>
      <xdr:spPr bwMode="auto">
        <a:xfrm>
          <a:off x="20497800" y="2009775"/>
          <a:ext cx="44196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638" name="Text Box 1030" hidden="1">
          <a:extLst>
            <a:ext uri="{FF2B5EF4-FFF2-40B4-BE49-F238E27FC236}">
              <a16:creationId xmlns:a16="http://schemas.microsoft.com/office/drawing/2014/main" id="{0AB998EE-8880-403C-AD34-0CBE28A75DEF}"/>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30</xdr:row>
      <xdr:rowOff>295275</xdr:rowOff>
    </xdr:from>
    <xdr:to>
      <xdr:col>28</xdr:col>
      <xdr:colOff>647700</xdr:colOff>
      <xdr:row>48</xdr:row>
      <xdr:rowOff>95250</xdr:rowOff>
    </xdr:to>
    <xdr:sp macro="" textlink="">
      <xdr:nvSpPr>
        <xdr:cNvPr id="639" name="Text Box 1029" hidden="1">
          <a:extLst>
            <a:ext uri="{FF2B5EF4-FFF2-40B4-BE49-F238E27FC236}">
              <a16:creationId xmlns:a16="http://schemas.microsoft.com/office/drawing/2014/main" id="{78E8990C-B0CD-4B0C-9669-2D75CDE61365}"/>
            </a:ext>
          </a:extLst>
        </xdr:cNvPr>
        <xdr:cNvSpPr txBox="1">
          <a:spLocks noChangeArrowheads="1"/>
        </xdr:cNvSpPr>
      </xdr:nvSpPr>
      <xdr:spPr bwMode="auto">
        <a:xfrm>
          <a:off x="21971000" y="6588125"/>
          <a:ext cx="4356100" cy="5057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39512</xdr:rowOff>
    </xdr:to>
    <xdr:sp macro="" textlink="">
      <xdr:nvSpPr>
        <xdr:cNvPr id="640" name="Text Box 1028" hidden="1">
          <a:extLst>
            <a:ext uri="{FF2B5EF4-FFF2-40B4-BE49-F238E27FC236}">
              <a16:creationId xmlns:a16="http://schemas.microsoft.com/office/drawing/2014/main" id="{4ABE485F-B9C3-4304-9A88-B16AC392599A}"/>
            </a:ext>
          </a:extLst>
        </xdr:cNvPr>
        <xdr:cNvSpPr txBox="1">
          <a:spLocks noChangeArrowheads="1"/>
        </xdr:cNvSpPr>
      </xdr:nvSpPr>
      <xdr:spPr bwMode="auto">
        <a:xfrm>
          <a:off x="22002750" y="10553700"/>
          <a:ext cx="3733800" cy="53925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641" name="Text Box 1027" hidden="1">
          <a:extLst>
            <a:ext uri="{FF2B5EF4-FFF2-40B4-BE49-F238E27FC236}">
              <a16:creationId xmlns:a16="http://schemas.microsoft.com/office/drawing/2014/main" id="{6FA306FE-A60B-4C13-AB56-23E94D24AEB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39</xdr:row>
      <xdr:rowOff>82550</xdr:rowOff>
    </xdr:to>
    <xdr:sp macro="" textlink="">
      <xdr:nvSpPr>
        <xdr:cNvPr id="642" name="Text Box 1026" hidden="1">
          <a:extLst>
            <a:ext uri="{FF2B5EF4-FFF2-40B4-BE49-F238E27FC236}">
              <a16:creationId xmlns:a16="http://schemas.microsoft.com/office/drawing/2014/main" id="{A665F31D-E20D-49CB-BD6C-909A7D8DDA79}"/>
            </a:ext>
          </a:extLst>
        </xdr:cNvPr>
        <xdr:cNvSpPr txBox="1">
          <a:spLocks noChangeArrowheads="1"/>
        </xdr:cNvSpPr>
      </xdr:nvSpPr>
      <xdr:spPr bwMode="auto">
        <a:xfrm>
          <a:off x="29641800" y="3819525"/>
          <a:ext cx="3733800" cy="579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61</xdr:row>
      <xdr:rowOff>113926</xdr:rowOff>
    </xdr:from>
    <xdr:to>
      <xdr:col>36</xdr:col>
      <xdr:colOff>673100</xdr:colOff>
      <xdr:row>81</xdr:row>
      <xdr:rowOff>54876</xdr:rowOff>
    </xdr:to>
    <xdr:sp macro="" textlink="">
      <xdr:nvSpPr>
        <xdr:cNvPr id="643" name="Text Box 1025" hidden="1">
          <a:extLst>
            <a:ext uri="{FF2B5EF4-FFF2-40B4-BE49-F238E27FC236}">
              <a16:creationId xmlns:a16="http://schemas.microsoft.com/office/drawing/2014/main" id="{E4198A07-525A-4449-A353-0FEB25642B2F}"/>
            </a:ext>
          </a:extLst>
        </xdr:cNvPr>
        <xdr:cNvSpPr txBox="1">
          <a:spLocks noChangeArrowheads="1"/>
        </xdr:cNvSpPr>
      </xdr:nvSpPr>
      <xdr:spPr bwMode="auto">
        <a:xfrm>
          <a:off x="28067000" y="15049126"/>
          <a:ext cx="4381500" cy="5855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644" name="Text Box 179" hidden="1">
          <a:extLst>
            <a:ext uri="{FF2B5EF4-FFF2-40B4-BE49-F238E27FC236}">
              <a16:creationId xmlns:a16="http://schemas.microsoft.com/office/drawing/2014/main" id="{C8AFE8E3-AED1-4840-9F39-C5B4AD362895}"/>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645" name="Text Box 178" hidden="1">
          <a:extLst>
            <a:ext uri="{FF2B5EF4-FFF2-40B4-BE49-F238E27FC236}">
              <a16:creationId xmlns:a16="http://schemas.microsoft.com/office/drawing/2014/main" id="{F87EA8A9-9BFA-429A-B156-46616E19541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120650</xdr:rowOff>
    </xdr:from>
    <xdr:to>
      <xdr:col>20</xdr:col>
      <xdr:colOff>533400</xdr:colOff>
      <xdr:row>52</xdr:row>
      <xdr:rowOff>84231</xdr:rowOff>
    </xdr:to>
    <xdr:sp macro="" textlink="">
      <xdr:nvSpPr>
        <xdr:cNvPr id="646" name="Text Box 177" hidden="1">
          <a:extLst>
            <a:ext uri="{FF2B5EF4-FFF2-40B4-BE49-F238E27FC236}">
              <a16:creationId xmlns:a16="http://schemas.microsoft.com/office/drawing/2014/main" id="{5AF2E6A2-0EEB-4680-831B-0E3F665B1D7A}"/>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31</xdr:row>
      <xdr:rowOff>292100</xdr:rowOff>
    </xdr:from>
    <xdr:to>
      <xdr:col>20</xdr:col>
      <xdr:colOff>533400</xdr:colOff>
      <xdr:row>50</xdr:row>
      <xdr:rowOff>74706</xdr:rowOff>
    </xdr:to>
    <xdr:sp macro="" textlink="">
      <xdr:nvSpPr>
        <xdr:cNvPr id="647" name="Text Box 176" hidden="1">
          <a:extLst>
            <a:ext uri="{FF2B5EF4-FFF2-40B4-BE49-F238E27FC236}">
              <a16:creationId xmlns:a16="http://schemas.microsoft.com/office/drawing/2014/main" id="{E1C0E8D0-F506-438F-AB3C-F0ACA33184C7}"/>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46</xdr:row>
      <xdr:rowOff>120650</xdr:rowOff>
    </xdr:to>
    <xdr:sp macro="" textlink="">
      <xdr:nvSpPr>
        <xdr:cNvPr id="648" name="Text Box 175" hidden="1">
          <a:extLst>
            <a:ext uri="{FF2B5EF4-FFF2-40B4-BE49-F238E27FC236}">
              <a16:creationId xmlns:a16="http://schemas.microsoft.com/office/drawing/2014/main" id="{06835A44-A517-46A7-AE92-1CE7C9C16D1B}"/>
            </a:ext>
          </a:extLst>
        </xdr:cNvPr>
        <xdr:cNvSpPr txBox="1">
          <a:spLocks noChangeArrowheads="1"/>
        </xdr:cNvSpPr>
      </xdr:nvSpPr>
      <xdr:spPr bwMode="auto">
        <a:xfrm>
          <a:off x="18135600" y="5334000"/>
          <a:ext cx="434340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7</xdr:col>
      <xdr:colOff>1727</xdr:colOff>
      <xdr:row>51</xdr:row>
      <xdr:rowOff>53975</xdr:rowOff>
    </xdr:to>
    <xdr:sp macro="" textlink="">
      <xdr:nvSpPr>
        <xdr:cNvPr id="649" name="Text Box 174" hidden="1">
          <a:extLst>
            <a:ext uri="{FF2B5EF4-FFF2-40B4-BE49-F238E27FC236}">
              <a16:creationId xmlns:a16="http://schemas.microsoft.com/office/drawing/2014/main" id="{E58D3F62-E823-45B9-B5D9-0382F0187A63}"/>
            </a:ext>
          </a:extLst>
        </xdr:cNvPr>
        <xdr:cNvSpPr txBox="1">
          <a:spLocks noChangeArrowheads="1"/>
        </xdr:cNvSpPr>
      </xdr:nvSpPr>
      <xdr:spPr bwMode="auto">
        <a:xfrm>
          <a:off x="4229100" y="7543800"/>
          <a:ext cx="5373827"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7</xdr:col>
      <xdr:colOff>1727</xdr:colOff>
      <xdr:row>179</xdr:row>
      <xdr:rowOff>6488</xdr:rowOff>
    </xdr:to>
    <xdr:sp macro="" textlink="">
      <xdr:nvSpPr>
        <xdr:cNvPr id="650" name="Text Box 173" hidden="1">
          <a:extLst>
            <a:ext uri="{FF2B5EF4-FFF2-40B4-BE49-F238E27FC236}">
              <a16:creationId xmlns:a16="http://schemas.microsoft.com/office/drawing/2014/main" id="{F79F08F4-361E-4A06-8EC9-EC063F64705D}"/>
            </a:ext>
          </a:extLst>
        </xdr:cNvPr>
        <xdr:cNvSpPr txBox="1">
          <a:spLocks noChangeArrowheads="1"/>
        </xdr:cNvSpPr>
      </xdr:nvSpPr>
      <xdr:spPr bwMode="auto">
        <a:xfrm>
          <a:off x="4229100" y="36803902"/>
          <a:ext cx="5373827"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78027</xdr:rowOff>
    </xdr:from>
    <xdr:to>
      <xdr:col>24</xdr:col>
      <xdr:colOff>647700</xdr:colOff>
      <xdr:row>83</xdr:row>
      <xdr:rowOff>288202</xdr:rowOff>
    </xdr:to>
    <xdr:sp macro="" textlink="">
      <xdr:nvSpPr>
        <xdr:cNvPr id="651" name="Text Box 172" hidden="1">
          <a:extLst>
            <a:ext uri="{FF2B5EF4-FFF2-40B4-BE49-F238E27FC236}">
              <a16:creationId xmlns:a16="http://schemas.microsoft.com/office/drawing/2014/main" id="{0604FC58-5479-4069-B21F-53E4F39AFF23}"/>
            </a:ext>
          </a:extLst>
        </xdr:cNvPr>
        <xdr:cNvSpPr txBox="1">
          <a:spLocks noChangeArrowheads="1"/>
        </xdr:cNvSpPr>
      </xdr:nvSpPr>
      <xdr:spPr bwMode="auto">
        <a:xfrm>
          <a:off x="18935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78027</xdr:rowOff>
    </xdr:from>
    <xdr:to>
      <xdr:col>28</xdr:col>
      <xdr:colOff>647700</xdr:colOff>
      <xdr:row>83</xdr:row>
      <xdr:rowOff>288202</xdr:rowOff>
    </xdr:to>
    <xdr:sp macro="" textlink="">
      <xdr:nvSpPr>
        <xdr:cNvPr id="652" name="Text Box 171" hidden="1">
          <a:extLst>
            <a:ext uri="{FF2B5EF4-FFF2-40B4-BE49-F238E27FC236}">
              <a16:creationId xmlns:a16="http://schemas.microsoft.com/office/drawing/2014/main" id="{9F2BE1B0-A783-4299-9063-9C8CD52DDF58}"/>
            </a:ext>
          </a:extLst>
        </xdr:cNvPr>
        <xdr:cNvSpPr txBox="1">
          <a:spLocks noChangeArrowheads="1"/>
        </xdr:cNvSpPr>
      </xdr:nvSpPr>
      <xdr:spPr bwMode="auto">
        <a:xfrm>
          <a:off x="21983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78027</xdr:rowOff>
    </xdr:from>
    <xdr:to>
      <xdr:col>32</xdr:col>
      <xdr:colOff>647700</xdr:colOff>
      <xdr:row>83</xdr:row>
      <xdr:rowOff>288202</xdr:rowOff>
    </xdr:to>
    <xdr:sp macro="" textlink="">
      <xdr:nvSpPr>
        <xdr:cNvPr id="653" name="Text Box 170" hidden="1">
          <a:extLst>
            <a:ext uri="{FF2B5EF4-FFF2-40B4-BE49-F238E27FC236}">
              <a16:creationId xmlns:a16="http://schemas.microsoft.com/office/drawing/2014/main" id="{7D030273-0B78-4A23-81DD-E6966F61C7F8}"/>
            </a:ext>
          </a:extLst>
        </xdr:cNvPr>
        <xdr:cNvSpPr txBox="1">
          <a:spLocks noChangeArrowheads="1"/>
        </xdr:cNvSpPr>
      </xdr:nvSpPr>
      <xdr:spPr bwMode="auto">
        <a:xfrm>
          <a:off x="25031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33</xdr:row>
      <xdr:rowOff>190500</xdr:rowOff>
    </xdr:to>
    <xdr:sp macro="" textlink="">
      <xdr:nvSpPr>
        <xdr:cNvPr id="654" name="Text Box 169" hidden="1">
          <a:extLst>
            <a:ext uri="{FF2B5EF4-FFF2-40B4-BE49-F238E27FC236}">
              <a16:creationId xmlns:a16="http://schemas.microsoft.com/office/drawing/2014/main" id="{81EBE22A-E391-44CD-B1D2-9573E26D24F8}"/>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655" name="Text Box 168" hidden="1">
          <a:extLst>
            <a:ext uri="{FF2B5EF4-FFF2-40B4-BE49-F238E27FC236}">
              <a16:creationId xmlns:a16="http://schemas.microsoft.com/office/drawing/2014/main" id="{429002E3-6F12-44A7-8208-D8F1F36470A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30</xdr:row>
      <xdr:rowOff>295275</xdr:rowOff>
    </xdr:from>
    <xdr:to>
      <xdr:col>28</xdr:col>
      <xdr:colOff>647700</xdr:colOff>
      <xdr:row>48</xdr:row>
      <xdr:rowOff>95250</xdr:rowOff>
    </xdr:to>
    <xdr:sp macro="" textlink="">
      <xdr:nvSpPr>
        <xdr:cNvPr id="656" name="Text Box 167" hidden="1">
          <a:extLst>
            <a:ext uri="{FF2B5EF4-FFF2-40B4-BE49-F238E27FC236}">
              <a16:creationId xmlns:a16="http://schemas.microsoft.com/office/drawing/2014/main" id="{4EC179F5-1AB7-486A-802D-CF617229C782}"/>
            </a:ext>
          </a:extLst>
        </xdr:cNvPr>
        <xdr:cNvSpPr txBox="1">
          <a:spLocks noChangeArrowheads="1"/>
        </xdr:cNvSpPr>
      </xdr:nvSpPr>
      <xdr:spPr bwMode="auto">
        <a:xfrm>
          <a:off x="21971000" y="6588125"/>
          <a:ext cx="4356100" cy="5057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39512</xdr:rowOff>
    </xdr:to>
    <xdr:sp macro="" textlink="">
      <xdr:nvSpPr>
        <xdr:cNvPr id="657" name="Text Box 166" hidden="1">
          <a:extLst>
            <a:ext uri="{FF2B5EF4-FFF2-40B4-BE49-F238E27FC236}">
              <a16:creationId xmlns:a16="http://schemas.microsoft.com/office/drawing/2014/main" id="{39A9158E-B067-4946-A594-77DAB5F50AF3}"/>
            </a:ext>
          </a:extLst>
        </xdr:cNvPr>
        <xdr:cNvSpPr txBox="1">
          <a:spLocks noChangeArrowheads="1"/>
        </xdr:cNvSpPr>
      </xdr:nvSpPr>
      <xdr:spPr bwMode="auto">
        <a:xfrm>
          <a:off x="22002750" y="10553700"/>
          <a:ext cx="3733800" cy="53925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658" name="Text Box 165" hidden="1">
          <a:extLst>
            <a:ext uri="{FF2B5EF4-FFF2-40B4-BE49-F238E27FC236}">
              <a16:creationId xmlns:a16="http://schemas.microsoft.com/office/drawing/2014/main" id="{6FA02684-367D-4131-AC58-CC6CBBBA9A08}"/>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39</xdr:row>
      <xdr:rowOff>82550</xdr:rowOff>
    </xdr:to>
    <xdr:sp macro="" textlink="">
      <xdr:nvSpPr>
        <xdr:cNvPr id="659" name="Text Box 164" hidden="1">
          <a:extLst>
            <a:ext uri="{FF2B5EF4-FFF2-40B4-BE49-F238E27FC236}">
              <a16:creationId xmlns:a16="http://schemas.microsoft.com/office/drawing/2014/main" id="{BF0896BD-8AF1-4E7A-B54F-A02D7327CF65}"/>
            </a:ext>
          </a:extLst>
        </xdr:cNvPr>
        <xdr:cNvSpPr txBox="1">
          <a:spLocks noChangeArrowheads="1"/>
        </xdr:cNvSpPr>
      </xdr:nvSpPr>
      <xdr:spPr bwMode="auto">
        <a:xfrm>
          <a:off x="29641800" y="3819525"/>
          <a:ext cx="3733800" cy="579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61</xdr:row>
      <xdr:rowOff>113926</xdr:rowOff>
    </xdr:from>
    <xdr:to>
      <xdr:col>36</xdr:col>
      <xdr:colOff>673100</xdr:colOff>
      <xdr:row>81</xdr:row>
      <xdr:rowOff>54876</xdr:rowOff>
    </xdr:to>
    <xdr:sp macro="" textlink="">
      <xdr:nvSpPr>
        <xdr:cNvPr id="660" name="Text Box 163" hidden="1">
          <a:extLst>
            <a:ext uri="{FF2B5EF4-FFF2-40B4-BE49-F238E27FC236}">
              <a16:creationId xmlns:a16="http://schemas.microsoft.com/office/drawing/2014/main" id="{19AE059A-9467-457B-A5FC-D15C868EF5F4}"/>
            </a:ext>
          </a:extLst>
        </xdr:cNvPr>
        <xdr:cNvSpPr txBox="1">
          <a:spLocks noChangeArrowheads="1"/>
        </xdr:cNvSpPr>
      </xdr:nvSpPr>
      <xdr:spPr bwMode="auto">
        <a:xfrm>
          <a:off x="2806700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661" name="Text Box 34" hidden="1">
          <a:extLst>
            <a:ext uri="{FF2B5EF4-FFF2-40B4-BE49-F238E27FC236}">
              <a16:creationId xmlns:a16="http://schemas.microsoft.com/office/drawing/2014/main" id="{C94A69BD-ECEC-41AC-9A10-7609D8A36AF1}"/>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662" name="Text Box 33" hidden="1">
          <a:extLst>
            <a:ext uri="{FF2B5EF4-FFF2-40B4-BE49-F238E27FC236}">
              <a16:creationId xmlns:a16="http://schemas.microsoft.com/office/drawing/2014/main" id="{DD53741E-13D9-42C7-AB4D-42C88AE8C5D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120650</xdr:rowOff>
    </xdr:from>
    <xdr:to>
      <xdr:col>20</xdr:col>
      <xdr:colOff>533400</xdr:colOff>
      <xdr:row>52</xdr:row>
      <xdr:rowOff>84231</xdr:rowOff>
    </xdr:to>
    <xdr:sp macro="" textlink="">
      <xdr:nvSpPr>
        <xdr:cNvPr id="663" name="Text Box 32" hidden="1">
          <a:extLst>
            <a:ext uri="{FF2B5EF4-FFF2-40B4-BE49-F238E27FC236}">
              <a16:creationId xmlns:a16="http://schemas.microsoft.com/office/drawing/2014/main" id="{2E5B30E1-45DD-426C-8997-4E41D90E2036}"/>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31</xdr:row>
      <xdr:rowOff>292100</xdr:rowOff>
    </xdr:from>
    <xdr:to>
      <xdr:col>20</xdr:col>
      <xdr:colOff>533400</xdr:colOff>
      <xdr:row>50</xdr:row>
      <xdr:rowOff>74706</xdr:rowOff>
    </xdr:to>
    <xdr:sp macro="" textlink="">
      <xdr:nvSpPr>
        <xdr:cNvPr id="664" name="Text Box 31" hidden="1">
          <a:extLst>
            <a:ext uri="{FF2B5EF4-FFF2-40B4-BE49-F238E27FC236}">
              <a16:creationId xmlns:a16="http://schemas.microsoft.com/office/drawing/2014/main" id="{F37552BA-827F-410E-9C01-688BB63DFEAD}"/>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665" name="Text Box 30" hidden="1">
          <a:extLst>
            <a:ext uri="{FF2B5EF4-FFF2-40B4-BE49-F238E27FC236}">
              <a16:creationId xmlns:a16="http://schemas.microsoft.com/office/drawing/2014/main" id="{A1D1B598-DC01-4C08-9658-0EC519B5740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666" name="Text Box 29" hidden="1">
          <a:extLst>
            <a:ext uri="{FF2B5EF4-FFF2-40B4-BE49-F238E27FC236}">
              <a16:creationId xmlns:a16="http://schemas.microsoft.com/office/drawing/2014/main" id="{B4AA214D-8C6C-479F-BDE2-A249178C4421}"/>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6</xdr:col>
      <xdr:colOff>0</xdr:colOff>
      <xdr:row>179</xdr:row>
      <xdr:rowOff>6488</xdr:rowOff>
    </xdr:to>
    <xdr:sp macro="" textlink="">
      <xdr:nvSpPr>
        <xdr:cNvPr id="667" name="Text Box 28" hidden="1">
          <a:extLst>
            <a:ext uri="{FF2B5EF4-FFF2-40B4-BE49-F238E27FC236}">
              <a16:creationId xmlns:a16="http://schemas.microsoft.com/office/drawing/2014/main" id="{6067E3EC-0283-4FA9-B68F-8268385C3DCB}"/>
            </a:ext>
          </a:extLst>
        </xdr:cNvPr>
        <xdr:cNvSpPr txBox="1">
          <a:spLocks noChangeArrowheads="1"/>
        </xdr:cNvSpPr>
      </xdr:nvSpPr>
      <xdr:spPr bwMode="auto">
        <a:xfrm>
          <a:off x="4229100" y="36803902"/>
          <a:ext cx="4638675"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668" name="Text Box 27" hidden="1">
          <a:extLst>
            <a:ext uri="{FF2B5EF4-FFF2-40B4-BE49-F238E27FC236}">
              <a16:creationId xmlns:a16="http://schemas.microsoft.com/office/drawing/2014/main" id="{072D2113-417D-4F0D-8716-F5486DE55EA2}"/>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669" name="Text Box 26" hidden="1">
          <a:extLst>
            <a:ext uri="{FF2B5EF4-FFF2-40B4-BE49-F238E27FC236}">
              <a16:creationId xmlns:a16="http://schemas.microsoft.com/office/drawing/2014/main" id="{3FE0F50B-CBD5-4600-954F-005D05108F74}"/>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670" name="Text Box 25" hidden="1">
          <a:extLst>
            <a:ext uri="{FF2B5EF4-FFF2-40B4-BE49-F238E27FC236}">
              <a16:creationId xmlns:a16="http://schemas.microsoft.com/office/drawing/2014/main" id="{BF98558E-DDBD-4909-96D8-6820AB0294F9}"/>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33</xdr:row>
      <xdr:rowOff>190500</xdr:rowOff>
    </xdr:to>
    <xdr:sp macro="" textlink="">
      <xdr:nvSpPr>
        <xdr:cNvPr id="671" name="Text Box 24" hidden="1">
          <a:extLst>
            <a:ext uri="{FF2B5EF4-FFF2-40B4-BE49-F238E27FC236}">
              <a16:creationId xmlns:a16="http://schemas.microsoft.com/office/drawing/2014/main" id="{BBDF5CF3-D604-430A-98A6-EEA582DFD893}"/>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672" name="Text Box 23" hidden="1">
          <a:extLst>
            <a:ext uri="{FF2B5EF4-FFF2-40B4-BE49-F238E27FC236}">
              <a16:creationId xmlns:a16="http://schemas.microsoft.com/office/drawing/2014/main" id="{2E838005-2359-485E-BF59-7DEA40DFD9C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673" name="Text Box 22" hidden="1">
          <a:extLst>
            <a:ext uri="{FF2B5EF4-FFF2-40B4-BE49-F238E27FC236}">
              <a16:creationId xmlns:a16="http://schemas.microsoft.com/office/drawing/2014/main" id="{45192352-5CEE-4637-8A66-9285973CE30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674" name="Text Box 21" hidden="1">
          <a:extLst>
            <a:ext uri="{FF2B5EF4-FFF2-40B4-BE49-F238E27FC236}">
              <a16:creationId xmlns:a16="http://schemas.microsoft.com/office/drawing/2014/main" id="{11646A8C-B6D1-4E37-8D21-39A46BAC6FD1}"/>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675" name="Text Box 20" hidden="1">
          <a:extLst>
            <a:ext uri="{FF2B5EF4-FFF2-40B4-BE49-F238E27FC236}">
              <a16:creationId xmlns:a16="http://schemas.microsoft.com/office/drawing/2014/main" id="{8391808C-2764-4104-AEA8-4CD8A2523961}"/>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676" name="Text Box 19" hidden="1">
          <a:extLst>
            <a:ext uri="{FF2B5EF4-FFF2-40B4-BE49-F238E27FC236}">
              <a16:creationId xmlns:a16="http://schemas.microsoft.com/office/drawing/2014/main" id="{D6A2EA78-B3F7-40D3-BADD-9CD1DAC6D88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36</xdr:col>
      <xdr:colOff>666750</xdr:colOff>
      <xdr:row>81</xdr:row>
      <xdr:rowOff>54876</xdr:rowOff>
    </xdr:to>
    <xdr:sp macro="" textlink="">
      <xdr:nvSpPr>
        <xdr:cNvPr id="677" name="Text Box 18" hidden="1">
          <a:extLst>
            <a:ext uri="{FF2B5EF4-FFF2-40B4-BE49-F238E27FC236}">
              <a16:creationId xmlns:a16="http://schemas.microsoft.com/office/drawing/2014/main" id="{54D86B47-B388-41E3-98C9-B4FEC75EB755}"/>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87102FDC-D256-4C87-B969-6F22CCA321B5}"/>
            </a:ext>
          </a:extLst>
        </xdr:cNvPr>
        <xdr:cNvSpPr/>
      </xdr:nvSpPr>
      <xdr:spPr>
        <a:xfrm>
          <a:off x="44450" y="44450"/>
          <a:ext cx="662641" cy="28164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679" name="Text Box 51" hidden="1">
          <a:extLst>
            <a:ext uri="{FF2B5EF4-FFF2-40B4-BE49-F238E27FC236}">
              <a16:creationId xmlns:a16="http://schemas.microsoft.com/office/drawing/2014/main" id="{89582360-36CB-4249-A6D4-C33C4BD785B7}"/>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680" name="Text Box 50" hidden="1">
          <a:extLst>
            <a:ext uri="{FF2B5EF4-FFF2-40B4-BE49-F238E27FC236}">
              <a16:creationId xmlns:a16="http://schemas.microsoft.com/office/drawing/2014/main" id="{2B13E61D-0080-4FC6-83AB-9B9748EF373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52</xdr:row>
      <xdr:rowOff>84231</xdr:rowOff>
    </xdr:to>
    <xdr:sp macro="" textlink="">
      <xdr:nvSpPr>
        <xdr:cNvPr id="681" name="Text Box 49" hidden="1">
          <a:extLst>
            <a:ext uri="{FF2B5EF4-FFF2-40B4-BE49-F238E27FC236}">
              <a16:creationId xmlns:a16="http://schemas.microsoft.com/office/drawing/2014/main" id="{454F5CF3-68FC-443E-BED2-590D676E7956}"/>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50</xdr:row>
      <xdr:rowOff>74706</xdr:rowOff>
    </xdr:to>
    <xdr:sp macro="" textlink="">
      <xdr:nvSpPr>
        <xdr:cNvPr id="682" name="Text Box 48" hidden="1">
          <a:extLst>
            <a:ext uri="{FF2B5EF4-FFF2-40B4-BE49-F238E27FC236}">
              <a16:creationId xmlns:a16="http://schemas.microsoft.com/office/drawing/2014/main" id="{68B5E6D2-C905-4C02-88F0-EFB2EE4BE55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683" name="Text Box 47" hidden="1">
          <a:extLst>
            <a:ext uri="{FF2B5EF4-FFF2-40B4-BE49-F238E27FC236}">
              <a16:creationId xmlns:a16="http://schemas.microsoft.com/office/drawing/2014/main" id="{5293994D-3276-462B-9DF6-D5D99492EE8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684" name="Text Box 46" hidden="1">
          <a:extLst>
            <a:ext uri="{FF2B5EF4-FFF2-40B4-BE49-F238E27FC236}">
              <a16:creationId xmlns:a16="http://schemas.microsoft.com/office/drawing/2014/main" id="{AC374999-4931-46FB-A409-2228B6345629}"/>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685" name="Text Box 45" hidden="1">
          <a:extLst>
            <a:ext uri="{FF2B5EF4-FFF2-40B4-BE49-F238E27FC236}">
              <a16:creationId xmlns:a16="http://schemas.microsoft.com/office/drawing/2014/main" id="{77D2E7A4-6C26-498D-9B10-5E5A1FD6B361}"/>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686" name="Text Box 44" hidden="1">
          <a:extLst>
            <a:ext uri="{FF2B5EF4-FFF2-40B4-BE49-F238E27FC236}">
              <a16:creationId xmlns:a16="http://schemas.microsoft.com/office/drawing/2014/main" id="{F7A523FA-6F38-4989-99E8-ACCCC7D12ACB}"/>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687" name="Text Box 43" hidden="1">
          <a:extLst>
            <a:ext uri="{FF2B5EF4-FFF2-40B4-BE49-F238E27FC236}">
              <a16:creationId xmlns:a16="http://schemas.microsoft.com/office/drawing/2014/main" id="{28A8ACD3-BD47-4624-9632-B7BF105F9106}"/>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688" name="Text Box 42" hidden="1">
          <a:extLst>
            <a:ext uri="{FF2B5EF4-FFF2-40B4-BE49-F238E27FC236}">
              <a16:creationId xmlns:a16="http://schemas.microsoft.com/office/drawing/2014/main" id="{9444B46E-792D-4F6F-8575-5E24B91EB125}"/>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689" name="Text Box 41" hidden="1">
          <a:extLst>
            <a:ext uri="{FF2B5EF4-FFF2-40B4-BE49-F238E27FC236}">
              <a16:creationId xmlns:a16="http://schemas.microsoft.com/office/drawing/2014/main" id="{AC6B3F9C-7F8B-46A5-B1DB-80D6031E9D50}"/>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690" name="Text Box 40" hidden="1">
          <a:extLst>
            <a:ext uri="{FF2B5EF4-FFF2-40B4-BE49-F238E27FC236}">
              <a16:creationId xmlns:a16="http://schemas.microsoft.com/office/drawing/2014/main" id="{212F0A2D-C293-404C-8F06-A02AD54ED9A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691" name="Text Box 39" hidden="1">
          <a:extLst>
            <a:ext uri="{FF2B5EF4-FFF2-40B4-BE49-F238E27FC236}">
              <a16:creationId xmlns:a16="http://schemas.microsoft.com/office/drawing/2014/main" id="{BF4EDD02-3BAC-4365-8F99-0A599D69948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692" name="Text Box 38" hidden="1">
          <a:extLst>
            <a:ext uri="{FF2B5EF4-FFF2-40B4-BE49-F238E27FC236}">
              <a16:creationId xmlns:a16="http://schemas.microsoft.com/office/drawing/2014/main" id="{91FEE015-9ECB-4676-BA25-C5518F535942}"/>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693" name="Text Box 37" hidden="1">
          <a:extLst>
            <a:ext uri="{FF2B5EF4-FFF2-40B4-BE49-F238E27FC236}">
              <a16:creationId xmlns:a16="http://schemas.microsoft.com/office/drawing/2014/main" id="{E36A37F5-121B-404F-83E1-45BE6F8D109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694" name="Text Box 36" hidden="1">
          <a:extLst>
            <a:ext uri="{FF2B5EF4-FFF2-40B4-BE49-F238E27FC236}">
              <a16:creationId xmlns:a16="http://schemas.microsoft.com/office/drawing/2014/main" id="{6F917FCC-6191-47E9-AB2D-9A1F71793B56}"/>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695" name="Text Box 67" hidden="1">
          <a:extLst>
            <a:ext uri="{FF2B5EF4-FFF2-40B4-BE49-F238E27FC236}">
              <a16:creationId xmlns:a16="http://schemas.microsoft.com/office/drawing/2014/main" id="{1047EF68-4F6A-4597-9BDA-437A65F32F74}"/>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696" name="Text Box 66" hidden="1">
          <a:extLst>
            <a:ext uri="{FF2B5EF4-FFF2-40B4-BE49-F238E27FC236}">
              <a16:creationId xmlns:a16="http://schemas.microsoft.com/office/drawing/2014/main" id="{A2F108A7-9E8D-4A52-8B76-4E7C4082EB9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52</xdr:row>
      <xdr:rowOff>84231</xdr:rowOff>
    </xdr:to>
    <xdr:sp macro="" textlink="">
      <xdr:nvSpPr>
        <xdr:cNvPr id="697" name="Text Box 65" hidden="1">
          <a:extLst>
            <a:ext uri="{FF2B5EF4-FFF2-40B4-BE49-F238E27FC236}">
              <a16:creationId xmlns:a16="http://schemas.microsoft.com/office/drawing/2014/main" id="{D31845E0-D3C5-4DCD-87E3-5867DB0E236D}"/>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50</xdr:row>
      <xdr:rowOff>74706</xdr:rowOff>
    </xdr:to>
    <xdr:sp macro="" textlink="">
      <xdr:nvSpPr>
        <xdr:cNvPr id="698" name="Text Box 64" hidden="1">
          <a:extLst>
            <a:ext uri="{FF2B5EF4-FFF2-40B4-BE49-F238E27FC236}">
              <a16:creationId xmlns:a16="http://schemas.microsoft.com/office/drawing/2014/main" id="{E9BA1E09-5FB5-4B8B-BFBC-3149D341C41F}"/>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699" name="Text Box 63" hidden="1">
          <a:extLst>
            <a:ext uri="{FF2B5EF4-FFF2-40B4-BE49-F238E27FC236}">
              <a16:creationId xmlns:a16="http://schemas.microsoft.com/office/drawing/2014/main" id="{266885C1-E0E2-45A7-9E7B-54EBE52F5C7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700" name="Text Box 62" hidden="1">
          <a:extLst>
            <a:ext uri="{FF2B5EF4-FFF2-40B4-BE49-F238E27FC236}">
              <a16:creationId xmlns:a16="http://schemas.microsoft.com/office/drawing/2014/main" id="{BAE2BAF6-91F9-4B27-806B-7FE41ECABD1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01" name="Text Box 61" hidden="1">
          <a:extLst>
            <a:ext uri="{FF2B5EF4-FFF2-40B4-BE49-F238E27FC236}">
              <a16:creationId xmlns:a16="http://schemas.microsoft.com/office/drawing/2014/main" id="{FA11D278-E03E-4E98-A457-FE3553513A2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702" name="Text Box 60" hidden="1">
          <a:extLst>
            <a:ext uri="{FF2B5EF4-FFF2-40B4-BE49-F238E27FC236}">
              <a16:creationId xmlns:a16="http://schemas.microsoft.com/office/drawing/2014/main" id="{2C0A79AF-DE94-4AEA-845D-A6CAF44057B0}"/>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703" name="Text Box 59" hidden="1">
          <a:extLst>
            <a:ext uri="{FF2B5EF4-FFF2-40B4-BE49-F238E27FC236}">
              <a16:creationId xmlns:a16="http://schemas.microsoft.com/office/drawing/2014/main" id="{7032F28D-10C3-4B03-A7D3-8806EEC0C2E8}"/>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704" name="Text Box 58" hidden="1">
          <a:extLst>
            <a:ext uri="{FF2B5EF4-FFF2-40B4-BE49-F238E27FC236}">
              <a16:creationId xmlns:a16="http://schemas.microsoft.com/office/drawing/2014/main" id="{677BC726-7678-479B-94BA-289A6D5F91C3}"/>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05" name="Text Box 57" hidden="1">
          <a:extLst>
            <a:ext uri="{FF2B5EF4-FFF2-40B4-BE49-F238E27FC236}">
              <a16:creationId xmlns:a16="http://schemas.microsoft.com/office/drawing/2014/main" id="{83B4E2A8-5942-4354-A02A-D6FF019301E7}"/>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706" name="Text Box 56" hidden="1">
          <a:extLst>
            <a:ext uri="{FF2B5EF4-FFF2-40B4-BE49-F238E27FC236}">
              <a16:creationId xmlns:a16="http://schemas.microsoft.com/office/drawing/2014/main" id="{075AF24B-E8C3-4571-86AD-584E4D3968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707" name="Text Box 55" hidden="1">
          <a:extLst>
            <a:ext uri="{FF2B5EF4-FFF2-40B4-BE49-F238E27FC236}">
              <a16:creationId xmlns:a16="http://schemas.microsoft.com/office/drawing/2014/main" id="{8F9CF01C-9C7B-4FBD-ACA7-4EBD3DDB567F}"/>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708" name="Text Box 54" hidden="1">
          <a:extLst>
            <a:ext uri="{FF2B5EF4-FFF2-40B4-BE49-F238E27FC236}">
              <a16:creationId xmlns:a16="http://schemas.microsoft.com/office/drawing/2014/main" id="{85B612A1-6B65-48B7-A8B4-D65D90C4321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709" name="Text Box 53" hidden="1">
          <a:extLst>
            <a:ext uri="{FF2B5EF4-FFF2-40B4-BE49-F238E27FC236}">
              <a16:creationId xmlns:a16="http://schemas.microsoft.com/office/drawing/2014/main" id="{EDFB70A8-D95F-4AD5-8BB7-A042D5646FA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710" name="Text Box 52" hidden="1">
          <a:extLst>
            <a:ext uri="{FF2B5EF4-FFF2-40B4-BE49-F238E27FC236}">
              <a16:creationId xmlns:a16="http://schemas.microsoft.com/office/drawing/2014/main" id="{7FD31192-8E0A-4CA4-AFA3-A74AE316E022}"/>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711" name="Text Box 99" hidden="1">
          <a:extLst>
            <a:ext uri="{FF2B5EF4-FFF2-40B4-BE49-F238E27FC236}">
              <a16:creationId xmlns:a16="http://schemas.microsoft.com/office/drawing/2014/main" id="{DDF78FAA-DD2A-47F6-9ED7-642B5EF78084}"/>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712" name="Text Box 98" hidden="1">
          <a:extLst>
            <a:ext uri="{FF2B5EF4-FFF2-40B4-BE49-F238E27FC236}">
              <a16:creationId xmlns:a16="http://schemas.microsoft.com/office/drawing/2014/main" id="{C3FA7BD5-3EE8-49B7-B5E2-44C89185B589}"/>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52</xdr:row>
      <xdr:rowOff>84231</xdr:rowOff>
    </xdr:to>
    <xdr:sp macro="" textlink="">
      <xdr:nvSpPr>
        <xdr:cNvPr id="713" name="Text Box 97" hidden="1">
          <a:extLst>
            <a:ext uri="{FF2B5EF4-FFF2-40B4-BE49-F238E27FC236}">
              <a16:creationId xmlns:a16="http://schemas.microsoft.com/office/drawing/2014/main" id="{579B40C2-AD14-4DA7-BCBE-E760C3180745}"/>
            </a:ext>
          </a:extLst>
        </xdr:cNvPr>
        <xdr:cNvSpPr txBox="1">
          <a:spLocks noChangeArrowheads="1"/>
        </xdr:cNvSpPr>
      </xdr:nvSpPr>
      <xdr:spPr bwMode="auto">
        <a:xfrm>
          <a:off x="16497300" y="7543800"/>
          <a:ext cx="36195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50</xdr:row>
      <xdr:rowOff>74706</xdr:rowOff>
    </xdr:to>
    <xdr:sp macro="" textlink="">
      <xdr:nvSpPr>
        <xdr:cNvPr id="714" name="Text Box 96" hidden="1">
          <a:extLst>
            <a:ext uri="{FF2B5EF4-FFF2-40B4-BE49-F238E27FC236}">
              <a16:creationId xmlns:a16="http://schemas.microsoft.com/office/drawing/2014/main" id="{9B2CC404-0722-47A2-9615-DFBF52A8E7F9}"/>
            </a:ext>
          </a:extLst>
        </xdr:cNvPr>
        <xdr:cNvSpPr txBox="1">
          <a:spLocks noChangeArrowheads="1"/>
        </xdr:cNvSpPr>
      </xdr:nvSpPr>
      <xdr:spPr bwMode="auto">
        <a:xfrm>
          <a:off x="16497300" y="7153275"/>
          <a:ext cx="36195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715" name="Text Box 95" hidden="1">
          <a:extLst>
            <a:ext uri="{FF2B5EF4-FFF2-40B4-BE49-F238E27FC236}">
              <a16:creationId xmlns:a16="http://schemas.microsoft.com/office/drawing/2014/main" id="{988E9527-3779-4B8D-B408-6DEE3B84E851}"/>
            </a:ext>
          </a:extLst>
        </xdr:cNvPr>
        <xdr:cNvSpPr txBox="1">
          <a:spLocks noChangeArrowheads="1"/>
        </xdr:cNvSpPr>
      </xdr:nvSpPr>
      <xdr:spPr bwMode="auto">
        <a:xfrm>
          <a:off x="18135600" y="5334000"/>
          <a:ext cx="43434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716" name="Text Box 94" hidden="1">
          <a:extLst>
            <a:ext uri="{FF2B5EF4-FFF2-40B4-BE49-F238E27FC236}">
              <a16:creationId xmlns:a16="http://schemas.microsoft.com/office/drawing/2014/main" id="{5E8C88AB-CBA7-4277-BDBC-38399095B99B}"/>
            </a:ext>
          </a:extLst>
        </xdr:cNvPr>
        <xdr:cNvSpPr txBox="1">
          <a:spLocks noChangeArrowheads="1"/>
        </xdr:cNvSpPr>
      </xdr:nvSpPr>
      <xdr:spPr bwMode="auto">
        <a:xfrm>
          <a:off x="4229100" y="7543800"/>
          <a:ext cx="4638675"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17" name="Text Box 93" hidden="1">
          <a:extLst>
            <a:ext uri="{FF2B5EF4-FFF2-40B4-BE49-F238E27FC236}">
              <a16:creationId xmlns:a16="http://schemas.microsoft.com/office/drawing/2014/main" id="{12789885-ABB6-4585-AA9A-ABD6FC121568}"/>
            </a:ext>
          </a:extLst>
        </xdr:cNvPr>
        <xdr:cNvSpPr txBox="1">
          <a:spLocks noChangeArrowheads="1"/>
        </xdr:cNvSpPr>
      </xdr:nvSpPr>
      <xdr:spPr bwMode="auto">
        <a:xfrm>
          <a:off x="4229100" y="37071439"/>
          <a:ext cx="4638675" cy="3675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718" name="Text Box 92" hidden="1">
          <a:extLst>
            <a:ext uri="{FF2B5EF4-FFF2-40B4-BE49-F238E27FC236}">
              <a16:creationId xmlns:a16="http://schemas.microsoft.com/office/drawing/2014/main" id="{A5F995C7-E69D-4DC9-B8AB-0F4F7AD6C0E6}"/>
            </a:ext>
          </a:extLst>
        </xdr:cNvPr>
        <xdr:cNvSpPr txBox="1">
          <a:spLocks noChangeArrowheads="1"/>
        </xdr:cNvSpPr>
      </xdr:nvSpPr>
      <xdr:spPr bwMode="auto">
        <a:xfrm>
          <a:off x="18935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719" name="Text Box 91" hidden="1">
          <a:extLst>
            <a:ext uri="{FF2B5EF4-FFF2-40B4-BE49-F238E27FC236}">
              <a16:creationId xmlns:a16="http://schemas.microsoft.com/office/drawing/2014/main" id="{BCD548BF-2FF6-4823-9B02-971B83BB6BDD}"/>
            </a:ext>
          </a:extLst>
        </xdr:cNvPr>
        <xdr:cNvSpPr txBox="1">
          <a:spLocks noChangeArrowheads="1"/>
        </xdr:cNvSpPr>
      </xdr:nvSpPr>
      <xdr:spPr bwMode="auto">
        <a:xfrm>
          <a:off x="21983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720" name="Text Box 90" hidden="1">
          <a:extLst>
            <a:ext uri="{FF2B5EF4-FFF2-40B4-BE49-F238E27FC236}">
              <a16:creationId xmlns:a16="http://schemas.microsoft.com/office/drawing/2014/main" id="{D9532999-547A-4687-9D0F-F0112F005E7B}"/>
            </a:ext>
          </a:extLst>
        </xdr:cNvPr>
        <xdr:cNvSpPr txBox="1">
          <a:spLocks noChangeArrowheads="1"/>
        </xdr:cNvSpPr>
      </xdr:nvSpPr>
      <xdr:spPr bwMode="auto">
        <a:xfrm>
          <a:off x="25031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21" name="Text Box 89" hidden="1">
          <a:extLst>
            <a:ext uri="{FF2B5EF4-FFF2-40B4-BE49-F238E27FC236}">
              <a16:creationId xmlns:a16="http://schemas.microsoft.com/office/drawing/2014/main" id="{AE85DFEF-D0EB-49F2-BE1D-021531F36ABB}"/>
            </a:ext>
          </a:extLst>
        </xdr:cNvPr>
        <xdr:cNvSpPr txBox="1">
          <a:spLocks noChangeArrowheads="1"/>
        </xdr:cNvSpPr>
      </xdr:nvSpPr>
      <xdr:spPr bwMode="auto">
        <a:xfrm>
          <a:off x="20497800" y="2009775"/>
          <a:ext cx="43815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722" name="Text Box 88" hidden="1">
          <a:extLst>
            <a:ext uri="{FF2B5EF4-FFF2-40B4-BE49-F238E27FC236}">
              <a16:creationId xmlns:a16="http://schemas.microsoft.com/office/drawing/2014/main" id="{D4F67B85-FE75-49E8-A822-F7BFB5881E6D}"/>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723" name="Text Box 87" hidden="1">
          <a:extLst>
            <a:ext uri="{FF2B5EF4-FFF2-40B4-BE49-F238E27FC236}">
              <a16:creationId xmlns:a16="http://schemas.microsoft.com/office/drawing/2014/main" id="{BFBF3B3B-DB62-4D9E-97E0-02D9EE2EFAD6}"/>
            </a:ext>
          </a:extLst>
        </xdr:cNvPr>
        <xdr:cNvSpPr txBox="1">
          <a:spLocks noChangeArrowheads="1"/>
        </xdr:cNvSpPr>
      </xdr:nvSpPr>
      <xdr:spPr bwMode="auto">
        <a:xfrm>
          <a:off x="21964650" y="6588125"/>
          <a:ext cx="4362450" cy="4689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724" name="Text Box 86" hidden="1">
          <a:extLst>
            <a:ext uri="{FF2B5EF4-FFF2-40B4-BE49-F238E27FC236}">
              <a16:creationId xmlns:a16="http://schemas.microsoft.com/office/drawing/2014/main" id="{A2B22267-9186-4B9D-B3FD-18559D4EAAAF}"/>
            </a:ext>
          </a:extLst>
        </xdr:cNvPr>
        <xdr:cNvSpPr txBox="1">
          <a:spLocks noChangeArrowheads="1"/>
        </xdr:cNvSpPr>
      </xdr:nvSpPr>
      <xdr:spPr bwMode="auto">
        <a:xfrm>
          <a:off x="22002750" y="10553700"/>
          <a:ext cx="3733800" cy="56505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725" name="Text Box 85" hidden="1">
          <a:extLst>
            <a:ext uri="{FF2B5EF4-FFF2-40B4-BE49-F238E27FC236}">
              <a16:creationId xmlns:a16="http://schemas.microsoft.com/office/drawing/2014/main" id="{7835C328-F297-41A3-BB02-5869381B9BF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726" name="Text Box 84" hidden="1">
          <a:extLst>
            <a:ext uri="{FF2B5EF4-FFF2-40B4-BE49-F238E27FC236}">
              <a16:creationId xmlns:a16="http://schemas.microsoft.com/office/drawing/2014/main" id="{8E2000CC-98E4-4EBC-9C3A-DA86FF09CF89}"/>
            </a:ext>
          </a:extLst>
        </xdr:cNvPr>
        <xdr:cNvSpPr txBox="1">
          <a:spLocks noChangeArrowheads="1"/>
        </xdr:cNvSpPr>
      </xdr:nvSpPr>
      <xdr:spPr bwMode="auto">
        <a:xfrm>
          <a:off x="29641800" y="3819525"/>
          <a:ext cx="3733800" cy="5610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727" name="Text Box 83" hidden="1">
          <a:extLst>
            <a:ext uri="{FF2B5EF4-FFF2-40B4-BE49-F238E27FC236}">
              <a16:creationId xmlns:a16="http://schemas.microsoft.com/office/drawing/2014/main" id="{C13FFB26-9010-477C-BCA7-2EAAE784E6FF}"/>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728" name="Text Box 82" hidden="1">
          <a:extLst>
            <a:ext uri="{FF2B5EF4-FFF2-40B4-BE49-F238E27FC236}">
              <a16:creationId xmlns:a16="http://schemas.microsoft.com/office/drawing/2014/main" id="{DEB345CF-83D7-4FD6-8862-B28DFDBB3A2A}"/>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52</xdr:row>
      <xdr:rowOff>84231</xdr:rowOff>
    </xdr:to>
    <xdr:sp macro="" textlink="">
      <xdr:nvSpPr>
        <xdr:cNvPr id="729" name="Text Box 81" hidden="1">
          <a:extLst>
            <a:ext uri="{FF2B5EF4-FFF2-40B4-BE49-F238E27FC236}">
              <a16:creationId xmlns:a16="http://schemas.microsoft.com/office/drawing/2014/main" id="{A232B056-7269-44B3-9652-A7A9257089FB}"/>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50</xdr:row>
      <xdr:rowOff>74706</xdr:rowOff>
    </xdr:to>
    <xdr:sp macro="" textlink="">
      <xdr:nvSpPr>
        <xdr:cNvPr id="730" name="Text Box 80" hidden="1">
          <a:extLst>
            <a:ext uri="{FF2B5EF4-FFF2-40B4-BE49-F238E27FC236}">
              <a16:creationId xmlns:a16="http://schemas.microsoft.com/office/drawing/2014/main" id="{88D51FBE-9E3D-4E53-B455-B5C038BBFB83}"/>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731" name="Text Box 79" hidden="1">
          <a:extLst>
            <a:ext uri="{FF2B5EF4-FFF2-40B4-BE49-F238E27FC236}">
              <a16:creationId xmlns:a16="http://schemas.microsoft.com/office/drawing/2014/main" id="{5B12CE74-2482-4B3B-B7F6-4235C14BC0B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732" name="Text Box 78" hidden="1">
          <a:extLst>
            <a:ext uri="{FF2B5EF4-FFF2-40B4-BE49-F238E27FC236}">
              <a16:creationId xmlns:a16="http://schemas.microsoft.com/office/drawing/2014/main" id="{E1BA8C32-963D-43B5-A900-86AC6BFE7E0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33" name="Text Box 77" hidden="1">
          <a:extLst>
            <a:ext uri="{FF2B5EF4-FFF2-40B4-BE49-F238E27FC236}">
              <a16:creationId xmlns:a16="http://schemas.microsoft.com/office/drawing/2014/main" id="{8FB92FB6-196D-4628-942E-F8653FF19C6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734" name="Text Box 76" hidden="1">
          <a:extLst>
            <a:ext uri="{FF2B5EF4-FFF2-40B4-BE49-F238E27FC236}">
              <a16:creationId xmlns:a16="http://schemas.microsoft.com/office/drawing/2014/main" id="{F58F6742-4E92-4A99-A64D-4BCE1C326EF3}"/>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735" name="Text Box 75" hidden="1">
          <a:extLst>
            <a:ext uri="{FF2B5EF4-FFF2-40B4-BE49-F238E27FC236}">
              <a16:creationId xmlns:a16="http://schemas.microsoft.com/office/drawing/2014/main" id="{9915DCF0-9C95-40AF-9B75-13F9F38E0AFD}"/>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736" name="Text Box 74" hidden="1">
          <a:extLst>
            <a:ext uri="{FF2B5EF4-FFF2-40B4-BE49-F238E27FC236}">
              <a16:creationId xmlns:a16="http://schemas.microsoft.com/office/drawing/2014/main" id="{519CAB4B-2E0A-4B96-BE77-334147F3398E}"/>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37" name="Text Box 73" hidden="1">
          <a:extLst>
            <a:ext uri="{FF2B5EF4-FFF2-40B4-BE49-F238E27FC236}">
              <a16:creationId xmlns:a16="http://schemas.microsoft.com/office/drawing/2014/main" id="{16314B83-D2E8-41B1-A019-C2365D98D2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738" name="Text Box 72" hidden="1">
          <a:extLst>
            <a:ext uri="{FF2B5EF4-FFF2-40B4-BE49-F238E27FC236}">
              <a16:creationId xmlns:a16="http://schemas.microsoft.com/office/drawing/2014/main" id="{2D39F56F-0C99-4B49-8DBE-6B2793B3F7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739" name="Text Box 71" hidden="1">
          <a:extLst>
            <a:ext uri="{FF2B5EF4-FFF2-40B4-BE49-F238E27FC236}">
              <a16:creationId xmlns:a16="http://schemas.microsoft.com/office/drawing/2014/main" id="{EA39203B-67FE-4D5D-B4DE-590F1EEBFB37}"/>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740" name="Text Box 70" hidden="1">
          <a:extLst>
            <a:ext uri="{FF2B5EF4-FFF2-40B4-BE49-F238E27FC236}">
              <a16:creationId xmlns:a16="http://schemas.microsoft.com/office/drawing/2014/main" id="{895F9A3A-EA59-4E3E-B3E7-7FC6022B61F8}"/>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741" name="Text Box 69" hidden="1">
          <a:extLst>
            <a:ext uri="{FF2B5EF4-FFF2-40B4-BE49-F238E27FC236}">
              <a16:creationId xmlns:a16="http://schemas.microsoft.com/office/drawing/2014/main" id="{2765D471-F90D-4B13-A9F4-6A142A5CFF3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742" name="Text Box 68" hidden="1">
          <a:extLst>
            <a:ext uri="{FF2B5EF4-FFF2-40B4-BE49-F238E27FC236}">
              <a16:creationId xmlns:a16="http://schemas.microsoft.com/office/drawing/2014/main" id="{7D0B395A-1563-4DA9-8888-7E25112073A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743" name="Text Box 115" hidden="1">
          <a:extLst>
            <a:ext uri="{FF2B5EF4-FFF2-40B4-BE49-F238E27FC236}">
              <a16:creationId xmlns:a16="http://schemas.microsoft.com/office/drawing/2014/main" id="{906DBE9E-F925-4ADA-90AC-BA5050B977CD}"/>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744" name="Text Box 114" hidden="1">
          <a:extLst>
            <a:ext uri="{FF2B5EF4-FFF2-40B4-BE49-F238E27FC236}">
              <a16:creationId xmlns:a16="http://schemas.microsoft.com/office/drawing/2014/main" id="{495C2EB8-6830-4728-8556-4F5FB4CAEED3}"/>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52</xdr:row>
      <xdr:rowOff>84231</xdr:rowOff>
    </xdr:to>
    <xdr:sp macro="" textlink="">
      <xdr:nvSpPr>
        <xdr:cNvPr id="745" name="Text Box 113" hidden="1">
          <a:extLst>
            <a:ext uri="{FF2B5EF4-FFF2-40B4-BE49-F238E27FC236}">
              <a16:creationId xmlns:a16="http://schemas.microsoft.com/office/drawing/2014/main" id="{85B5B68A-73E3-48CE-A49A-837FBD8D1409}"/>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50</xdr:row>
      <xdr:rowOff>74706</xdr:rowOff>
    </xdr:to>
    <xdr:sp macro="" textlink="">
      <xdr:nvSpPr>
        <xdr:cNvPr id="746" name="Text Box 112" hidden="1">
          <a:extLst>
            <a:ext uri="{FF2B5EF4-FFF2-40B4-BE49-F238E27FC236}">
              <a16:creationId xmlns:a16="http://schemas.microsoft.com/office/drawing/2014/main" id="{B10D7B69-F8D2-4482-A01A-494B5173133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747" name="Text Box 111" hidden="1">
          <a:extLst>
            <a:ext uri="{FF2B5EF4-FFF2-40B4-BE49-F238E27FC236}">
              <a16:creationId xmlns:a16="http://schemas.microsoft.com/office/drawing/2014/main" id="{5BF5001B-3C71-49F6-AD82-3BE997ECE51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748" name="Text Box 110" hidden="1">
          <a:extLst>
            <a:ext uri="{FF2B5EF4-FFF2-40B4-BE49-F238E27FC236}">
              <a16:creationId xmlns:a16="http://schemas.microsoft.com/office/drawing/2014/main" id="{E0E99B1B-80CD-4142-9CAE-96905C32028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49" name="Text Box 109" hidden="1">
          <a:extLst>
            <a:ext uri="{FF2B5EF4-FFF2-40B4-BE49-F238E27FC236}">
              <a16:creationId xmlns:a16="http://schemas.microsoft.com/office/drawing/2014/main" id="{43EED085-5094-4F21-A8C3-AB66AB3BEA45}"/>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750" name="Text Box 108" hidden="1">
          <a:extLst>
            <a:ext uri="{FF2B5EF4-FFF2-40B4-BE49-F238E27FC236}">
              <a16:creationId xmlns:a16="http://schemas.microsoft.com/office/drawing/2014/main" id="{4A5FE79E-90E2-47E0-9F8D-5906980078AC}"/>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751" name="Text Box 107" hidden="1">
          <a:extLst>
            <a:ext uri="{FF2B5EF4-FFF2-40B4-BE49-F238E27FC236}">
              <a16:creationId xmlns:a16="http://schemas.microsoft.com/office/drawing/2014/main" id="{6DD06C4D-0E3D-43BE-B22D-314EE02CEA0B}"/>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752" name="Text Box 106" hidden="1">
          <a:extLst>
            <a:ext uri="{FF2B5EF4-FFF2-40B4-BE49-F238E27FC236}">
              <a16:creationId xmlns:a16="http://schemas.microsoft.com/office/drawing/2014/main" id="{10DF2A46-C5E5-4E6F-ADB8-25721AB92C84}"/>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53" name="Text Box 105" hidden="1">
          <a:extLst>
            <a:ext uri="{FF2B5EF4-FFF2-40B4-BE49-F238E27FC236}">
              <a16:creationId xmlns:a16="http://schemas.microsoft.com/office/drawing/2014/main" id="{B05519F6-C523-4B2F-96F4-C495156FDC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754" name="Text Box 104" hidden="1">
          <a:extLst>
            <a:ext uri="{FF2B5EF4-FFF2-40B4-BE49-F238E27FC236}">
              <a16:creationId xmlns:a16="http://schemas.microsoft.com/office/drawing/2014/main" id="{5B912D77-6D61-49B8-B375-A3470E941E8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755" name="Text Box 103" hidden="1">
          <a:extLst>
            <a:ext uri="{FF2B5EF4-FFF2-40B4-BE49-F238E27FC236}">
              <a16:creationId xmlns:a16="http://schemas.microsoft.com/office/drawing/2014/main" id="{A7FC866D-FE5B-4009-987D-D8BB2DB6D260}"/>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756" name="Text Box 102" hidden="1">
          <a:extLst>
            <a:ext uri="{FF2B5EF4-FFF2-40B4-BE49-F238E27FC236}">
              <a16:creationId xmlns:a16="http://schemas.microsoft.com/office/drawing/2014/main" id="{A807CF7D-D39A-4B1A-B4DC-A2842751156E}"/>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757" name="Text Box 101" hidden="1">
          <a:extLst>
            <a:ext uri="{FF2B5EF4-FFF2-40B4-BE49-F238E27FC236}">
              <a16:creationId xmlns:a16="http://schemas.microsoft.com/office/drawing/2014/main" id="{8766284D-B8BF-4172-A432-65DDFB0C967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758" name="Text Box 100" hidden="1">
          <a:extLst>
            <a:ext uri="{FF2B5EF4-FFF2-40B4-BE49-F238E27FC236}">
              <a16:creationId xmlns:a16="http://schemas.microsoft.com/office/drawing/2014/main" id="{7789C1F5-80E6-4BFD-8689-7A7B4819245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759" name="Text Box 131" hidden="1">
          <a:extLst>
            <a:ext uri="{FF2B5EF4-FFF2-40B4-BE49-F238E27FC236}">
              <a16:creationId xmlns:a16="http://schemas.microsoft.com/office/drawing/2014/main" id="{36F79C40-BF6C-428D-9B41-A9B364A51A5B}"/>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760" name="Text Box 130" hidden="1">
          <a:extLst>
            <a:ext uri="{FF2B5EF4-FFF2-40B4-BE49-F238E27FC236}">
              <a16:creationId xmlns:a16="http://schemas.microsoft.com/office/drawing/2014/main" id="{1FBD4633-4E10-4EEB-80EF-7FBCAF9FBB5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52</xdr:row>
      <xdr:rowOff>84231</xdr:rowOff>
    </xdr:to>
    <xdr:sp macro="" textlink="">
      <xdr:nvSpPr>
        <xdr:cNvPr id="761" name="Text Box 129" hidden="1">
          <a:extLst>
            <a:ext uri="{FF2B5EF4-FFF2-40B4-BE49-F238E27FC236}">
              <a16:creationId xmlns:a16="http://schemas.microsoft.com/office/drawing/2014/main" id="{120A036D-DCFE-4D5A-91EC-821E9BB9EA77}"/>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50</xdr:row>
      <xdr:rowOff>74706</xdr:rowOff>
    </xdr:to>
    <xdr:sp macro="" textlink="">
      <xdr:nvSpPr>
        <xdr:cNvPr id="762" name="Text Box 128" hidden="1">
          <a:extLst>
            <a:ext uri="{FF2B5EF4-FFF2-40B4-BE49-F238E27FC236}">
              <a16:creationId xmlns:a16="http://schemas.microsoft.com/office/drawing/2014/main" id="{5C172575-F285-44E3-BFD9-6B0882115AE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763" name="Text Box 127" hidden="1">
          <a:extLst>
            <a:ext uri="{FF2B5EF4-FFF2-40B4-BE49-F238E27FC236}">
              <a16:creationId xmlns:a16="http://schemas.microsoft.com/office/drawing/2014/main" id="{BA8EC652-ABC3-49E6-916F-012397E0272E}"/>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764" name="Text Box 126" hidden="1">
          <a:extLst>
            <a:ext uri="{FF2B5EF4-FFF2-40B4-BE49-F238E27FC236}">
              <a16:creationId xmlns:a16="http://schemas.microsoft.com/office/drawing/2014/main" id="{82A2F06F-BCA3-4432-984D-615357617B9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65" name="Text Box 125" hidden="1">
          <a:extLst>
            <a:ext uri="{FF2B5EF4-FFF2-40B4-BE49-F238E27FC236}">
              <a16:creationId xmlns:a16="http://schemas.microsoft.com/office/drawing/2014/main" id="{66351064-9FD4-4AC8-95C0-804B682BD650}"/>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766" name="Text Box 124" hidden="1">
          <a:extLst>
            <a:ext uri="{FF2B5EF4-FFF2-40B4-BE49-F238E27FC236}">
              <a16:creationId xmlns:a16="http://schemas.microsoft.com/office/drawing/2014/main" id="{A86799AF-D3C1-4763-94F6-BD36F314FC34}"/>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767" name="Text Box 123" hidden="1">
          <a:extLst>
            <a:ext uri="{FF2B5EF4-FFF2-40B4-BE49-F238E27FC236}">
              <a16:creationId xmlns:a16="http://schemas.microsoft.com/office/drawing/2014/main" id="{582DF219-08BA-4466-ACE5-F4358BAAC0F2}"/>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768" name="Text Box 122" hidden="1">
          <a:extLst>
            <a:ext uri="{FF2B5EF4-FFF2-40B4-BE49-F238E27FC236}">
              <a16:creationId xmlns:a16="http://schemas.microsoft.com/office/drawing/2014/main" id="{BF770258-4FF3-4037-A0DD-7DE6FD964A81}"/>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69" name="Text Box 121" hidden="1">
          <a:extLst>
            <a:ext uri="{FF2B5EF4-FFF2-40B4-BE49-F238E27FC236}">
              <a16:creationId xmlns:a16="http://schemas.microsoft.com/office/drawing/2014/main" id="{8407BA71-D8C8-4E23-8791-6EC0B7B0D468}"/>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770" name="Text Box 120" hidden="1">
          <a:extLst>
            <a:ext uri="{FF2B5EF4-FFF2-40B4-BE49-F238E27FC236}">
              <a16:creationId xmlns:a16="http://schemas.microsoft.com/office/drawing/2014/main" id="{EEE60032-79CB-4103-8B66-F0E7D1C21292}"/>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771" name="Text Box 119" hidden="1">
          <a:extLst>
            <a:ext uri="{FF2B5EF4-FFF2-40B4-BE49-F238E27FC236}">
              <a16:creationId xmlns:a16="http://schemas.microsoft.com/office/drawing/2014/main" id="{B80EA12D-7A29-4CE7-9934-688DC0887F81}"/>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772" name="Text Box 118" hidden="1">
          <a:extLst>
            <a:ext uri="{FF2B5EF4-FFF2-40B4-BE49-F238E27FC236}">
              <a16:creationId xmlns:a16="http://schemas.microsoft.com/office/drawing/2014/main" id="{75CB7174-72FB-4452-98BC-ACBCDCFC525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773" name="Text Box 117" hidden="1">
          <a:extLst>
            <a:ext uri="{FF2B5EF4-FFF2-40B4-BE49-F238E27FC236}">
              <a16:creationId xmlns:a16="http://schemas.microsoft.com/office/drawing/2014/main" id="{C16D751B-20E2-4FEB-B2E2-94DDF76E9E9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774" name="Text Box 116" hidden="1">
          <a:extLst>
            <a:ext uri="{FF2B5EF4-FFF2-40B4-BE49-F238E27FC236}">
              <a16:creationId xmlns:a16="http://schemas.microsoft.com/office/drawing/2014/main" id="{B2E978B9-F0DD-4C9B-8906-DF4390F728DC}"/>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35201</xdr:rowOff>
    </xdr:from>
    <xdr:to>
      <xdr:col>11</xdr:col>
      <xdr:colOff>228600</xdr:colOff>
      <xdr:row>88</xdr:row>
      <xdr:rowOff>38652</xdr:rowOff>
    </xdr:to>
    <xdr:sp macro="" textlink="">
      <xdr:nvSpPr>
        <xdr:cNvPr id="775" name="Text Box 147" hidden="1">
          <a:extLst>
            <a:ext uri="{FF2B5EF4-FFF2-40B4-BE49-F238E27FC236}">
              <a16:creationId xmlns:a16="http://schemas.microsoft.com/office/drawing/2014/main" id="{03A141DA-05AB-4A6A-B270-C551290541D1}"/>
            </a:ext>
          </a:extLst>
        </xdr:cNvPr>
        <xdr:cNvSpPr txBox="1">
          <a:spLocks noChangeArrowheads="1"/>
        </xdr:cNvSpPr>
      </xdr:nvSpPr>
      <xdr:spPr bwMode="auto">
        <a:xfrm>
          <a:off x="8982075" y="17878701"/>
          <a:ext cx="3971925"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35201</xdr:rowOff>
    </xdr:from>
    <xdr:to>
      <xdr:col>14</xdr:col>
      <xdr:colOff>190500</xdr:colOff>
      <xdr:row>88</xdr:row>
      <xdr:rowOff>38652</xdr:rowOff>
    </xdr:to>
    <xdr:sp macro="" textlink="">
      <xdr:nvSpPr>
        <xdr:cNvPr id="776" name="Text Box 146" hidden="1">
          <a:extLst>
            <a:ext uri="{FF2B5EF4-FFF2-40B4-BE49-F238E27FC236}">
              <a16:creationId xmlns:a16="http://schemas.microsoft.com/office/drawing/2014/main" id="{736B922F-6E73-46B4-9022-21E6616601DF}"/>
            </a:ext>
          </a:extLst>
        </xdr:cNvPr>
        <xdr:cNvSpPr txBox="1">
          <a:spLocks noChangeArrowheads="1"/>
        </xdr:cNvSpPr>
      </xdr:nvSpPr>
      <xdr:spPr bwMode="auto">
        <a:xfrm>
          <a:off x="11315700" y="17878701"/>
          <a:ext cx="3886200"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51</xdr:row>
      <xdr:rowOff>73025</xdr:rowOff>
    </xdr:to>
    <xdr:sp macro="" textlink="">
      <xdr:nvSpPr>
        <xdr:cNvPr id="777" name="Text Box 145" hidden="1">
          <a:extLst>
            <a:ext uri="{FF2B5EF4-FFF2-40B4-BE49-F238E27FC236}">
              <a16:creationId xmlns:a16="http://schemas.microsoft.com/office/drawing/2014/main" id="{E18E4AB6-4D69-4932-8FAD-00E953D6B691}"/>
            </a:ext>
          </a:extLst>
        </xdr:cNvPr>
        <xdr:cNvSpPr txBox="1">
          <a:spLocks noChangeArrowheads="1"/>
        </xdr:cNvSpPr>
      </xdr:nvSpPr>
      <xdr:spPr bwMode="auto">
        <a:xfrm>
          <a:off x="16497300" y="7543800"/>
          <a:ext cx="3619500" cy="462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49</xdr:row>
      <xdr:rowOff>63500</xdr:rowOff>
    </xdr:to>
    <xdr:sp macro="" textlink="">
      <xdr:nvSpPr>
        <xdr:cNvPr id="778" name="Text Box 144" hidden="1">
          <a:extLst>
            <a:ext uri="{FF2B5EF4-FFF2-40B4-BE49-F238E27FC236}">
              <a16:creationId xmlns:a16="http://schemas.microsoft.com/office/drawing/2014/main" id="{EAFAE784-D2F9-48D1-9D7F-A19FA78FB022}"/>
            </a:ext>
          </a:extLst>
        </xdr:cNvPr>
        <xdr:cNvSpPr txBox="1">
          <a:spLocks noChangeArrowheads="1"/>
        </xdr:cNvSpPr>
      </xdr:nvSpPr>
      <xdr:spPr bwMode="auto">
        <a:xfrm>
          <a:off x="16497300" y="7153275"/>
          <a:ext cx="36195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779" name="Text Box 143" hidden="1">
          <a:extLst>
            <a:ext uri="{FF2B5EF4-FFF2-40B4-BE49-F238E27FC236}">
              <a16:creationId xmlns:a16="http://schemas.microsoft.com/office/drawing/2014/main" id="{5584B988-73D6-425F-B3C7-56E035A0B0F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50</xdr:row>
      <xdr:rowOff>44450</xdr:rowOff>
    </xdr:to>
    <xdr:sp macro="" textlink="">
      <xdr:nvSpPr>
        <xdr:cNvPr id="780" name="Text Box 142" hidden="1">
          <a:extLst>
            <a:ext uri="{FF2B5EF4-FFF2-40B4-BE49-F238E27FC236}">
              <a16:creationId xmlns:a16="http://schemas.microsoft.com/office/drawing/2014/main" id="{AE47BC7B-9490-42CA-A540-C915CA5268F1}"/>
            </a:ext>
          </a:extLst>
        </xdr:cNvPr>
        <xdr:cNvSpPr txBox="1">
          <a:spLocks noChangeArrowheads="1"/>
        </xdr:cNvSpPr>
      </xdr:nvSpPr>
      <xdr:spPr bwMode="auto">
        <a:xfrm>
          <a:off x="4229100" y="7543800"/>
          <a:ext cx="4638675" cy="441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162</xdr:row>
      <xdr:rowOff>19188</xdr:rowOff>
    </xdr:from>
    <xdr:to>
      <xdr:col>6</xdr:col>
      <xdr:colOff>0</xdr:colOff>
      <xdr:row>182</xdr:row>
      <xdr:rowOff>85863</xdr:rowOff>
    </xdr:to>
    <xdr:sp macro="" textlink="">
      <xdr:nvSpPr>
        <xdr:cNvPr id="781" name="Text Box 141" hidden="1">
          <a:extLst>
            <a:ext uri="{FF2B5EF4-FFF2-40B4-BE49-F238E27FC236}">
              <a16:creationId xmlns:a16="http://schemas.microsoft.com/office/drawing/2014/main" id="{DF01D480-7C5B-48A4-93E1-E18DD23C7C27}"/>
            </a:ext>
          </a:extLst>
        </xdr:cNvPr>
        <xdr:cNvSpPr txBox="1">
          <a:spLocks noChangeArrowheads="1"/>
        </xdr:cNvSpPr>
      </xdr:nvSpPr>
      <xdr:spPr bwMode="auto">
        <a:xfrm>
          <a:off x="4229100" y="37395288"/>
          <a:ext cx="4638675" cy="3686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387764</xdr:rowOff>
    </xdr:from>
    <xdr:to>
      <xdr:col>24</xdr:col>
      <xdr:colOff>647700</xdr:colOff>
      <xdr:row>83</xdr:row>
      <xdr:rowOff>354633</xdr:rowOff>
    </xdr:to>
    <xdr:sp macro="" textlink="">
      <xdr:nvSpPr>
        <xdr:cNvPr id="782" name="Text Box 140" hidden="1">
          <a:extLst>
            <a:ext uri="{FF2B5EF4-FFF2-40B4-BE49-F238E27FC236}">
              <a16:creationId xmlns:a16="http://schemas.microsoft.com/office/drawing/2014/main" id="{216218B1-4769-45B1-AF12-BD47FB914737}"/>
            </a:ext>
          </a:extLst>
        </xdr:cNvPr>
        <xdr:cNvSpPr txBox="1">
          <a:spLocks noChangeArrowheads="1"/>
        </xdr:cNvSpPr>
      </xdr:nvSpPr>
      <xdr:spPr bwMode="auto">
        <a:xfrm>
          <a:off x="18935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387764</xdr:rowOff>
    </xdr:from>
    <xdr:to>
      <xdr:col>28</xdr:col>
      <xdr:colOff>647700</xdr:colOff>
      <xdr:row>83</xdr:row>
      <xdr:rowOff>354633</xdr:rowOff>
    </xdr:to>
    <xdr:sp macro="" textlink="">
      <xdr:nvSpPr>
        <xdr:cNvPr id="783" name="Text Box 139" hidden="1">
          <a:extLst>
            <a:ext uri="{FF2B5EF4-FFF2-40B4-BE49-F238E27FC236}">
              <a16:creationId xmlns:a16="http://schemas.microsoft.com/office/drawing/2014/main" id="{D78B4726-B7CC-4E83-8843-A317B8345CAF}"/>
            </a:ext>
          </a:extLst>
        </xdr:cNvPr>
        <xdr:cNvSpPr txBox="1">
          <a:spLocks noChangeArrowheads="1"/>
        </xdr:cNvSpPr>
      </xdr:nvSpPr>
      <xdr:spPr bwMode="auto">
        <a:xfrm>
          <a:off x="21983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387764</xdr:rowOff>
    </xdr:from>
    <xdr:to>
      <xdr:col>32</xdr:col>
      <xdr:colOff>647700</xdr:colOff>
      <xdr:row>83</xdr:row>
      <xdr:rowOff>354633</xdr:rowOff>
    </xdr:to>
    <xdr:sp macro="" textlink="">
      <xdr:nvSpPr>
        <xdr:cNvPr id="784" name="Text Box 138" hidden="1">
          <a:extLst>
            <a:ext uri="{FF2B5EF4-FFF2-40B4-BE49-F238E27FC236}">
              <a16:creationId xmlns:a16="http://schemas.microsoft.com/office/drawing/2014/main" id="{DFBBE0D8-75F3-494A-A9BA-23FE2A9DFEC2}"/>
            </a:ext>
          </a:extLst>
        </xdr:cNvPr>
        <xdr:cNvSpPr txBox="1">
          <a:spLocks noChangeArrowheads="1"/>
        </xdr:cNvSpPr>
      </xdr:nvSpPr>
      <xdr:spPr bwMode="auto">
        <a:xfrm>
          <a:off x="25031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85" name="Text Box 137" hidden="1">
          <a:extLst>
            <a:ext uri="{FF2B5EF4-FFF2-40B4-BE49-F238E27FC236}">
              <a16:creationId xmlns:a16="http://schemas.microsoft.com/office/drawing/2014/main" id="{401A9E5C-6CA7-42B5-84F4-9DFEE36CB93C}"/>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49</xdr:row>
      <xdr:rowOff>63500</xdr:rowOff>
    </xdr:to>
    <xdr:sp macro="" textlink="">
      <xdr:nvSpPr>
        <xdr:cNvPr id="786" name="Text Box 136" hidden="1">
          <a:extLst>
            <a:ext uri="{FF2B5EF4-FFF2-40B4-BE49-F238E27FC236}">
              <a16:creationId xmlns:a16="http://schemas.microsoft.com/office/drawing/2014/main" id="{727B6E4C-662C-474F-9B5E-D35F63AC8933}"/>
            </a:ext>
          </a:extLst>
        </xdr:cNvPr>
        <xdr:cNvSpPr txBox="1">
          <a:spLocks noChangeArrowheads="1"/>
        </xdr:cNvSpPr>
      </xdr:nvSpPr>
      <xdr:spPr bwMode="auto">
        <a:xfrm>
          <a:off x="20459700" y="7153275"/>
          <a:ext cx="43053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787" name="Text Box 135" hidden="1">
          <a:extLst>
            <a:ext uri="{FF2B5EF4-FFF2-40B4-BE49-F238E27FC236}">
              <a16:creationId xmlns:a16="http://schemas.microsoft.com/office/drawing/2014/main" id="{C2A70E22-8317-41E3-8C10-E948C4CF7EFE}"/>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65</xdr:row>
      <xdr:rowOff>37686</xdr:rowOff>
    </xdr:to>
    <xdr:sp macro="" textlink="">
      <xdr:nvSpPr>
        <xdr:cNvPr id="788" name="Text Box 134" hidden="1">
          <a:extLst>
            <a:ext uri="{FF2B5EF4-FFF2-40B4-BE49-F238E27FC236}">
              <a16:creationId xmlns:a16="http://schemas.microsoft.com/office/drawing/2014/main" id="{83D383BA-14DE-48DD-AC87-1D90C35DE95F}"/>
            </a:ext>
          </a:extLst>
        </xdr:cNvPr>
        <xdr:cNvSpPr txBox="1">
          <a:spLocks noChangeArrowheads="1"/>
        </xdr:cNvSpPr>
      </xdr:nvSpPr>
      <xdr:spPr bwMode="auto">
        <a:xfrm>
          <a:off x="22002750" y="10553700"/>
          <a:ext cx="3733800" cy="5714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789" name="Text Box 133" hidden="1">
          <a:extLst>
            <a:ext uri="{FF2B5EF4-FFF2-40B4-BE49-F238E27FC236}">
              <a16:creationId xmlns:a16="http://schemas.microsoft.com/office/drawing/2014/main" id="{280C8FD6-8131-458A-BB00-33EC13AACEE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790" name="Text Box 132" hidden="1">
          <a:extLst>
            <a:ext uri="{FF2B5EF4-FFF2-40B4-BE49-F238E27FC236}">
              <a16:creationId xmlns:a16="http://schemas.microsoft.com/office/drawing/2014/main" id="{5BB783CC-742A-4E8C-ABA8-12BC62DD919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4.xml><?xml version="1.0" encoding="utf-8"?>
<xdr:wsDr xmlns:xdr="http://schemas.openxmlformats.org/drawingml/2006/spreadsheetDrawing" xmlns:a="http://schemas.openxmlformats.org/drawingml/2006/main">
  <xdr:twoCellAnchor editAs="absolute">
    <xdr:from>
      <xdr:col>6</xdr:col>
      <xdr:colOff>169232</xdr:colOff>
      <xdr:row>92</xdr:row>
      <xdr:rowOff>222034</xdr:rowOff>
    </xdr:from>
    <xdr:to>
      <xdr:col>8</xdr:col>
      <xdr:colOff>278088</xdr:colOff>
      <xdr:row>92</xdr:row>
      <xdr:rowOff>222034</xdr:rowOff>
    </xdr:to>
    <xdr:sp macro="" textlink="">
      <xdr:nvSpPr>
        <xdr:cNvPr id="2" name="Text Box 4" hidden="1">
          <a:extLst>
            <a:ext uri="{FF2B5EF4-FFF2-40B4-BE49-F238E27FC236}">
              <a16:creationId xmlns:a16="http://schemas.microsoft.com/office/drawing/2014/main" id="{1021883D-74AB-4FA9-8AF5-BDEAC0C06E5B}"/>
            </a:ext>
          </a:extLst>
        </xdr:cNvPr>
        <xdr:cNvSpPr txBox="1">
          <a:spLocks noChangeArrowheads="1"/>
        </xdr:cNvSpPr>
      </xdr:nvSpPr>
      <xdr:spPr bwMode="auto">
        <a:xfrm>
          <a:off x="9040182" y="23967859"/>
          <a:ext cx="159793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3" name="Text Box 5" hidden="1">
          <a:extLst>
            <a:ext uri="{FF2B5EF4-FFF2-40B4-BE49-F238E27FC236}">
              <a16:creationId xmlns:a16="http://schemas.microsoft.com/office/drawing/2014/main" id="{8173E697-BBDE-426A-B079-CB8F1EE572BE}"/>
            </a:ext>
          </a:extLst>
        </xdr:cNvPr>
        <xdr:cNvSpPr txBox="1">
          <a:spLocks noChangeArrowheads="1"/>
        </xdr:cNvSpPr>
      </xdr:nvSpPr>
      <xdr:spPr bwMode="auto">
        <a:xfrm>
          <a:off x="11360529" y="23967859"/>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 name="Text Box 7" hidden="1">
          <a:extLst>
            <a:ext uri="{FF2B5EF4-FFF2-40B4-BE49-F238E27FC236}">
              <a16:creationId xmlns:a16="http://schemas.microsoft.com/office/drawing/2014/main" id="{20074F39-AA9F-45C2-92EB-29D4C3F95AC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52</xdr:row>
      <xdr:rowOff>171674</xdr:rowOff>
    </xdr:from>
    <xdr:to>
      <xdr:col>1</xdr:col>
      <xdr:colOff>4259019</xdr:colOff>
      <xdr:row>54</xdr:row>
      <xdr:rowOff>275393</xdr:rowOff>
    </xdr:to>
    <xdr:sp macro="" textlink="">
      <xdr:nvSpPr>
        <xdr:cNvPr id="5" name="Text Box 8" hidden="1">
          <a:extLst>
            <a:ext uri="{FF2B5EF4-FFF2-40B4-BE49-F238E27FC236}">
              <a16:creationId xmlns:a16="http://schemas.microsoft.com/office/drawing/2014/main" id="{CE32A468-1E3E-42CC-BA5F-076E4CFBB02D}"/>
            </a:ext>
          </a:extLst>
        </xdr:cNvPr>
        <xdr:cNvSpPr txBox="1">
          <a:spLocks noChangeArrowheads="1"/>
        </xdr:cNvSpPr>
      </xdr:nvSpPr>
      <xdr:spPr bwMode="auto">
        <a:xfrm>
          <a:off x="3437618" y="11893774"/>
          <a:ext cx="1580226" cy="8434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222034</xdr:rowOff>
    </xdr:from>
    <xdr:to>
      <xdr:col>8</xdr:col>
      <xdr:colOff>278088</xdr:colOff>
      <xdr:row>92</xdr:row>
      <xdr:rowOff>222034</xdr:rowOff>
    </xdr:to>
    <xdr:sp macro="" textlink="">
      <xdr:nvSpPr>
        <xdr:cNvPr id="6" name="Text Box 4" hidden="1">
          <a:extLst>
            <a:ext uri="{FF2B5EF4-FFF2-40B4-BE49-F238E27FC236}">
              <a16:creationId xmlns:a16="http://schemas.microsoft.com/office/drawing/2014/main" id="{1255C9C0-6054-4B6B-BF43-5E3E8D1B4352}"/>
            </a:ext>
          </a:extLst>
        </xdr:cNvPr>
        <xdr:cNvSpPr txBox="1">
          <a:spLocks noChangeArrowheads="1"/>
        </xdr:cNvSpPr>
      </xdr:nvSpPr>
      <xdr:spPr bwMode="auto">
        <a:xfrm>
          <a:off x="9040182" y="23967859"/>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7" name="Text Box 3" hidden="1">
          <a:extLst>
            <a:ext uri="{FF2B5EF4-FFF2-40B4-BE49-F238E27FC236}">
              <a16:creationId xmlns:a16="http://schemas.microsoft.com/office/drawing/2014/main" id="{D405464D-9689-4DF9-BE39-578E48E0C255}"/>
            </a:ext>
          </a:extLst>
        </xdr:cNvPr>
        <xdr:cNvSpPr txBox="1">
          <a:spLocks noChangeArrowheads="1"/>
        </xdr:cNvSpPr>
      </xdr:nvSpPr>
      <xdr:spPr bwMode="auto">
        <a:xfrm>
          <a:off x="11360529" y="2396785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8" name="Text Box 2" hidden="1">
          <a:extLst>
            <a:ext uri="{FF2B5EF4-FFF2-40B4-BE49-F238E27FC236}">
              <a16:creationId xmlns:a16="http://schemas.microsoft.com/office/drawing/2014/main" id="{FE3B9DB1-B4EC-4F45-934E-11095360ABD5}"/>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9" name="Text Box 7" hidden="1">
          <a:extLst>
            <a:ext uri="{FF2B5EF4-FFF2-40B4-BE49-F238E27FC236}">
              <a16:creationId xmlns:a16="http://schemas.microsoft.com/office/drawing/2014/main" id="{2ECD5C60-12BA-4045-92A2-3BDC5020E44A}"/>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0" name="Text Box 6" hidden="1">
          <a:extLst>
            <a:ext uri="{FF2B5EF4-FFF2-40B4-BE49-F238E27FC236}">
              <a16:creationId xmlns:a16="http://schemas.microsoft.com/office/drawing/2014/main" id="{7ACAF3ED-F8AF-4DDA-8AEA-84755D6EB740}"/>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1" name="Text Box 5" hidden="1">
          <a:extLst>
            <a:ext uri="{FF2B5EF4-FFF2-40B4-BE49-F238E27FC236}">
              <a16:creationId xmlns:a16="http://schemas.microsoft.com/office/drawing/2014/main" id="{1855DDA2-3C7C-4CE5-A9A0-0EAEAA5C823C}"/>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2" name="Text Box 10" hidden="1">
          <a:extLst>
            <a:ext uri="{FF2B5EF4-FFF2-40B4-BE49-F238E27FC236}">
              <a16:creationId xmlns:a16="http://schemas.microsoft.com/office/drawing/2014/main" id="{A2AFEE00-9E11-4518-9494-FF8FFECB4B8E}"/>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3" name="Text Box 9" hidden="1">
          <a:extLst>
            <a:ext uri="{FF2B5EF4-FFF2-40B4-BE49-F238E27FC236}">
              <a16:creationId xmlns:a16="http://schemas.microsoft.com/office/drawing/2014/main" id="{3661533F-2884-4E42-B3AB-9ACC49AABE6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4" name="Text Box 8" hidden="1">
          <a:extLst>
            <a:ext uri="{FF2B5EF4-FFF2-40B4-BE49-F238E27FC236}">
              <a16:creationId xmlns:a16="http://schemas.microsoft.com/office/drawing/2014/main" id="{C3E43D7D-35C9-4143-A80C-7E4C54D57F20}"/>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5" name="Text Box 13" hidden="1">
          <a:extLst>
            <a:ext uri="{FF2B5EF4-FFF2-40B4-BE49-F238E27FC236}">
              <a16:creationId xmlns:a16="http://schemas.microsoft.com/office/drawing/2014/main" id="{A76607A6-13DD-48EC-B4B0-CB43A922674B}"/>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6" name="Text Box 12" hidden="1">
          <a:extLst>
            <a:ext uri="{FF2B5EF4-FFF2-40B4-BE49-F238E27FC236}">
              <a16:creationId xmlns:a16="http://schemas.microsoft.com/office/drawing/2014/main" id="{7EE7F5C7-8E1A-4D5A-9C02-C32F2786BC1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7" name="Text Box 11" hidden="1">
          <a:extLst>
            <a:ext uri="{FF2B5EF4-FFF2-40B4-BE49-F238E27FC236}">
              <a16:creationId xmlns:a16="http://schemas.microsoft.com/office/drawing/2014/main" id="{2F25B0AC-4D68-4645-B3A7-1D01FA5A0E6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8" name="Text Box 16" hidden="1">
          <a:extLst>
            <a:ext uri="{FF2B5EF4-FFF2-40B4-BE49-F238E27FC236}">
              <a16:creationId xmlns:a16="http://schemas.microsoft.com/office/drawing/2014/main" id="{38512CF7-7321-4BAB-90E7-B2A9811F2DF1}"/>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9" name="Text Box 15" hidden="1">
          <a:extLst>
            <a:ext uri="{FF2B5EF4-FFF2-40B4-BE49-F238E27FC236}">
              <a16:creationId xmlns:a16="http://schemas.microsoft.com/office/drawing/2014/main" id="{7E906EC6-8CB5-466A-B03C-701E746BCC0A}"/>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0" name="Text Box 14" hidden="1">
          <a:extLst>
            <a:ext uri="{FF2B5EF4-FFF2-40B4-BE49-F238E27FC236}">
              <a16:creationId xmlns:a16="http://schemas.microsoft.com/office/drawing/2014/main" id="{2898A72C-B679-4F98-A4DC-561C8728532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1" name="Text Box 19" hidden="1">
          <a:extLst>
            <a:ext uri="{FF2B5EF4-FFF2-40B4-BE49-F238E27FC236}">
              <a16:creationId xmlns:a16="http://schemas.microsoft.com/office/drawing/2014/main" id="{FFD3AA40-DBA3-4D59-AD1B-50F629411D82}"/>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2" name="Text Box 18" hidden="1">
          <a:extLst>
            <a:ext uri="{FF2B5EF4-FFF2-40B4-BE49-F238E27FC236}">
              <a16:creationId xmlns:a16="http://schemas.microsoft.com/office/drawing/2014/main" id="{0EE61333-4626-48A3-8E8E-D12D8A88B9B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3" name="Text Box 17" hidden="1">
          <a:extLst>
            <a:ext uri="{FF2B5EF4-FFF2-40B4-BE49-F238E27FC236}">
              <a16:creationId xmlns:a16="http://schemas.microsoft.com/office/drawing/2014/main" id="{BA614297-FB8A-4CF9-AC05-70B56B8F2F4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4" name="Text Box 22" hidden="1">
          <a:extLst>
            <a:ext uri="{FF2B5EF4-FFF2-40B4-BE49-F238E27FC236}">
              <a16:creationId xmlns:a16="http://schemas.microsoft.com/office/drawing/2014/main" id="{69836570-5723-49BB-B78C-CECF6375845D}"/>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 name="Text Box 21" hidden="1">
          <a:extLst>
            <a:ext uri="{FF2B5EF4-FFF2-40B4-BE49-F238E27FC236}">
              <a16:creationId xmlns:a16="http://schemas.microsoft.com/office/drawing/2014/main" id="{F47215FB-C68D-4C1F-ADD5-7FA609D3876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6" name="Text Box 20" hidden="1">
          <a:extLst>
            <a:ext uri="{FF2B5EF4-FFF2-40B4-BE49-F238E27FC236}">
              <a16:creationId xmlns:a16="http://schemas.microsoft.com/office/drawing/2014/main" id="{B8C95CB8-8AA2-4977-B43A-539FB5484B1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7" name="Text Box 25" hidden="1">
          <a:extLst>
            <a:ext uri="{FF2B5EF4-FFF2-40B4-BE49-F238E27FC236}">
              <a16:creationId xmlns:a16="http://schemas.microsoft.com/office/drawing/2014/main" id="{E5F50D81-8226-44FD-8F58-76FEC0847BD6}"/>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8" name="Text Box 24" hidden="1">
          <a:extLst>
            <a:ext uri="{FF2B5EF4-FFF2-40B4-BE49-F238E27FC236}">
              <a16:creationId xmlns:a16="http://schemas.microsoft.com/office/drawing/2014/main" id="{B0D2B5E4-AF7F-4C1E-85E5-66A799186A96}"/>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9" name="Text Box 23" hidden="1">
          <a:extLst>
            <a:ext uri="{FF2B5EF4-FFF2-40B4-BE49-F238E27FC236}">
              <a16:creationId xmlns:a16="http://schemas.microsoft.com/office/drawing/2014/main" id="{DFED40C3-544C-4293-B0AA-27B7028AF5EB}"/>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0" name="Text Box 28" hidden="1">
          <a:extLst>
            <a:ext uri="{FF2B5EF4-FFF2-40B4-BE49-F238E27FC236}">
              <a16:creationId xmlns:a16="http://schemas.microsoft.com/office/drawing/2014/main" id="{4BD992E1-AE11-49C6-B969-B3CAF2949116}"/>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1" name="Text Box 27" hidden="1">
          <a:extLst>
            <a:ext uri="{FF2B5EF4-FFF2-40B4-BE49-F238E27FC236}">
              <a16:creationId xmlns:a16="http://schemas.microsoft.com/office/drawing/2014/main" id="{47904015-A587-4ED5-A25E-0A510244E770}"/>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2" name="Text Box 26" hidden="1">
          <a:extLst>
            <a:ext uri="{FF2B5EF4-FFF2-40B4-BE49-F238E27FC236}">
              <a16:creationId xmlns:a16="http://schemas.microsoft.com/office/drawing/2014/main" id="{415F82CD-20DA-425A-87C3-9D90A2CB116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3" name="Text Box 31" hidden="1">
          <a:extLst>
            <a:ext uri="{FF2B5EF4-FFF2-40B4-BE49-F238E27FC236}">
              <a16:creationId xmlns:a16="http://schemas.microsoft.com/office/drawing/2014/main" id="{6AFE594F-D3A4-43D6-9AF2-7FAE2B300967}"/>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4" name="Text Box 30" hidden="1">
          <a:extLst>
            <a:ext uri="{FF2B5EF4-FFF2-40B4-BE49-F238E27FC236}">
              <a16:creationId xmlns:a16="http://schemas.microsoft.com/office/drawing/2014/main" id="{FA3C147F-D2C4-4BD1-9134-8CC09B3B5FD9}"/>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5" name="Text Box 29" hidden="1">
          <a:extLst>
            <a:ext uri="{FF2B5EF4-FFF2-40B4-BE49-F238E27FC236}">
              <a16:creationId xmlns:a16="http://schemas.microsoft.com/office/drawing/2014/main" id="{A6E7D53B-09F9-4ADD-A635-2758C1F0CED6}"/>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6" name="Text Box 34" hidden="1">
          <a:extLst>
            <a:ext uri="{FF2B5EF4-FFF2-40B4-BE49-F238E27FC236}">
              <a16:creationId xmlns:a16="http://schemas.microsoft.com/office/drawing/2014/main" id="{7A32FBEE-835D-486F-9187-B62C35FE78AA}"/>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7" name="Text Box 33" hidden="1">
          <a:extLst>
            <a:ext uri="{FF2B5EF4-FFF2-40B4-BE49-F238E27FC236}">
              <a16:creationId xmlns:a16="http://schemas.microsoft.com/office/drawing/2014/main" id="{92A5E57B-A57F-49BE-B01E-E20A109CA64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8" name="Text Box 32" hidden="1">
          <a:extLst>
            <a:ext uri="{FF2B5EF4-FFF2-40B4-BE49-F238E27FC236}">
              <a16:creationId xmlns:a16="http://schemas.microsoft.com/office/drawing/2014/main" id="{33DB5E01-D944-4DD0-9307-DF0060E875BF}"/>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9" name="Text Box 37" hidden="1">
          <a:extLst>
            <a:ext uri="{FF2B5EF4-FFF2-40B4-BE49-F238E27FC236}">
              <a16:creationId xmlns:a16="http://schemas.microsoft.com/office/drawing/2014/main" id="{CCC944FA-2E19-4F65-ADC1-F29306C0763E}"/>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40" name="Text Box 36" hidden="1">
          <a:extLst>
            <a:ext uri="{FF2B5EF4-FFF2-40B4-BE49-F238E27FC236}">
              <a16:creationId xmlns:a16="http://schemas.microsoft.com/office/drawing/2014/main" id="{F264CDA3-1A20-4850-85A8-ADF9BAAAA4B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1" name="Text Box 35" hidden="1">
          <a:extLst>
            <a:ext uri="{FF2B5EF4-FFF2-40B4-BE49-F238E27FC236}">
              <a16:creationId xmlns:a16="http://schemas.microsoft.com/office/drawing/2014/main" id="{28A8B006-DF4D-449A-929E-8B8D2FA75DC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2" name="Text Box 40" hidden="1">
          <a:extLst>
            <a:ext uri="{FF2B5EF4-FFF2-40B4-BE49-F238E27FC236}">
              <a16:creationId xmlns:a16="http://schemas.microsoft.com/office/drawing/2014/main" id="{D89B06A7-0047-4DB5-92A8-DF98D4B1DF16}"/>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3" name="Text Box 39" hidden="1">
          <a:extLst>
            <a:ext uri="{FF2B5EF4-FFF2-40B4-BE49-F238E27FC236}">
              <a16:creationId xmlns:a16="http://schemas.microsoft.com/office/drawing/2014/main" id="{C02CE122-7D08-4C04-AC1C-951547156605}"/>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4" name="Text Box 38" hidden="1">
          <a:extLst>
            <a:ext uri="{FF2B5EF4-FFF2-40B4-BE49-F238E27FC236}">
              <a16:creationId xmlns:a16="http://schemas.microsoft.com/office/drawing/2014/main" id="{492CA621-D200-4AA5-92A8-B1BC1B54F696}"/>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5" name="Text Box 43" hidden="1">
          <a:extLst>
            <a:ext uri="{FF2B5EF4-FFF2-40B4-BE49-F238E27FC236}">
              <a16:creationId xmlns:a16="http://schemas.microsoft.com/office/drawing/2014/main" id="{3621FE31-3572-425E-BC64-38B63B76BFCE}"/>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6" name="Text Box 42" hidden="1">
          <a:extLst>
            <a:ext uri="{FF2B5EF4-FFF2-40B4-BE49-F238E27FC236}">
              <a16:creationId xmlns:a16="http://schemas.microsoft.com/office/drawing/2014/main" id="{ACD0CA16-23DE-43E8-BC37-4FD12D8227BE}"/>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7" name="Text Box 41" hidden="1">
          <a:extLst>
            <a:ext uri="{FF2B5EF4-FFF2-40B4-BE49-F238E27FC236}">
              <a16:creationId xmlns:a16="http://schemas.microsoft.com/office/drawing/2014/main" id="{A7FC5543-E2B2-4E84-B1F3-3144FE005CDF}"/>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48" name="Text Box 46" hidden="1">
          <a:extLst>
            <a:ext uri="{FF2B5EF4-FFF2-40B4-BE49-F238E27FC236}">
              <a16:creationId xmlns:a16="http://schemas.microsoft.com/office/drawing/2014/main" id="{A2E05676-9547-4CE2-AEFA-2ECFC770B319}"/>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49" name="Text Box 45" hidden="1">
          <a:extLst>
            <a:ext uri="{FF2B5EF4-FFF2-40B4-BE49-F238E27FC236}">
              <a16:creationId xmlns:a16="http://schemas.microsoft.com/office/drawing/2014/main" id="{C0B26A5A-D368-4DB3-8153-23C147970F5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0" name="Text Box 44" hidden="1">
          <a:extLst>
            <a:ext uri="{FF2B5EF4-FFF2-40B4-BE49-F238E27FC236}">
              <a16:creationId xmlns:a16="http://schemas.microsoft.com/office/drawing/2014/main" id="{2FF3F63B-9A80-4FF6-A112-717D66499C17}"/>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51" name="Text Box 49" hidden="1">
          <a:extLst>
            <a:ext uri="{FF2B5EF4-FFF2-40B4-BE49-F238E27FC236}">
              <a16:creationId xmlns:a16="http://schemas.microsoft.com/office/drawing/2014/main" id="{265687D4-C44F-4B6A-B6F4-72771CDD0CAC}"/>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52" name="Text Box 48" hidden="1">
          <a:extLst>
            <a:ext uri="{FF2B5EF4-FFF2-40B4-BE49-F238E27FC236}">
              <a16:creationId xmlns:a16="http://schemas.microsoft.com/office/drawing/2014/main" id="{868C44BE-B079-4313-9822-1A3047A3B49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3" name="Text Box 47" hidden="1">
          <a:extLst>
            <a:ext uri="{FF2B5EF4-FFF2-40B4-BE49-F238E27FC236}">
              <a16:creationId xmlns:a16="http://schemas.microsoft.com/office/drawing/2014/main" id="{D292D2EF-CDB7-464E-855D-80F707E0CFEC}"/>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74</xdr:row>
      <xdr:rowOff>124208</xdr:rowOff>
    </xdr:from>
    <xdr:to>
      <xdr:col>8</xdr:col>
      <xdr:colOff>257496</xdr:colOff>
      <xdr:row>74</xdr:row>
      <xdr:rowOff>124208</xdr:rowOff>
    </xdr:to>
    <xdr:sp macro="" textlink="">
      <xdr:nvSpPr>
        <xdr:cNvPr id="54" name="Text Box 52" hidden="1">
          <a:extLst>
            <a:ext uri="{FF2B5EF4-FFF2-40B4-BE49-F238E27FC236}">
              <a16:creationId xmlns:a16="http://schemas.microsoft.com/office/drawing/2014/main" id="{EBBD9A04-43FF-4DE6-A20E-7D35FCC72F6B}"/>
            </a:ext>
          </a:extLst>
        </xdr:cNvPr>
        <xdr:cNvSpPr txBox="1">
          <a:spLocks noChangeArrowheads="1"/>
        </xdr:cNvSpPr>
      </xdr:nvSpPr>
      <xdr:spPr bwMode="auto">
        <a:xfrm>
          <a:off x="9016415" y="1894560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124208</xdr:rowOff>
    </xdr:from>
    <xdr:to>
      <xdr:col>11</xdr:col>
      <xdr:colOff>211562</xdr:colOff>
      <xdr:row>74</xdr:row>
      <xdr:rowOff>124208</xdr:rowOff>
    </xdr:to>
    <xdr:sp macro="" textlink="">
      <xdr:nvSpPr>
        <xdr:cNvPr id="55" name="Text Box 51" hidden="1">
          <a:extLst>
            <a:ext uri="{FF2B5EF4-FFF2-40B4-BE49-F238E27FC236}">
              <a16:creationId xmlns:a16="http://schemas.microsoft.com/office/drawing/2014/main" id="{9632FE2A-6420-4103-9508-56ED6E874726}"/>
            </a:ext>
          </a:extLst>
        </xdr:cNvPr>
        <xdr:cNvSpPr txBox="1">
          <a:spLocks noChangeArrowheads="1"/>
        </xdr:cNvSpPr>
      </xdr:nvSpPr>
      <xdr:spPr bwMode="auto">
        <a:xfrm>
          <a:off x="1133676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4200599</xdr:colOff>
      <xdr:row>33</xdr:row>
      <xdr:rowOff>273516</xdr:rowOff>
    </xdr:to>
    <xdr:sp macro="" textlink="">
      <xdr:nvSpPr>
        <xdr:cNvPr id="56" name="Text Box 50" hidden="1">
          <a:extLst>
            <a:ext uri="{FF2B5EF4-FFF2-40B4-BE49-F238E27FC236}">
              <a16:creationId xmlns:a16="http://schemas.microsoft.com/office/drawing/2014/main" id="{DAFC230B-2F73-4821-9C91-D99DF2507D8D}"/>
            </a:ext>
          </a:extLst>
        </xdr:cNvPr>
        <xdr:cNvSpPr txBox="1">
          <a:spLocks noChangeArrowheads="1"/>
        </xdr:cNvSpPr>
      </xdr:nvSpPr>
      <xdr:spPr bwMode="auto">
        <a:xfrm>
          <a:off x="3390900" y="6753038"/>
          <a:ext cx="1568524"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374463</xdr:rowOff>
    </xdr:to>
    <xdr:sp macro="" textlink="">
      <xdr:nvSpPr>
        <xdr:cNvPr id="57" name="Text Box 53" hidden="1">
          <a:extLst>
            <a:ext uri="{FF2B5EF4-FFF2-40B4-BE49-F238E27FC236}">
              <a16:creationId xmlns:a16="http://schemas.microsoft.com/office/drawing/2014/main" id="{CEE223F3-B92C-4575-B9AD-FD93B3029C3D}"/>
            </a:ext>
          </a:extLst>
        </xdr:cNvPr>
        <xdr:cNvSpPr txBox="1">
          <a:spLocks noChangeArrowheads="1"/>
        </xdr:cNvSpPr>
      </xdr:nvSpPr>
      <xdr:spPr bwMode="auto">
        <a:xfrm>
          <a:off x="16536459" y="5314576"/>
          <a:ext cx="1315403" cy="7590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554462</xdr:colOff>
      <xdr:row>28</xdr:row>
      <xdr:rowOff>237751</xdr:rowOff>
    </xdr:to>
    <xdr:sp macro="" textlink="">
      <xdr:nvSpPr>
        <xdr:cNvPr id="58" name="Text Box 54" hidden="1">
          <a:extLst>
            <a:ext uri="{FF2B5EF4-FFF2-40B4-BE49-F238E27FC236}">
              <a16:creationId xmlns:a16="http://schemas.microsoft.com/office/drawing/2014/main" id="{7B745D62-2F11-471D-8A44-89B04A860648}"/>
            </a:ext>
          </a:extLst>
        </xdr:cNvPr>
        <xdr:cNvSpPr txBox="1">
          <a:spLocks noChangeArrowheads="1"/>
        </xdr:cNvSpPr>
      </xdr:nvSpPr>
      <xdr:spPr bwMode="auto">
        <a:xfrm>
          <a:off x="16536459" y="4563036"/>
          <a:ext cx="1315403" cy="8404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28760</xdr:rowOff>
    </xdr:to>
    <xdr:sp macro="" textlink="">
      <xdr:nvSpPr>
        <xdr:cNvPr id="59" name="Text Box 56" hidden="1">
          <a:extLst>
            <a:ext uri="{FF2B5EF4-FFF2-40B4-BE49-F238E27FC236}">
              <a16:creationId xmlns:a16="http://schemas.microsoft.com/office/drawing/2014/main" id="{C6077DDB-39FA-4019-ACAD-6D44155A5B2D}"/>
            </a:ext>
          </a:extLst>
        </xdr:cNvPr>
        <xdr:cNvSpPr txBox="1">
          <a:spLocks noChangeArrowheads="1"/>
        </xdr:cNvSpPr>
      </xdr:nvSpPr>
      <xdr:spPr bwMode="auto">
        <a:xfrm>
          <a:off x="18060458" y="17543891"/>
          <a:ext cx="1352234" cy="13062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0" name="Text Box 62" hidden="1">
          <a:extLst>
            <a:ext uri="{FF2B5EF4-FFF2-40B4-BE49-F238E27FC236}">
              <a16:creationId xmlns:a16="http://schemas.microsoft.com/office/drawing/2014/main" id="{C1DBF081-A643-499A-A18C-0C9CB1087890}"/>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1" name="Text Box 61" hidden="1">
          <a:extLst>
            <a:ext uri="{FF2B5EF4-FFF2-40B4-BE49-F238E27FC236}">
              <a16:creationId xmlns:a16="http://schemas.microsoft.com/office/drawing/2014/main" id="{36E273A5-BEC0-4AAD-A142-0217892BC096}"/>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2" name="Text Box 60" hidden="1">
          <a:extLst>
            <a:ext uri="{FF2B5EF4-FFF2-40B4-BE49-F238E27FC236}">
              <a16:creationId xmlns:a16="http://schemas.microsoft.com/office/drawing/2014/main" id="{6F5856E2-22CC-41AB-9B07-0089C32A51A0}"/>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3" name="Text Box 59" hidden="1">
          <a:extLst>
            <a:ext uri="{FF2B5EF4-FFF2-40B4-BE49-F238E27FC236}">
              <a16:creationId xmlns:a16="http://schemas.microsoft.com/office/drawing/2014/main" id="{0F4CB34D-4CCC-400C-AB5D-0603E34AA080}"/>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64" name="Text Box 58" hidden="1">
          <a:extLst>
            <a:ext uri="{FF2B5EF4-FFF2-40B4-BE49-F238E27FC236}">
              <a16:creationId xmlns:a16="http://schemas.microsoft.com/office/drawing/2014/main" id="{D3F17AF2-FDF3-49B0-9BB2-7A3743229D92}"/>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65" name="Text Box 57" hidden="1">
          <a:extLst>
            <a:ext uri="{FF2B5EF4-FFF2-40B4-BE49-F238E27FC236}">
              <a16:creationId xmlns:a16="http://schemas.microsoft.com/office/drawing/2014/main" id="{6F01184A-BDCE-4692-9290-A640292576B7}"/>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6" name="Text Box 68" hidden="1">
          <a:extLst>
            <a:ext uri="{FF2B5EF4-FFF2-40B4-BE49-F238E27FC236}">
              <a16:creationId xmlns:a16="http://schemas.microsoft.com/office/drawing/2014/main" id="{44709F70-C282-467E-BF08-798CA78A7A63}"/>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7" name="Text Box 67" hidden="1">
          <a:extLst>
            <a:ext uri="{FF2B5EF4-FFF2-40B4-BE49-F238E27FC236}">
              <a16:creationId xmlns:a16="http://schemas.microsoft.com/office/drawing/2014/main" id="{4F8FA09C-73C1-483E-8CFA-A35B9A7DEA4C}"/>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8" name="Text Box 66" hidden="1">
          <a:extLst>
            <a:ext uri="{FF2B5EF4-FFF2-40B4-BE49-F238E27FC236}">
              <a16:creationId xmlns:a16="http://schemas.microsoft.com/office/drawing/2014/main" id="{D2897115-3D84-438D-A1D0-A78A74FB20F1}"/>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9" name="Text Box 65" hidden="1">
          <a:extLst>
            <a:ext uri="{FF2B5EF4-FFF2-40B4-BE49-F238E27FC236}">
              <a16:creationId xmlns:a16="http://schemas.microsoft.com/office/drawing/2014/main" id="{A82C3C7D-9FDC-4438-ACDA-F2CB6B54E1B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0" name="Text Box 64" hidden="1">
          <a:extLst>
            <a:ext uri="{FF2B5EF4-FFF2-40B4-BE49-F238E27FC236}">
              <a16:creationId xmlns:a16="http://schemas.microsoft.com/office/drawing/2014/main" id="{F57A9B1D-5F72-4268-8567-B0006D1B3C4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71" name="Text Box 63" hidden="1">
          <a:extLst>
            <a:ext uri="{FF2B5EF4-FFF2-40B4-BE49-F238E27FC236}">
              <a16:creationId xmlns:a16="http://schemas.microsoft.com/office/drawing/2014/main" id="{7DD0487F-F020-43DE-B526-1BCBC9BF7D7D}"/>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2" name="Text Box 86" hidden="1">
          <a:extLst>
            <a:ext uri="{FF2B5EF4-FFF2-40B4-BE49-F238E27FC236}">
              <a16:creationId xmlns:a16="http://schemas.microsoft.com/office/drawing/2014/main" id="{2CD5E1BF-BF99-4413-91C4-5582FE20B0BD}"/>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3" name="Text Box 85" hidden="1">
          <a:extLst>
            <a:ext uri="{FF2B5EF4-FFF2-40B4-BE49-F238E27FC236}">
              <a16:creationId xmlns:a16="http://schemas.microsoft.com/office/drawing/2014/main" id="{8B7A7C88-85CE-466C-882A-EB322BCFA922}"/>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74" name="Text Box 84" hidden="1">
          <a:extLst>
            <a:ext uri="{FF2B5EF4-FFF2-40B4-BE49-F238E27FC236}">
              <a16:creationId xmlns:a16="http://schemas.microsoft.com/office/drawing/2014/main" id="{74AD7363-9528-469B-B933-F0AA728DCBF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75" name="Text Box 83" hidden="1">
          <a:extLst>
            <a:ext uri="{FF2B5EF4-FFF2-40B4-BE49-F238E27FC236}">
              <a16:creationId xmlns:a16="http://schemas.microsoft.com/office/drawing/2014/main" id="{F3EB4DC0-AA62-42A4-99B8-80CF2375D7A7}"/>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6" name="Text Box 82" hidden="1">
          <a:extLst>
            <a:ext uri="{FF2B5EF4-FFF2-40B4-BE49-F238E27FC236}">
              <a16:creationId xmlns:a16="http://schemas.microsoft.com/office/drawing/2014/main" id="{102ADDDE-F8CA-4775-8D84-DED6AC46A7A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77" name="Text Box 81" hidden="1">
          <a:extLst>
            <a:ext uri="{FF2B5EF4-FFF2-40B4-BE49-F238E27FC236}">
              <a16:creationId xmlns:a16="http://schemas.microsoft.com/office/drawing/2014/main" id="{D2EA9298-7117-4DE7-8E17-6BB1C6DE565D}"/>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8" name="Text Box 80" hidden="1">
          <a:extLst>
            <a:ext uri="{FF2B5EF4-FFF2-40B4-BE49-F238E27FC236}">
              <a16:creationId xmlns:a16="http://schemas.microsoft.com/office/drawing/2014/main" id="{5E95FE9C-BBE8-4787-B4FF-3B9E7828EFE7}"/>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9" name="Text Box 79" hidden="1">
          <a:extLst>
            <a:ext uri="{FF2B5EF4-FFF2-40B4-BE49-F238E27FC236}">
              <a16:creationId xmlns:a16="http://schemas.microsoft.com/office/drawing/2014/main" id="{56F37D03-710E-489D-8FC9-3118D548E45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0" name="Text Box 78" hidden="1">
          <a:extLst>
            <a:ext uri="{FF2B5EF4-FFF2-40B4-BE49-F238E27FC236}">
              <a16:creationId xmlns:a16="http://schemas.microsoft.com/office/drawing/2014/main" id="{1439AFBC-5275-4DD3-B5B2-6D9806E8225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1" name="Text Box 77" hidden="1">
          <a:extLst>
            <a:ext uri="{FF2B5EF4-FFF2-40B4-BE49-F238E27FC236}">
              <a16:creationId xmlns:a16="http://schemas.microsoft.com/office/drawing/2014/main" id="{BDCC701F-2A32-41C1-B3FC-00B2FFE6BA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2" name="Text Box 76" hidden="1">
          <a:extLst>
            <a:ext uri="{FF2B5EF4-FFF2-40B4-BE49-F238E27FC236}">
              <a16:creationId xmlns:a16="http://schemas.microsoft.com/office/drawing/2014/main" id="{39462738-F4CB-497D-93E2-71290F670A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3" name="Text Box 75" hidden="1">
          <a:extLst>
            <a:ext uri="{FF2B5EF4-FFF2-40B4-BE49-F238E27FC236}">
              <a16:creationId xmlns:a16="http://schemas.microsoft.com/office/drawing/2014/main" id="{85BF639F-428E-4FDA-9EB6-BF828C650E1B}"/>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84" name="Text Box 74" hidden="1">
          <a:extLst>
            <a:ext uri="{FF2B5EF4-FFF2-40B4-BE49-F238E27FC236}">
              <a16:creationId xmlns:a16="http://schemas.microsoft.com/office/drawing/2014/main" id="{C28598AD-D19C-456B-AA00-7A0D9B82037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85" name="Text Box 73" hidden="1">
          <a:extLst>
            <a:ext uri="{FF2B5EF4-FFF2-40B4-BE49-F238E27FC236}">
              <a16:creationId xmlns:a16="http://schemas.microsoft.com/office/drawing/2014/main" id="{53A2FED6-13AD-459E-B07C-20080ACAE070}"/>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6" name="Text Box 72" hidden="1">
          <a:extLst>
            <a:ext uri="{FF2B5EF4-FFF2-40B4-BE49-F238E27FC236}">
              <a16:creationId xmlns:a16="http://schemas.microsoft.com/office/drawing/2014/main" id="{0B63083A-EE1F-4109-8254-6F4AFE091E9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7" name="Text Box 71" hidden="1">
          <a:extLst>
            <a:ext uri="{FF2B5EF4-FFF2-40B4-BE49-F238E27FC236}">
              <a16:creationId xmlns:a16="http://schemas.microsoft.com/office/drawing/2014/main" id="{509F0491-386A-42D1-969E-5EEF9A4098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8" name="Text Box 70" hidden="1">
          <a:extLst>
            <a:ext uri="{FF2B5EF4-FFF2-40B4-BE49-F238E27FC236}">
              <a16:creationId xmlns:a16="http://schemas.microsoft.com/office/drawing/2014/main" id="{487B36E5-7D78-435A-B97B-415262A31D38}"/>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9" name="Text Box 69" hidden="1">
          <a:extLst>
            <a:ext uri="{FF2B5EF4-FFF2-40B4-BE49-F238E27FC236}">
              <a16:creationId xmlns:a16="http://schemas.microsoft.com/office/drawing/2014/main" id="{26FB2EB6-A7BB-4634-BAA5-4878FA011F12}"/>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0" name="Text Box 104" hidden="1">
          <a:extLst>
            <a:ext uri="{FF2B5EF4-FFF2-40B4-BE49-F238E27FC236}">
              <a16:creationId xmlns:a16="http://schemas.microsoft.com/office/drawing/2014/main" id="{140DD366-9965-4453-A996-77C487B51E5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1" name="Text Box 103" hidden="1">
          <a:extLst>
            <a:ext uri="{FF2B5EF4-FFF2-40B4-BE49-F238E27FC236}">
              <a16:creationId xmlns:a16="http://schemas.microsoft.com/office/drawing/2014/main" id="{F696C3D1-13A0-48FC-987B-CC80540CC71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2" name="Text Box 102" hidden="1">
          <a:extLst>
            <a:ext uri="{FF2B5EF4-FFF2-40B4-BE49-F238E27FC236}">
              <a16:creationId xmlns:a16="http://schemas.microsoft.com/office/drawing/2014/main" id="{30DF85AA-1AF5-4200-9912-544A1FB42AB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3" name="Text Box 101" hidden="1">
          <a:extLst>
            <a:ext uri="{FF2B5EF4-FFF2-40B4-BE49-F238E27FC236}">
              <a16:creationId xmlns:a16="http://schemas.microsoft.com/office/drawing/2014/main" id="{9F258D93-B9D1-4AB9-B115-3A0617E42E8C}"/>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94" name="Text Box 100" hidden="1">
          <a:extLst>
            <a:ext uri="{FF2B5EF4-FFF2-40B4-BE49-F238E27FC236}">
              <a16:creationId xmlns:a16="http://schemas.microsoft.com/office/drawing/2014/main" id="{1676F2EF-F779-4079-A37D-15BB346A9D9D}"/>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95" name="Text Box 99" hidden="1">
          <a:extLst>
            <a:ext uri="{FF2B5EF4-FFF2-40B4-BE49-F238E27FC236}">
              <a16:creationId xmlns:a16="http://schemas.microsoft.com/office/drawing/2014/main" id="{9744C8BF-626B-472C-99B8-160736593567}"/>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6" name="Text Box 98" hidden="1">
          <a:extLst>
            <a:ext uri="{FF2B5EF4-FFF2-40B4-BE49-F238E27FC236}">
              <a16:creationId xmlns:a16="http://schemas.microsoft.com/office/drawing/2014/main" id="{FF0799B3-9097-4562-BE63-237E05AB7BF2}"/>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7" name="Text Box 97" hidden="1">
          <a:extLst>
            <a:ext uri="{FF2B5EF4-FFF2-40B4-BE49-F238E27FC236}">
              <a16:creationId xmlns:a16="http://schemas.microsoft.com/office/drawing/2014/main" id="{6D96148D-E158-4B6F-B098-AD1493592F28}"/>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8" name="Text Box 96" hidden="1">
          <a:extLst>
            <a:ext uri="{FF2B5EF4-FFF2-40B4-BE49-F238E27FC236}">
              <a16:creationId xmlns:a16="http://schemas.microsoft.com/office/drawing/2014/main" id="{35C0D3C9-B6EB-48B6-96B3-672F77319C8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9" name="Text Box 95" hidden="1">
          <a:extLst>
            <a:ext uri="{FF2B5EF4-FFF2-40B4-BE49-F238E27FC236}">
              <a16:creationId xmlns:a16="http://schemas.microsoft.com/office/drawing/2014/main" id="{CDE61EF4-DD71-40A2-9B11-7FE82C2D274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0" name="Text Box 94" hidden="1">
          <a:extLst>
            <a:ext uri="{FF2B5EF4-FFF2-40B4-BE49-F238E27FC236}">
              <a16:creationId xmlns:a16="http://schemas.microsoft.com/office/drawing/2014/main" id="{916745EE-1574-49B9-A20C-8A2B1CDAE34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1" name="Text Box 93" hidden="1">
          <a:extLst>
            <a:ext uri="{FF2B5EF4-FFF2-40B4-BE49-F238E27FC236}">
              <a16:creationId xmlns:a16="http://schemas.microsoft.com/office/drawing/2014/main" id="{FAB7650E-F211-4195-ABD3-2BC7C8DAFD80}"/>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2" name="Text Box 92" hidden="1">
          <a:extLst>
            <a:ext uri="{FF2B5EF4-FFF2-40B4-BE49-F238E27FC236}">
              <a16:creationId xmlns:a16="http://schemas.microsoft.com/office/drawing/2014/main" id="{C912D1D1-4956-41A5-9415-C3E122AE907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3" name="Text Box 91" hidden="1">
          <a:extLst>
            <a:ext uri="{FF2B5EF4-FFF2-40B4-BE49-F238E27FC236}">
              <a16:creationId xmlns:a16="http://schemas.microsoft.com/office/drawing/2014/main" id="{D35255DC-D956-4ED3-BD35-ED58F4F934A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04" name="Text Box 90" hidden="1">
          <a:extLst>
            <a:ext uri="{FF2B5EF4-FFF2-40B4-BE49-F238E27FC236}">
              <a16:creationId xmlns:a16="http://schemas.microsoft.com/office/drawing/2014/main" id="{7A789B45-0C94-4E66-8C4D-075C047957F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05" name="Text Box 89" hidden="1">
          <a:extLst>
            <a:ext uri="{FF2B5EF4-FFF2-40B4-BE49-F238E27FC236}">
              <a16:creationId xmlns:a16="http://schemas.microsoft.com/office/drawing/2014/main" id="{7075B767-A098-4774-80DB-9AD3538BD69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6" name="Text Box 88" hidden="1">
          <a:extLst>
            <a:ext uri="{FF2B5EF4-FFF2-40B4-BE49-F238E27FC236}">
              <a16:creationId xmlns:a16="http://schemas.microsoft.com/office/drawing/2014/main" id="{4D495555-2167-4DA3-B912-5777360BCD4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7" name="Text Box 87" hidden="1">
          <a:extLst>
            <a:ext uri="{FF2B5EF4-FFF2-40B4-BE49-F238E27FC236}">
              <a16:creationId xmlns:a16="http://schemas.microsoft.com/office/drawing/2014/main" id="{5076D378-C09C-4C83-8E8D-DD254949E1D9}"/>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8" name="Text Box 110" hidden="1">
          <a:extLst>
            <a:ext uri="{FF2B5EF4-FFF2-40B4-BE49-F238E27FC236}">
              <a16:creationId xmlns:a16="http://schemas.microsoft.com/office/drawing/2014/main" id="{4DEDFCEF-29C1-40CC-8B71-590128A193C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9" name="Text Box 109" hidden="1">
          <a:extLst>
            <a:ext uri="{FF2B5EF4-FFF2-40B4-BE49-F238E27FC236}">
              <a16:creationId xmlns:a16="http://schemas.microsoft.com/office/drawing/2014/main" id="{C5340568-49B7-4BC6-A954-C22F7B6FC7F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0" name="Text Box 108" hidden="1">
          <a:extLst>
            <a:ext uri="{FF2B5EF4-FFF2-40B4-BE49-F238E27FC236}">
              <a16:creationId xmlns:a16="http://schemas.microsoft.com/office/drawing/2014/main" id="{30757813-294E-43D8-A30A-DF74FD172098}"/>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1" name="Text Box 107" hidden="1">
          <a:extLst>
            <a:ext uri="{FF2B5EF4-FFF2-40B4-BE49-F238E27FC236}">
              <a16:creationId xmlns:a16="http://schemas.microsoft.com/office/drawing/2014/main" id="{3E372671-DD52-467E-B815-5F72DEE53386}"/>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2" name="Text Box 106" hidden="1">
          <a:extLst>
            <a:ext uri="{FF2B5EF4-FFF2-40B4-BE49-F238E27FC236}">
              <a16:creationId xmlns:a16="http://schemas.microsoft.com/office/drawing/2014/main" id="{2C0B3DFC-843B-483B-A265-7E764EF5CB05}"/>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3" name="Text Box 105" hidden="1">
          <a:extLst>
            <a:ext uri="{FF2B5EF4-FFF2-40B4-BE49-F238E27FC236}">
              <a16:creationId xmlns:a16="http://schemas.microsoft.com/office/drawing/2014/main" id="{59E4EE90-4E78-4977-97AA-F55B943BAC7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14" name="Text Box 116" hidden="1">
          <a:extLst>
            <a:ext uri="{FF2B5EF4-FFF2-40B4-BE49-F238E27FC236}">
              <a16:creationId xmlns:a16="http://schemas.microsoft.com/office/drawing/2014/main" id="{15AB3B42-AABF-485C-92BE-FAF0E187AF1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15" name="Text Box 115" hidden="1">
          <a:extLst>
            <a:ext uri="{FF2B5EF4-FFF2-40B4-BE49-F238E27FC236}">
              <a16:creationId xmlns:a16="http://schemas.microsoft.com/office/drawing/2014/main" id="{C70B5D0D-75AF-4E24-9674-A292D18D9E4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6" name="Text Box 114" hidden="1">
          <a:extLst>
            <a:ext uri="{FF2B5EF4-FFF2-40B4-BE49-F238E27FC236}">
              <a16:creationId xmlns:a16="http://schemas.microsoft.com/office/drawing/2014/main" id="{443D3755-61CC-49F0-A6CB-6B4A37EC1D64}"/>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7" name="Text Box 113" hidden="1">
          <a:extLst>
            <a:ext uri="{FF2B5EF4-FFF2-40B4-BE49-F238E27FC236}">
              <a16:creationId xmlns:a16="http://schemas.microsoft.com/office/drawing/2014/main" id="{08FC0B3E-047D-4D58-9FEA-B30257827B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8" name="Text Box 112" hidden="1">
          <a:extLst>
            <a:ext uri="{FF2B5EF4-FFF2-40B4-BE49-F238E27FC236}">
              <a16:creationId xmlns:a16="http://schemas.microsoft.com/office/drawing/2014/main" id="{693C41FB-BC66-41A5-8A99-158C8046B2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9" name="Text Box 111" hidden="1">
          <a:extLst>
            <a:ext uri="{FF2B5EF4-FFF2-40B4-BE49-F238E27FC236}">
              <a16:creationId xmlns:a16="http://schemas.microsoft.com/office/drawing/2014/main" id="{670EFDBE-AFDD-40F8-8365-9EF081D82F7F}"/>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0" name="Text Box 122" hidden="1">
          <a:extLst>
            <a:ext uri="{FF2B5EF4-FFF2-40B4-BE49-F238E27FC236}">
              <a16:creationId xmlns:a16="http://schemas.microsoft.com/office/drawing/2014/main" id="{2F790BC4-FFBC-424D-B6DE-A110A8DEC03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1" name="Text Box 121" hidden="1">
          <a:extLst>
            <a:ext uri="{FF2B5EF4-FFF2-40B4-BE49-F238E27FC236}">
              <a16:creationId xmlns:a16="http://schemas.microsoft.com/office/drawing/2014/main" id="{9E74D523-CFD4-4425-B0B5-4797923C1715}"/>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2" name="Text Box 120" hidden="1">
          <a:extLst>
            <a:ext uri="{FF2B5EF4-FFF2-40B4-BE49-F238E27FC236}">
              <a16:creationId xmlns:a16="http://schemas.microsoft.com/office/drawing/2014/main" id="{6BF3B248-ACB0-4C6B-BA77-AC12567F0436}"/>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3" name="Text Box 119" hidden="1">
          <a:extLst>
            <a:ext uri="{FF2B5EF4-FFF2-40B4-BE49-F238E27FC236}">
              <a16:creationId xmlns:a16="http://schemas.microsoft.com/office/drawing/2014/main" id="{799C28BA-C92D-4797-B494-51DD7F2E6A4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24" name="Text Box 118" hidden="1">
          <a:extLst>
            <a:ext uri="{FF2B5EF4-FFF2-40B4-BE49-F238E27FC236}">
              <a16:creationId xmlns:a16="http://schemas.microsoft.com/office/drawing/2014/main" id="{A8363CD9-C95A-46FA-9255-7693EFEB448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25" name="Text Box 117" hidden="1">
          <a:extLst>
            <a:ext uri="{FF2B5EF4-FFF2-40B4-BE49-F238E27FC236}">
              <a16:creationId xmlns:a16="http://schemas.microsoft.com/office/drawing/2014/main" id="{BFAA3AE4-3D08-46E6-9269-3DD944B3D0DA}"/>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6" name="Text Box 128" hidden="1">
          <a:extLst>
            <a:ext uri="{FF2B5EF4-FFF2-40B4-BE49-F238E27FC236}">
              <a16:creationId xmlns:a16="http://schemas.microsoft.com/office/drawing/2014/main" id="{96AA7849-F06B-44D1-ADA4-B86469168D6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7" name="Text Box 127" hidden="1">
          <a:extLst>
            <a:ext uri="{FF2B5EF4-FFF2-40B4-BE49-F238E27FC236}">
              <a16:creationId xmlns:a16="http://schemas.microsoft.com/office/drawing/2014/main" id="{97621779-5B4F-4D87-A78A-219EF3D8389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8" name="Text Box 126" hidden="1">
          <a:extLst>
            <a:ext uri="{FF2B5EF4-FFF2-40B4-BE49-F238E27FC236}">
              <a16:creationId xmlns:a16="http://schemas.microsoft.com/office/drawing/2014/main" id="{D4DC5900-B765-4C76-B5BC-9CD71B994B67}"/>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9" name="Text Box 125" hidden="1">
          <a:extLst>
            <a:ext uri="{FF2B5EF4-FFF2-40B4-BE49-F238E27FC236}">
              <a16:creationId xmlns:a16="http://schemas.microsoft.com/office/drawing/2014/main" id="{FAAE5544-4B9D-4F5F-8581-FBB7E9F35BA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0" name="Text Box 124" hidden="1">
          <a:extLst>
            <a:ext uri="{FF2B5EF4-FFF2-40B4-BE49-F238E27FC236}">
              <a16:creationId xmlns:a16="http://schemas.microsoft.com/office/drawing/2014/main" id="{251AC69C-5206-4C9C-96E3-0A72AAA872A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1" name="Text Box 123" hidden="1">
          <a:extLst>
            <a:ext uri="{FF2B5EF4-FFF2-40B4-BE49-F238E27FC236}">
              <a16:creationId xmlns:a16="http://schemas.microsoft.com/office/drawing/2014/main" id="{AB64848B-5F8D-4C00-8124-EC79595DEB8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32" name="Text Box 134" hidden="1">
          <a:extLst>
            <a:ext uri="{FF2B5EF4-FFF2-40B4-BE49-F238E27FC236}">
              <a16:creationId xmlns:a16="http://schemas.microsoft.com/office/drawing/2014/main" id="{2072E13E-5441-4245-881C-AB5417B8C37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33" name="Text Box 133" hidden="1">
          <a:extLst>
            <a:ext uri="{FF2B5EF4-FFF2-40B4-BE49-F238E27FC236}">
              <a16:creationId xmlns:a16="http://schemas.microsoft.com/office/drawing/2014/main" id="{850E21FE-16F2-4974-B56A-9AF5807AD5C9}"/>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34" name="Text Box 132" hidden="1">
          <a:extLst>
            <a:ext uri="{FF2B5EF4-FFF2-40B4-BE49-F238E27FC236}">
              <a16:creationId xmlns:a16="http://schemas.microsoft.com/office/drawing/2014/main" id="{5E921CF9-98D0-4A98-A60D-C988FFBC9413}"/>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35" name="Text Box 131" hidden="1">
          <a:extLst>
            <a:ext uri="{FF2B5EF4-FFF2-40B4-BE49-F238E27FC236}">
              <a16:creationId xmlns:a16="http://schemas.microsoft.com/office/drawing/2014/main" id="{2D27CC75-C338-44BF-AC40-C36060A9707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6" name="Text Box 130" hidden="1">
          <a:extLst>
            <a:ext uri="{FF2B5EF4-FFF2-40B4-BE49-F238E27FC236}">
              <a16:creationId xmlns:a16="http://schemas.microsoft.com/office/drawing/2014/main" id="{D37427C7-01BC-492D-BC8C-3F45EAC4623F}"/>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7" name="Text Box 129" hidden="1">
          <a:extLst>
            <a:ext uri="{FF2B5EF4-FFF2-40B4-BE49-F238E27FC236}">
              <a16:creationId xmlns:a16="http://schemas.microsoft.com/office/drawing/2014/main" id="{63947337-8EC4-4835-9E06-794D773FF4F1}"/>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38" name="Text Box 140" hidden="1">
          <a:extLst>
            <a:ext uri="{FF2B5EF4-FFF2-40B4-BE49-F238E27FC236}">
              <a16:creationId xmlns:a16="http://schemas.microsoft.com/office/drawing/2014/main" id="{66319C26-001F-44A6-A74A-CD7B040FFDEF}"/>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39" name="Text Box 139" hidden="1">
          <a:extLst>
            <a:ext uri="{FF2B5EF4-FFF2-40B4-BE49-F238E27FC236}">
              <a16:creationId xmlns:a16="http://schemas.microsoft.com/office/drawing/2014/main" id="{33A3E441-9FE7-49DD-952B-AF0997560A0A}"/>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0" name="Text Box 137" hidden="1">
          <a:extLst>
            <a:ext uri="{FF2B5EF4-FFF2-40B4-BE49-F238E27FC236}">
              <a16:creationId xmlns:a16="http://schemas.microsoft.com/office/drawing/2014/main" id="{E721F186-6207-45F8-BB36-BE88116110D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1" name="Text Box 136" hidden="1">
          <a:extLst>
            <a:ext uri="{FF2B5EF4-FFF2-40B4-BE49-F238E27FC236}">
              <a16:creationId xmlns:a16="http://schemas.microsoft.com/office/drawing/2014/main" id="{07D6056D-4FF4-4A5B-B8D2-5FAC1D2D416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2" name="Text Box 135" hidden="1">
          <a:extLst>
            <a:ext uri="{FF2B5EF4-FFF2-40B4-BE49-F238E27FC236}">
              <a16:creationId xmlns:a16="http://schemas.microsoft.com/office/drawing/2014/main" id="{D0D435E5-16A4-4E90-BF49-865DA5C59995}"/>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43" name="Text Box 141" hidden="1">
          <a:extLst>
            <a:ext uri="{FF2B5EF4-FFF2-40B4-BE49-F238E27FC236}">
              <a16:creationId xmlns:a16="http://schemas.microsoft.com/office/drawing/2014/main" id="{8C30F75C-104C-4162-9592-AE3DBA9F12E9}"/>
            </a:ext>
          </a:extLst>
        </xdr:cNvPr>
        <xdr:cNvSpPr txBox="1">
          <a:spLocks noChangeArrowheads="1"/>
        </xdr:cNvSpPr>
      </xdr:nvSpPr>
      <xdr:spPr bwMode="auto">
        <a:xfrm>
          <a:off x="18155392" y="3333750"/>
          <a:ext cx="1295400" cy="759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44" name="Text Box 142" hidden="1">
          <a:extLst>
            <a:ext uri="{FF2B5EF4-FFF2-40B4-BE49-F238E27FC236}">
              <a16:creationId xmlns:a16="http://schemas.microsoft.com/office/drawing/2014/main" id="{DFE1C89C-4710-431B-8DC2-F7D3747B0AF0}"/>
            </a:ext>
          </a:extLst>
        </xdr:cNvPr>
        <xdr:cNvSpPr txBox="1">
          <a:spLocks noChangeArrowheads="1"/>
        </xdr:cNvSpPr>
      </xdr:nvSpPr>
      <xdr:spPr bwMode="auto">
        <a:xfrm>
          <a:off x="4231821" y="613073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45" name="Text Box 7" hidden="1">
          <a:extLst>
            <a:ext uri="{FF2B5EF4-FFF2-40B4-BE49-F238E27FC236}">
              <a16:creationId xmlns:a16="http://schemas.microsoft.com/office/drawing/2014/main" id="{21DE68F4-FA3C-42A6-B3B6-40472509CA5D}"/>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46" name="Text Box 6" hidden="1">
          <a:extLst>
            <a:ext uri="{FF2B5EF4-FFF2-40B4-BE49-F238E27FC236}">
              <a16:creationId xmlns:a16="http://schemas.microsoft.com/office/drawing/2014/main" id="{A2E5A053-4F83-4451-935B-EBF5AED37C27}"/>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7" name="Text Box 5" hidden="1">
          <a:extLst>
            <a:ext uri="{FF2B5EF4-FFF2-40B4-BE49-F238E27FC236}">
              <a16:creationId xmlns:a16="http://schemas.microsoft.com/office/drawing/2014/main" id="{D814DA69-F4DC-49E0-8A46-62B4D2E63DDD}"/>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8" name="Text Box 4" hidden="1">
          <a:extLst>
            <a:ext uri="{FF2B5EF4-FFF2-40B4-BE49-F238E27FC236}">
              <a16:creationId xmlns:a16="http://schemas.microsoft.com/office/drawing/2014/main" id="{E3F4B05A-E575-4CBB-8E2D-1F4EE76F260E}"/>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9" name="Text Box 3" hidden="1">
          <a:extLst>
            <a:ext uri="{FF2B5EF4-FFF2-40B4-BE49-F238E27FC236}">
              <a16:creationId xmlns:a16="http://schemas.microsoft.com/office/drawing/2014/main" id="{0E315EC2-FC16-47DF-AD17-AE32A141598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0" name="Text Box 2" hidden="1">
          <a:extLst>
            <a:ext uri="{FF2B5EF4-FFF2-40B4-BE49-F238E27FC236}">
              <a16:creationId xmlns:a16="http://schemas.microsoft.com/office/drawing/2014/main" id="{1564EECB-0BDC-42CF-A717-67A1583396FF}"/>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1" name="Text Box 1" hidden="1">
          <a:extLst>
            <a:ext uri="{FF2B5EF4-FFF2-40B4-BE49-F238E27FC236}">
              <a16:creationId xmlns:a16="http://schemas.microsoft.com/office/drawing/2014/main" id="{D6318865-82D3-490B-8E68-70A88AE61A19}"/>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2" name="Text Box 14" hidden="1">
          <a:extLst>
            <a:ext uri="{FF2B5EF4-FFF2-40B4-BE49-F238E27FC236}">
              <a16:creationId xmlns:a16="http://schemas.microsoft.com/office/drawing/2014/main" id="{83E2DD87-A69E-406B-86B7-AFBC6A111650}"/>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53" name="Text Box 13" hidden="1">
          <a:extLst>
            <a:ext uri="{FF2B5EF4-FFF2-40B4-BE49-F238E27FC236}">
              <a16:creationId xmlns:a16="http://schemas.microsoft.com/office/drawing/2014/main" id="{78BDC4E8-3EC9-46BF-BE0D-43BF35979E90}"/>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54" name="Text Box 12" hidden="1">
          <a:extLst>
            <a:ext uri="{FF2B5EF4-FFF2-40B4-BE49-F238E27FC236}">
              <a16:creationId xmlns:a16="http://schemas.microsoft.com/office/drawing/2014/main" id="{9A6117FE-A532-441B-9059-089661CEC13B}"/>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55" name="Text Box 11" hidden="1">
          <a:extLst>
            <a:ext uri="{FF2B5EF4-FFF2-40B4-BE49-F238E27FC236}">
              <a16:creationId xmlns:a16="http://schemas.microsoft.com/office/drawing/2014/main" id="{D2BD63AB-852C-428D-922E-1A8D02A6E27A}"/>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56" name="Text Box 10" hidden="1">
          <a:extLst>
            <a:ext uri="{FF2B5EF4-FFF2-40B4-BE49-F238E27FC236}">
              <a16:creationId xmlns:a16="http://schemas.microsoft.com/office/drawing/2014/main" id="{5848EAEB-9414-43D9-9785-EB446251048B}"/>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7" name="Text Box 9" hidden="1">
          <a:extLst>
            <a:ext uri="{FF2B5EF4-FFF2-40B4-BE49-F238E27FC236}">
              <a16:creationId xmlns:a16="http://schemas.microsoft.com/office/drawing/2014/main" id="{E22328D5-68DA-4AA2-8192-855B4ED720F4}"/>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8" name="Text Box 8" hidden="1">
          <a:extLst>
            <a:ext uri="{FF2B5EF4-FFF2-40B4-BE49-F238E27FC236}">
              <a16:creationId xmlns:a16="http://schemas.microsoft.com/office/drawing/2014/main" id="{D83CF02B-C53B-4B22-8892-E060AC5838A7}"/>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9" name="Text Box 21" hidden="1">
          <a:extLst>
            <a:ext uri="{FF2B5EF4-FFF2-40B4-BE49-F238E27FC236}">
              <a16:creationId xmlns:a16="http://schemas.microsoft.com/office/drawing/2014/main" id="{0D7F6E80-9D7B-49FE-A755-0D0A06693906}"/>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60" name="Text Box 20" hidden="1">
          <a:extLst>
            <a:ext uri="{FF2B5EF4-FFF2-40B4-BE49-F238E27FC236}">
              <a16:creationId xmlns:a16="http://schemas.microsoft.com/office/drawing/2014/main" id="{DBD99CEB-E542-4CDA-B0E1-2AC5E54070FB}"/>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61" name="Text Box 19" hidden="1">
          <a:extLst>
            <a:ext uri="{FF2B5EF4-FFF2-40B4-BE49-F238E27FC236}">
              <a16:creationId xmlns:a16="http://schemas.microsoft.com/office/drawing/2014/main" id="{1A824823-8858-448C-BD26-DCAB92E4DF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62" name="Text Box 18" hidden="1">
          <a:extLst>
            <a:ext uri="{FF2B5EF4-FFF2-40B4-BE49-F238E27FC236}">
              <a16:creationId xmlns:a16="http://schemas.microsoft.com/office/drawing/2014/main" id="{41C8E05F-1C9A-49E0-A7ED-B44992816A8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63" name="Text Box 17" hidden="1">
          <a:extLst>
            <a:ext uri="{FF2B5EF4-FFF2-40B4-BE49-F238E27FC236}">
              <a16:creationId xmlns:a16="http://schemas.microsoft.com/office/drawing/2014/main" id="{B8231510-1F9F-462A-9B9D-8D42EE51A5D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64" name="Text Box 16" hidden="1">
          <a:extLst>
            <a:ext uri="{FF2B5EF4-FFF2-40B4-BE49-F238E27FC236}">
              <a16:creationId xmlns:a16="http://schemas.microsoft.com/office/drawing/2014/main" id="{8B01DD34-9B57-48A7-AED3-1AA15D485A5B}"/>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65" name="Text Box 15" hidden="1">
          <a:extLst>
            <a:ext uri="{FF2B5EF4-FFF2-40B4-BE49-F238E27FC236}">
              <a16:creationId xmlns:a16="http://schemas.microsoft.com/office/drawing/2014/main" id="{3695FF8E-9907-4795-8716-4958ACA87423}"/>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66" name="Text Box 28" hidden="1">
          <a:extLst>
            <a:ext uri="{FF2B5EF4-FFF2-40B4-BE49-F238E27FC236}">
              <a16:creationId xmlns:a16="http://schemas.microsoft.com/office/drawing/2014/main" id="{59EC351B-2BEA-49A6-8395-0B59189EA08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67" name="Text Box 27" hidden="1">
          <a:extLst>
            <a:ext uri="{FF2B5EF4-FFF2-40B4-BE49-F238E27FC236}">
              <a16:creationId xmlns:a16="http://schemas.microsoft.com/office/drawing/2014/main" id="{363908C4-019E-4271-A0BE-49DE12BD5DAA}"/>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68" name="Text Box 26" hidden="1">
          <a:extLst>
            <a:ext uri="{FF2B5EF4-FFF2-40B4-BE49-F238E27FC236}">
              <a16:creationId xmlns:a16="http://schemas.microsoft.com/office/drawing/2014/main" id="{2175D138-1191-4D5C-8F2C-F44D138503DE}"/>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69" name="Text Box 25" hidden="1">
          <a:extLst>
            <a:ext uri="{FF2B5EF4-FFF2-40B4-BE49-F238E27FC236}">
              <a16:creationId xmlns:a16="http://schemas.microsoft.com/office/drawing/2014/main" id="{E5F5E3A0-400A-46E3-8647-D031FF09A51C}"/>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70" name="Text Box 23" hidden="1">
          <a:extLst>
            <a:ext uri="{FF2B5EF4-FFF2-40B4-BE49-F238E27FC236}">
              <a16:creationId xmlns:a16="http://schemas.microsoft.com/office/drawing/2014/main" id="{4BBE1549-2E6B-4E36-B87C-023CD3DCA94D}"/>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71" name="Text Box 22" hidden="1">
          <a:extLst>
            <a:ext uri="{FF2B5EF4-FFF2-40B4-BE49-F238E27FC236}">
              <a16:creationId xmlns:a16="http://schemas.microsoft.com/office/drawing/2014/main" id="{00881DA9-A1A6-41B2-B617-ACFED587BF13}"/>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72" name="Text Box 37" hidden="1">
          <a:extLst>
            <a:ext uri="{FF2B5EF4-FFF2-40B4-BE49-F238E27FC236}">
              <a16:creationId xmlns:a16="http://schemas.microsoft.com/office/drawing/2014/main" id="{49CC181B-1A23-44E8-9D37-090B10E0A2C3}"/>
            </a:ext>
          </a:extLst>
        </xdr:cNvPr>
        <xdr:cNvSpPr txBox="1">
          <a:spLocks noChangeArrowheads="1"/>
        </xdr:cNvSpPr>
      </xdr:nvSpPr>
      <xdr:spPr bwMode="auto">
        <a:xfrm>
          <a:off x="4248150" y="20396954"/>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73" name="Text Box 38" hidden="1">
          <a:extLst>
            <a:ext uri="{FF2B5EF4-FFF2-40B4-BE49-F238E27FC236}">
              <a16:creationId xmlns:a16="http://schemas.microsoft.com/office/drawing/2014/main" id="{704BF8E9-0609-4AD7-8606-796FD696722B}"/>
            </a:ext>
          </a:extLst>
        </xdr:cNvPr>
        <xdr:cNvSpPr txBox="1">
          <a:spLocks noChangeArrowheads="1"/>
        </xdr:cNvSpPr>
      </xdr:nvSpPr>
      <xdr:spPr bwMode="auto">
        <a:xfrm>
          <a:off x="18945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74" name="Text Box 39" hidden="1">
          <a:extLst>
            <a:ext uri="{FF2B5EF4-FFF2-40B4-BE49-F238E27FC236}">
              <a16:creationId xmlns:a16="http://schemas.microsoft.com/office/drawing/2014/main" id="{FB8FDA94-624C-432B-B61B-1AD58BD86818}"/>
            </a:ext>
          </a:extLst>
        </xdr:cNvPr>
        <xdr:cNvSpPr txBox="1">
          <a:spLocks noChangeArrowheads="1"/>
        </xdr:cNvSpPr>
      </xdr:nvSpPr>
      <xdr:spPr bwMode="auto">
        <a:xfrm>
          <a:off x="21993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75" name="Text Box 40" hidden="1">
          <a:extLst>
            <a:ext uri="{FF2B5EF4-FFF2-40B4-BE49-F238E27FC236}">
              <a16:creationId xmlns:a16="http://schemas.microsoft.com/office/drawing/2014/main" id="{23CC62C3-4FC4-405A-BD28-CD78D1BE497B}"/>
            </a:ext>
          </a:extLst>
        </xdr:cNvPr>
        <xdr:cNvSpPr txBox="1">
          <a:spLocks noChangeArrowheads="1"/>
        </xdr:cNvSpPr>
      </xdr:nvSpPr>
      <xdr:spPr bwMode="auto">
        <a:xfrm>
          <a:off x="25041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76" name="Text Box 50" hidden="1">
          <a:extLst>
            <a:ext uri="{FF2B5EF4-FFF2-40B4-BE49-F238E27FC236}">
              <a16:creationId xmlns:a16="http://schemas.microsoft.com/office/drawing/2014/main" id="{23B62F38-2AEF-4D82-8C09-29E13427ABC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77" name="Text Box 49" hidden="1">
          <a:extLst>
            <a:ext uri="{FF2B5EF4-FFF2-40B4-BE49-F238E27FC236}">
              <a16:creationId xmlns:a16="http://schemas.microsoft.com/office/drawing/2014/main" id="{CE1D92BF-7D5A-4D21-A955-EAB5FF3AB220}"/>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78" name="Text Box 48" hidden="1">
          <a:extLst>
            <a:ext uri="{FF2B5EF4-FFF2-40B4-BE49-F238E27FC236}">
              <a16:creationId xmlns:a16="http://schemas.microsoft.com/office/drawing/2014/main" id="{0BFA9765-1181-40EC-820A-A47B9C0CF1A6}"/>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79" name="Text Box 47" hidden="1">
          <a:extLst>
            <a:ext uri="{FF2B5EF4-FFF2-40B4-BE49-F238E27FC236}">
              <a16:creationId xmlns:a16="http://schemas.microsoft.com/office/drawing/2014/main" id="{D12AAC03-354A-4E19-BB70-ED59CDE9EA66}"/>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80" name="Text Box 46" hidden="1">
          <a:extLst>
            <a:ext uri="{FF2B5EF4-FFF2-40B4-BE49-F238E27FC236}">
              <a16:creationId xmlns:a16="http://schemas.microsoft.com/office/drawing/2014/main" id="{5FBA5CB2-D577-4AF0-A487-79AF72422848}"/>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81" name="Text Box 45" hidden="1">
          <a:extLst>
            <a:ext uri="{FF2B5EF4-FFF2-40B4-BE49-F238E27FC236}">
              <a16:creationId xmlns:a16="http://schemas.microsoft.com/office/drawing/2014/main" id="{2D88CE49-A56A-437B-AE53-1F1D492000F7}"/>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82" name="Text Box 44" hidden="1">
          <a:extLst>
            <a:ext uri="{FF2B5EF4-FFF2-40B4-BE49-F238E27FC236}">
              <a16:creationId xmlns:a16="http://schemas.microsoft.com/office/drawing/2014/main" id="{4A32B2B9-BF72-4105-9717-3413CD947921}"/>
            </a:ext>
          </a:extLst>
        </xdr:cNvPr>
        <xdr:cNvSpPr txBox="1">
          <a:spLocks noChangeArrowheads="1"/>
        </xdr:cNvSpPr>
      </xdr:nvSpPr>
      <xdr:spPr bwMode="auto">
        <a:xfrm>
          <a:off x="4248150" y="20396954"/>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83" name="Text Box 43" hidden="1">
          <a:extLst>
            <a:ext uri="{FF2B5EF4-FFF2-40B4-BE49-F238E27FC236}">
              <a16:creationId xmlns:a16="http://schemas.microsoft.com/office/drawing/2014/main" id="{E4E43BF8-E5C1-4BBB-9B97-E70AF92967EF}"/>
            </a:ext>
          </a:extLst>
        </xdr:cNvPr>
        <xdr:cNvSpPr txBox="1">
          <a:spLocks noChangeArrowheads="1"/>
        </xdr:cNvSpPr>
      </xdr:nvSpPr>
      <xdr:spPr bwMode="auto">
        <a:xfrm>
          <a:off x="18945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84" name="Text Box 42" hidden="1">
          <a:extLst>
            <a:ext uri="{FF2B5EF4-FFF2-40B4-BE49-F238E27FC236}">
              <a16:creationId xmlns:a16="http://schemas.microsoft.com/office/drawing/2014/main" id="{628AD9FF-6EB6-4A13-A047-6C2B72BE4AC8}"/>
            </a:ext>
          </a:extLst>
        </xdr:cNvPr>
        <xdr:cNvSpPr txBox="1">
          <a:spLocks noChangeArrowheads="1"/>
        </xdr:cNvSpPr>
      </xdr:nvSpPr>
      <xdr:spPr bwMode="auto">
        <a:xfrm>
          <a:off x="21993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85" name="Text Box 41" hidden="1">
          <a:extLst>
            <a:ext uri="{FF2B5EF4-FFF2-40B4-BE49-F238E27FC236}">
              <a16:creationId xmlns:a16="http://schemas.microsoft.com/office/drawing/2014/main" id="{C7CA1978-FE5D-4C7D-8120-C2849B76A1DD}"/>
            </a:ext>
          </a:extLst>
        </xdr:cNvPr>
        <xdr:cNvSpPr txBox="1">
          <a:spLocks noChangeArrowheads="1"/>
        </xdr:cNvSpPr>
      </xdr:nvSpPr>
      <xdr:spPr bwMode="auto">
        <a:xfrm>
          <a:off x="25041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47625</xdr:rowOff>
    </xdr:to>
    <xdr:sp macro="" textlink="">
      <xdr:nvSpPr>
        <xdr:cNvPr id="186" name="Text Box 51" hidden="1">
          <a:extLst>
            <a:ext uri="{FF2B5EF4-FFF2-40B4-BE49-F238E27FC236}">
              <a16:creationId xmlns:a16="http://schemas.microsoft.com/office/drawing/2014/main" id="{D562EA69-3472-4D43-8391-9A407D33EDD5}"/>
            </a:ext>
          </a:extLst>
        </xdr:cNvPr>
        <xdr:cNvSpPr txBox="1">
          <a:spLocks noChangeArrowheads="1"/>
        </xdr:cNvSpPr>
      </xdr:nvSpPr>
      <xdr:spPr bwMode="auto">
        <a:xfrm>
          <a:off x="20526540" y="2038350"/>
          <a:ext cx="1344083"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187" name="Text Box 11" hidden="1">
          <a:extLst>
            <a:ext uri="{FF2B5EF4-FFF2-40B4-BE49-F238E27FC236}">
              <a16:creationId xmlns:a16="http://schemas.microsoft.com/office/drawing/2014/main" id="{8F493DEE-8609-4F27-9742-3CEC5B04624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188" name="Text Box 10" hidden="1">
          <a:extLst>
            <a:ext uri="{FF2B5EF4-FFF2-40B4-BE49-F238E27FC236}">
              <a16:creationId xmlns:a16="http://schemas.microsoft.com/office/drawing/2014/main" id="{4275B566-755E-4DDB-B11E-541E28EBA430}"/>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189" name="Text Box 9" hidden="1">
          <a:extLst>
            <a:ext uri="{FF2B5EF4-FFF2-40B4-BE49-F238E27FC236}">
              <a16:creationId xmlns:a16="http://schemas.microsoft.com/office/drawing/2014/main" id="{54F55823-DDB6-450C-8F32-6E952A838AB6}"/>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190" name="Text Box 8" hidden="1">
          <a:extLst>
            <a:ext uri="{FF2B5EF4-FFF2-40B4-BE49-F238E27FC236}">
              <a16:creationId xmlns:a16="http://schemas.microsoft.com/office/drawing/2014/main" id="{C783C74E-FECD-4A88-B917-10FF1C68E622}"/>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191" name="Text Box 7" hidden="1">
          <a:extLst>
            <a:ext uri="{FF2B5EF4-FFF2-40B4-BE49-F238E27FC236}">
              <a16:creationId xmlns:a16="http://schemas.microsoft.com/office/drawing/2014/main" id="{E6929994-BA8B-4A34-9A6E-369B27A6389B}"/>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192" name="Text Box 6" hidden="1">
          <a:extLst>
            <a:ext uri="{FF2B5EF4-FFF2-40B4-BE49-F238E27FC236}">
              <a16:creationId xmlns:a16="http://schemas.microsoft.com/office/drawing/2014/main" id="{6D0E3F22-66C9-4E15-81C8-DC50D1D37136}"/>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193" name="Text Box 5" hidden="1">
          <a:extLst>
            <a:ext uri="{FF2B5EF4-FFF2-40B4-BE49-F238E27FC236}">
              <a16:creationId xmlns:a16="http://schemas.microsoft.com/office/drawing/2014/main" id="{5D83DA64-F907-4B30-A8BE-CD873B7F6780}"/>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194" name="Text Box 4" hidden="1">
          <a:extLst>
            <a:ext uri="{FF2B5EF4-FFF2-40B4-BE49-F238E27FC236}">
              <a16:creationId xmlns:a16="http://schemas.microsoft.com/office/drawing/2014/main" id="{5B1A011C-E922-4DDD-AF05-A610088DBF4B}"/>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195" name="Text Box 3" hidden="1">
          <a:extLst>
            <a:ext uri="{FF2B5EF4-FFF2-40B4-BE49-F238E27FC236}">
              <a16:creationId xmlns:a16="http://schemas.microsoft.com/office/drawing/2014/main" id="{A29BE5FA-6441-4B05-8CA3-9DC92CB7586A}"/>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196" name="Text Box 2" hidden="1">
          <a:extLst>
            <a:ext uri="{FF2B5EF4-FFF2-40B4-BE49-F238E27FC236}">
              <a16:creationId xmlns:a16="http://schemas.microsoft.com/office/drawing/2014/main" id="{D576BA34-2D67-40C6-986F-79D656A9FFFE}"/>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197" name="Text Box 1" hidden="1">
          <a:extLst>
            <a:ext uri="{FF2B5EF4-FFF2-40B4-BE49-F238E27FC236}">
              <a16:creationId xmlns:a16="http://schemas.microsoft.com/office/drawing/2014/main" id="{69261D82-7C51-4496-A20F-799DE99C0E3A}"/>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198" name="Text Box 12" hidden="1">
          <a:extLst>
            <a:ext uri="{FF2B5EF4-FFF2-40B4-BE49-F238E27FC236}">
              <a16:creationId xmlns:a16="http://schemas.microsoft.com/office/drawing/2014/main" id="{B855240E-A159-4CEC-A5A9-FF9ED87D7C2E}"/>
            </a:ext>
          </a:extLst>
        </xdr:cNvPr>
        <xdr:cNvSpPr txBox="1">
          <a:spLocks noChangeArrowheads="1"/>
        </xdr:cNvSpPr>
      </xdr:nvSpPr>
      <xdr:spPr bwMode="auto">
        <a:xfrm>
          <a:off x="4991100" y="11766550"/>
          <a:ext cx="1428750" cy="8070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199" name="Text Box 25" hidden="1">
          <a:extLst>
            <a:ext uri="{FF2B5EF4-FFF2-40B4-BE49-F238E27FC236}">
              <a16:creationId xmlns:a16="http://schemas.microsoft.com/office/drawing/2014/main" id="{3A32E49E-2B71-485D-A7DA-EA68D96A4095}"/>
            </a:ext>
          </a:extLst>
        </xdr:cNvPr>
        <xdr:cNvSpPr txBox="1">
          <a:spLocks noChangeArrowheads="1"/>
        </xdr:cNvSpPr>
      </xdr:nvSpPr>
      <xdr:spPr bwMode="auto">
        <a:xfrm>
          <a:off x="19735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00" name="Text Box 26" hidden="1">
          <a:extLst>
            <a:ext uri="{FF2B5EF4-FFF2-40B4-BE49-F238E27FC236}">
              <a16:creationId xmlns:a16="http://schemas.microsoft.com/office/drawing/2014/main" id="{2657FE60-C89C-460F-AFCF-C1D5EEE0C3C6}"/>
            </a:ext>
          </a:extLst>
        </xdr:cNvPr>
        <xdr:cNvSpPr txBox="1">
          <a:spLocks noChangeArrowheads="1"/>
        </xdr:cNvSpPr>
      </xdr:nvSpPr>
      <xdr:spPr bwMode="auto">
        <a:xfrm>
          <a:off x="22783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01" name="Text Box 27" hidden="1">
          <a:extLst>
            <a:ext uri="{FF2B5EF4-FFF2-40B4-BE49-F238E27FC236}">
              <a16:creationId xmlns:a16="http://schemas.microsoft.com/office/drawing/2014/main" id="{CD52DC2A-0BB0-4D69-A832-73598A5E6ED8}"/>
            </a:ext>
          </a:extLst>
        </xdr:cNvPr>
        <xdr:cNvSpPr txBox="1">
          <a:spLocks noChangeArrowheads="1"/>
        </xdr:cNvSpPr>
      </xdr:nvSpPr>
      <xdr:spPr bwMode="auto">
        <a:xfrm>
          <a:off x="25831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171076</xdr:rowOff>
    </xdr:to>
    <xdr:sp macro="" textlink="">
      <xdr:nvSpPr>
        <xdr:cNvPr id="202" name="Text Box 28" hidden="1">
          <a:extLst>
            <a:ext uri="{FF2B5EF4-FFF2-40B4-BE49-F238E27FC236}">
              <a16:creationId xmlns:a16="http://schemas.microsoft.com/office/drawing/2014/main" id="{BBED84C2-B806-4693-8683-EBEB237CD38D}"/>
            </a:ext>
          </a:extLst>
        </xdr:cNvPr>
        <xdr:cNvSpPr txBox="1">
          <a:spLocks noChangeArrowheads="1"/>
        </xdr:cNvSpPr>
      </xdr:nvSpPr>
      <xdr:spPr bwMode="auto">
        <a:xfrm>
          <a:off x="20459700" y="4563036"/>
          <a:ext cx="125730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03" name="Text Box 44" hidden="1">
          <a:extLst>
            <a:ext uri="{FF2B5EF4-FFF2-40B4-BE49-F238E27FC236}">
              <a16:creationId xmlns:a16="http://schemas.microsoft.com/office/drawing/2014/main" id="{F19E5802-0F17-4734-982B-7246F7823D9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04" name="Text Box 43" hidden="1">
          <a:extLst>
            <a:ext uri="{FF2B5EF4-FFF2-40B4-BE49-F238E27FC236}">
              <a16:creationId xmlns:a16="http://schemas.microsoft.com/office/drawing/2014/main" id="{D52C4EFB-0E02-4466-A0B6-DDB745B49DEA}"/>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05" name="Text Box 42" hidden="1">
          <a:extLst>
            <a:ext uri="{FF2B5EF4-FFF2-40B4-BE49-F238E27FC236}">
              <a16:creationId xmlns:a16="http://schemas.microsoft.com/office/drawing/2014/main" id="{C3EFD1A3-E705-4F8C-91DB-8FA03ED6534F}"/>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06" name="Text Box 41" hidden="1">
          <a:extLst>
            <a:ext uri="{FF2B5EF4-FFF2-40B4-BE49-F238E27FC236}">
              <a16:creationId xmlns:a16="http://schemas.microsoft.com/office/drawing/2014/main" id="{7CF39FD1-90D0-4AFB-8996-D64FA722DA3B}"/>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07" name="Text Box 40" hidden="1">
          <a:extLst>
            <a:ext uri="{FF2B5EF4-FFF2-40B4-BE49-F238E27FC236}">
              <a16:creationId xmlns:a16="http://schemas.microsoft.com/office/drawing/2014/main" id="{3192A01B-59F9-4201-9009-8F8FCE27341C}"/>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08" name="Text Box 39" hidden="1">
          <a:extLst>
            <a:ext uri="{FF2B5EF4-FFF2-40B4-BE49-F238E27FC236}">
              <a16:creationId xmlns:a16="http://schemas.microsoft.com/office/drawing/2014/main" id="{B7CE2A89-7AB3-46A5-A40D-BB7D594C4B99}"/>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09" name="Text Box 38" hidden="1">
          <a:extLst>
            <a:ext uri="{FF2B5EF4-FFF2-40B4-BE49-F238E27FC236}">
              <a16:creationId xmlns:a16="http://schemas.microsoft.com/office/drawing/2014/main" id="{F0A90455-2292-48CB-9E87-4DD73BEC8188}"/>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10" name="Text Box 37" hidden="1">
          <a:extLst>
            <a:ext uri="{FF2B5EF4-FFF2-40B4-BE49-F238E27FC236}">
              <a16:creationId xmlns:a16="http://schemas.microsoft.com/office/drawing/2014/main" id="{8551FD04-9116-4EC3-A16F-DE5E70662878}"/>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11" name="Text Box 36" hidden="1">
          <a:extLst>
            <a:ext uri="{FF2B5EF4-FFF2-40B4-BE49-F238E27FC236}">
              <a16:creationId xmlns:a16="http://schemas.microsoft.com/office/drawing/2014/main" id="{A897E542-3750-4AE0-91DC-6E745A67B7C3}"/>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12" name="Text Box 35" hidden="1">
          <a:extLst>
            <a:ext uri="{FF2B5EF4-FFF2-40B4-BE49-F238E27FC236}">
              <a16:creationId xmlns:a16="http://schemas.microsoft.com/office/drawing/2014/main" id="{726CC569-3E35-4135-B8D1-3D302DA8C704}"/>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13" name="Text Box 34" hidden="1">
          <a:extLst>
            <a:ext uri="{FF2B5EF4-FFF2-40B4-BE49-F238E27FC236}">
              <a16:creationId xmlns:a16="http://schemas.microsoft.com/office/drawing/2014/main" id="{579B67D1-BF71-4EA7-B838-6BCB0B276E78}"/>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14" name="Text Box 33" hidden="1">
          <a:extLst>
            <a:ext uri="{FF2B5EF4-FFF2-40B4-BE49-F238E27FC236}">
              <a16:creationId xmlns:a16="http://schemas.microsoft.com/office/drawing/2014/main" id="{7C6D0D68-C11C-492F-A50A-F092A36337DA}"/>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15" name="Text Box 32" hidden="1">
          <a:extLst>
            <a:ext uri="{FF2B5EF4-FFF2-40B4-BE49-F238E27FC236}">
              <a16:creationId xmlns:a16="http://schemas.microsoft.com/office/drawing/2014/main" id="{5A709EF7-BF29-48C7-92F3-404286EAA0B2}"/>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16" name="Text Box 31" hidden="1">
          <a:extLst>
            <a:ext uri="{FF2B5EF4-FFF2-40B4-BE49-F238E27FC236}">
              <a16:creationId xmlns:a16="http://schemas.microsoft.com/office/drawing/2014/main" id="{9EEBBE39-1D63-4EEC-8E07-D9D22121D3B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17" name="Text Box 30" hidden="1">
          <a:extLst>
            <a:ext uri="{FF2B5EF4-FFF2-40B4-BE49-F238E27FC236}">
              <a16:creationId xmlns:a16="http://schemas.microsoft.com/office/drawing/2014/main" id="{B7D1599B-BD8F-4954-A67F-A6EB0A6AAEED}"/>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18" name="Text Box 29" hidden="1">
          <a:extLst>
            <a:ext uri="{FF2B5EF4-FFF2-40B4-BE49-F238E27FC236}">
              <a16:creationId xmlns:a16="http://schemas.microsoft.com/office/drawing/2014/main" id="{AD19D8F1-E14E-4C96-9462-A2B2CB0AB1A6}"/>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19" name="Text Box 60" hidden="1">
          <a:extLst>
            <a:ext uri="{FF2B5EF4-FFF2-40B4-BE49-F238E27FC236}">
              <a16:creationId xmlns:a16="http://schemas.microsoft.com/office/drawing/2014/main" id="{AF321DFE-5F55-4B04-A20D-AECB1FA78470}"/>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20" name="Text Box 59" hidden="1">
          <a:extLst>
            <a:ext uri="{FF2B5EF4-FFF2-40B4-BE49-F238E27FC236}">
              <a16:creationId xmlns:a16="http://schemas.microsoft.com/office/drawing/2014/main" id="{C472D4C9-F3C4-4DB2-B62E-DCD2EEE7D4E8}"/>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21" name="Text Box 58" hidden="1">
          <a:extLst>
            <a:ext uri="{FF2B5EF4-FFF2-40B4-BE49-F238E27FC236}">
              <a16:creationId xmlns:a16="http://schemas.microsoft.com/office/drawing/2014/main" id="{108BADDB-DFB6-4554-B66F-B411FC2C4025}"/>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22" name="Text Box 57" hidden="1">
          <a:extLst>
            <a:ext uri="{FF2B5EF4-FFF2-40B4-BE49-F238E27FC236}">
              <a16:creationId xmlns:a16="http://schemas.microsoft.com/office/drawing/2014/main" id="{83E0CF31-01DC-4526-8494-0F9912E311B4}"/>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23" name="Text Box 56" hidden="1">
          <a:extLst>
            <a:ext uri="{FF2B5EF4-FFF2-40B4-BE49-F238E27FC236}">
              <a16:creationId xmlns:a16="http://schemas.microsoft.com/office/drawing/2014/main" id="{A4A53E78-C91E-4A57-8F40-7117FE3E8FF5}"/>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24" name="Text Box 55" hidden="1">
          <a:extLst>
            <a:ext uri="{FF2B5EF4-FFF2-40B4-BE49-F238E27FC236}">
              <a16:creationId xmlns:a16="http://schemas.microsoft.com/office/drawing/2014/main" id="{99831183-53ED-46DC-AF21-6400A221E072}"/>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25" name="Text Box 54" hidden="1">
          <a:extLst>
            <a:ext uri="{FF2B5EF4-FFF2-40B4-BE49-F238E27FC236}">
              <a16:creationId xmlns:a16="http://schemas.microsoft.com/office/drawing/2014/main" id="{62EBAF57-76D2-4A77-A699-6A8BD11AC193}"/>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26" name="Text Box 53" hidden="1">
          <a:extLst>
            <a:ext uri="{FF2B5EF4-FFF2-40B4-BE49-F238E27FC236}">
              <a16:creationId xmlns:a16="http://schemas.microsoft.com/office/drawing/2014/main" id="{EC18AA3E-5F6F-4522-B8B2-2A0B243E7961}"/>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27" name="Text Box 52" hidden="1">
          <a:extLst>
            <a:ext uri="{FF2B5EF4-FFF2-40B4-BE49-F238E27FC236}">
              <a16:creationId xmlns:a16="http://schemas.microsoft.com/office/drawing/2014/main" id="{F724DABA-5AC8-4F8C-9FA7-7D65E0C3D3A4}"/>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28" name="Text Box 51" hidden="1">
          <a:extLst>
            <a:ext uri="{FF2B5EF4-FFF2-40B4-BE49-F238E27FC236}">
              <a16:creationId xmlns:a16="http://schemas.microsoft.com/office/drawing/2014/main" id="{1E6DA80B-533B-405C-8446-2479E0951EE0}"/>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29" name="Text Box 50" hidden="1">
          <a:extLst>
            <a:ext uri="{FF2B5EF4-FFF2-40B4-BE49-F238E27FC236}">
              <a16:creationId xmlns:a16="http://schemas.microsoft.com/office/drawing/2014/main" id="{8FE3057E-38B4-4F27-B29B-410C2C478DF6}"/>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30" name="Text Box 49" hidden="1">
          <a:extLst>
            <a:ext uri="{FF2B5EF4-FFF2-40B4-BE49-F238E27FC236}">
              <a16:creationId xmlns:a16="http://schemas.microsoft.com/office/drawing/2014/main" id="{C2FC2D0B-224A-4D02-B107-0C64F6BF1A28}"/>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31" name="Text Box 48" hidden="1">
          <a:extLst>
            <a:ext uri="{FF2B5EF4-FFF2-40B4-BE49-F238E27FC236}">
              <a16:creationId xmlns:a16="http://schemas.microsoft.com/office/drawing/2014/main" id="{BFA93872-4A20-401E-94BA-A43CEF0BF98D}"/>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32" name="Text Box 47" hidden="1">
          <a:extLst>
            <a:ext uri="{FF2B5EF4-FFF2-40B4-BE49-F238E27FC236}">
              <a16:creationId xmlns:a16="http://schemas.microsoft.com/office/drawing/2014/main" id="{FA6B0D5A-EE3D-4B17-A449-D17A6BF7D33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33" name="Text Box 46" hidden="1">
          <a:extLst>
            <a:ext uri="{FF2B5EF4-FFF2-40B4-BE49-F238E27FC236}">
              <a16:creationId xmlns:a16="http://schemas.microsoft.com/office/drawing/2014/main" id="{552E0B09-A17C-4E74-B5A8-9E1F01B03FF3}"/>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34" name="Text Box 45" hidden="1">
          <a:extLst>
            <a:ext uri="{FF2B5EF4-FFF2-40B4-BE49-F238E27FC236}">
              <a16:creationId xmlns:a16="http://schemas.microsoft.com/office/drawing/2014/main" id="{340992E4-1963-445E-B261-E68817179851}"/>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35" name="Text Box 76" hidden="1">
          <a:extLst>
            <a:ext uri="{FF2B5EF4-FFF2-40B4-BE49-F238E27FC236}">
              <a16:creationId xmlns:a16="http://schemas.microsoft.com/office/drawing/2014/main" id="{E2538318-E26C-4ED4-A976-300BB91BDBA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36" name="Text Box 75" hidden="1">
          <a:extLst>
            <a:ext uri="{FF2B5EF4-FFF2-40B4-BE49-F238E27FC236}">
              <a16:creationId xmlns:a16="http://schemas.microsoft.com/office/drawing/2014/main" id="{03B3D943-2586-4144-8989-01E4E2D2EB2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37" name="Text Box 74" hidden="1">
          <a:extLst>
            <a:ext uri="{FF2B5EF4-FFF2-40B4-BE49-F238E27FC236}">
              <a16:creationId xmlns:a16="http://schemas.microsoft.com/office/drawing/2014/main" id="{560E2CE4-EF82-4036-A680-1CF669EEEC92}"/>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38" name="Text Box 73" hidden="1">
          <a:extLst>
            <a:ext uri="{FF2B5EF4-FFF2-40B4-BE49-F238E27FC236}">
              <a16:creationId xmlns:a16="http://schemas.microsoft.com/office/drawing/2014/main" id="{86726F56-DADA-4A69-8A3D-044402FDE328}"/>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39" name="Text Box 72" hidden="1">
          <a:extLst>
            <a:ext uri="{FF2B5EF4-FFF2-40B4-BE49-F238E27FC236}">
              <a16:creationId xmlns:a16="http://schemas.microsoft.com/office/drawing/2014/main" id="{6F3C741B-5FDF-49BC-BAFF-FB38D5650B7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40" name="Text Box 71" hidden="1">
          <a:extLst>
            <a:ext uri="{FF2B5EF4-FFF2-40B4-BE49-F238E27FC236}">
              <a16:creationId xmlns:a16="http://schemas.microsoft.com/office/drawing/2014/main" id="{436879C5-25D4-4F72-81F8-A1699D94313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41" name="Text Box 70" hidden="1">
          <a:extLst>
            <a:ext uri="{FF2B5EF4-FFF2-40B4-BE49-F238E27FC236}">
              <a16:creationId xmlns:a16="http://schemas.microsoft.com/office/drawing/2014/main" id="{F4710DEB-A7AE-462C-9774-53308AC9606E}"/>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42" name="Text Box 69" hidden="1">
          <a:extLst>
            <a:ext uri="{FF2B5EF4-FFF2-40B4-BE49-F238E27FC236}">
              <a16:creationId xmlns:a16="http://schemas.microsoft.com/office/drawing/2014/main" id="{FB6E3361-723D-4F13-8299-1AEC38F628F4}"/>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43" name="Text Box 68" hidden="1">
          <a:extLst>
            <a:ext uri="{FF2B5EF4-FFF2-40B4-BE49-F238E27FC236}">
              <a16:creationId xmlns:a16="http://schemas.microsoft.com/office/drawing/2014/main" id="{7F862FD9-C31A-4683-834C-FC5BE4F2C898}"/>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44" name="Text Box 67" hidden="1">
          <a:extLst>
            <a:ext uri="{FF2B5EF4-FFF2-40B4-BE49-F238E27FC236}">
              <a16:creationId xmlns:a16="http://schemas.microsoft.com/office/drawing/2014/main" id="{4C44F36A-1329-436F-A86D-93C1C9464CF2}"/>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45" name="Text Box 66" hidden="1">
          <a:extLst>
            <a:ext uri="{FF2B5EF4-FFF2-40B4-BE49-F238E27FC236}">
              <a16:creationId xmlns:a16="http://schemas.microsoft.com/office/drawing/2014/main" id="{10EB399D-8CF6-4FE5-91C8-B76561C7A75C}"/>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46" name="Text Box 65" hidden="1">
          <a:extLst>
            <a:ext uri="{FF2B5EF4-FFF2-40B4-BE49-F238E27FC236}">
              <a16:creationId xmlns:a16="http://schemas.microsoft.com/office/drawing/2014/main" id="{031AB5DE-7FE9-4DEB-B4A8-1183FBE9B83D}"/>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47" name="Text Box 64" hidden="1">
          <a:extLst>
            <a:ext uri="{FF2B5EF4-FFF2-40B4-BE49-F238E27FC236}">
              <a16:creationId xmlns:a16="http://schemas.microsoft.com/office/drawing/2014/main" id="{12ED2744-25C4-4037-9F04-A38DB0B62CA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48" name="Text Box 63" hidden="1">
          <a:extLst>
            <a:ext uri="{FF2B5EF4-FFF2-40B4-BE49-F238E27FC236}">
              <a16:creationId xmlns:a16="http://schemas.microsoft.com/office/drawing/2014/main" id="{B4FA6C35-33CC-43E2-AF24-4AC608F766F8}"/>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49" name="Text Box 62" hidden="1">
          <a:extLst>
            <a:ext uri="{FF2B5EF4-FFF2-40B4-BE49-F238E27FC236}">
              <a16:creationId xmlns:a16="http://schemas.microsoft.com/office/drawing/2014/main" id="{7FAE05E7-ED0B-485D-9FB7-FFD39F8C760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50" name="Text Box 61" hidden="1">
          <a:extLst>
            <a:ext uri="{FF2B5EF4-FFF2-40B4-BE49-F238E27FC236}">
              <a16:creationId xmlns:a16="http://schemas.microsoft.com/office/drawing/2014/main" id="{D9EC815F-A448-4C11-A8DD-E6EB339BC4C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51" name="Text Box 166" hidden="1">
          <a:extLst>
            <a:ext uri="{FF2B5EF4-FFF2-40B4-BE49-F238E27FC236}">
              <a16:creationId xmlns:a16="http://schemas.microsoft.com/office/drawing/2014/main" id="{2AF3068E-8D56-4590-B427-62E798059E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52" name="Text Box 167" hidden="1">
          <a:extLst>
            <a:ext uri="{FF2B5EF4-FFF2-40B4-BE49-F238E27FC236}">
              <a16:creationId xmlns:a16="http://schemas.microsoft.com/office/drawing/2014/main" id="{0C4A20FB-D4A7-4F08-B881-2313EA01EB49}"/>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53" name="Text Box 36" hidden="1">
          <a:extLst>
            <a:ext uri="{FF2B5EF4-FFF2-40B4-BE49-F238E27FC236}">
              <a16:creationId xmlns:a16="http://schemas.microsoft.com/office/drawing/2014/main" id="{C8D47C7B-1D2F-49EB-ADE9-BE855BA9764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54" name="Text Box 35" hidden="1">
          <a:extLst>
            <a:ext uri="{FF2B5EF4-FFF2-40B4-BE49-F238E27FC236}">
              <a16:creationId xmlns:a16="http://schemas.microsoft.com/office/drawing/2014/main" id="{62791567-8C1D-48C2-B89B-0DD9638CD10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55" name="Text Box 34" hidden="1">
          <a:extLst>
            <a:ext uri="{FF2B5EF4-FFF2-40B4-BE49-F238E27FC236}">
              <a16:creationId xmlns:a16="http://schemas.microsoft.com/office/drawing/2014/main" id="{801A8586-85E3-4F68-BFBE-623EA8204119}"/>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56" name="Text Box 33" hidden="1">
          <a:extLst>
            <a:ext uri="{FF2B5EF4-FFF2-40B4-BE49-F238E27FC236}">
              <a16:creationId xmlns:a16="http://schemas.microsoft.com/office/drawing/2014/main" id="{DD2EDB19-8838-4B7A-92FB-D182D351B3F6}"/>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57" name="Text Box 32" hidden="1">
          <a:extLst>
            <a:ext uri="{FF2B5EF4-FFF2-40B4-BE49-F238E27FC236}">
              <a16:creationId xmlns:a16="http://schemas.microsoft.com/office/drawing/2014/main" id="{C418654E-7D7B-4579-BEAA-C5A5F9E2726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58" name="Text Box 31" hidden="1">
          <a:extLst>
            <a:ext uri="{FF2B5EF4-FFF2-40B4-BE49-F238E27FC236}">
              <a16:creationId xmlns:a16="http://schemas.microsoft.com/office/drawing/2014/main" id="{4263C86F-ECDF-4C48-8E13-A2C60F52EE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59" name="Text Box 30" hidden="1">
          <a:extLst>
            <a:ext uri="{FF2B5EF4-FFF2-40B4-BE49-F238E27FC236}">
              <a16:creationId xmlns:a16="http://schemas.microsoft.com/office/drawing/2014/main" id="{B1916C7C-D86C-442B-B8DF-237B6F9D988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60" name="Text Box 29" hidden="1">
          <a:extLst>
            <a:ext uri="{FF2B5EF4-FFF2-40B4-BE49-F238E27FC236}">
              <a16:creationId xmlns:a16="http://schemas.microsoft.com/office/drawing/2014/main" id="{0EF411F5-54B1-42E6-8A6E-FA59B900BFB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61" name="Text Box 28" hidden="1">
          <a:extLst>
            <a:ext uri="{FF2B5EF4-FFF2-40B4-BE49-F238E27FC236}">
              <a16:creationId xmlns:a16="http://schemas.microsoft.com/office/drawing/2014/main" id="{33E77C73-780A-4ABE-9F7A-F34851DE4AF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62" name="Text Box 27" hidden="1">
          <a:extLst>
            <a:ext uri="{FF2B5EF4-FFF2-40B4-BE49-F238E27FC236}">
              <a16:creationId xmlns:a16="http://schemas.microsoft.com/office/drawing/2014/main" id="{DF80DE61-6848-4A51-83F2-57F2DBF2E43A}"/>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63" name="Text Box 26" hidden="1">
          <a:extLst>
            <a:ext uri="{FF2B5EF4-FFF2-40B4-BE49-F238E27FC236}">
              <a16:creationId xmlns:a16="http://schemas.microsoft.com/office/drawing/2014/main" id="{7A2060DF-6ED9-4C05-9F87-742EA3AE6FA5}"/>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64" name="Text Box 25" hidden="1">
          <a:extLst>
            <a:ext uri="{FF2B5EF4-FFF2-40B4-BE49-F238E27FC236}">
              <a16:creationId xmlns:a16="http://schemas.microsoft.com/office/drawing/2014/main" id="{9486BB69-0A51-488C-A777-8FA510B225E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65" name="Text Box 24" hidden="1">
          <a:extLst>
            <a:ext uri="{FF2B5EF4-FFF2-40B4-BE49-F238E27FC236}">
              <a16:creationId xmlns:a16="http://schemas.microsoft.com/office/drawing/2014/main" id="{B387A467-722D-4FBE-AC8C-FD38788D5F4D}"/>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66" name="Text Box 23" hidden="1">
          <a:extLst>
            <a:ext uri="{FF2B5EF4-FFF2-40B4-BE49-F238E27FC236}">
              <a16:creationId xmlns:a16="http://schemas.microsoft.com/office/drawing/2014/main" id="{6ACF46BC-D84E-4E49-A73C-0C8C900830A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67" name="Text Box 22" hidden="1">
          <a:extLst>
            <a:ext uri="{FF2B5EF4-FFF2-40B4-BE49-F238E27FC236}">
              <a16:creationId xmlns:a16="http://schemas.microsoft.com/office/drawing/2014/main" id="{71701E23-06F6-48F1-916B-79599176E8C4}"/>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68" name="Text Box 21" hidden="1">
          <a:extLst>
            <a:ext uri="{FF2B5EF4-FFF2-40B4-BE49-F238E27FC236}">
              <a16:creationId xmlns:a16="http://schemas.microsoft.com/office/drawing/2014/main" id="{3A4C527F-37C2-433C-B71A-14C894E3393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69" name="Text Box 20" hidden="1">
          <a:extLst>
            <a:ext uri="{FF2B5EF4-FFF2-40B4-BE49-F238E27FC236}">
              <a16:creationId xmlns:a16="http://schemas.microsoft.com/office/drawing/2014/main" id="{62642D71-174E-47A1-9572-FF11AD047C6B}"/>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70" name="Text Box 19" hidden="1">
          <a:extLst>
            <a:ext uri="{FF2B5EF4-FFF2-40B4-BE49-F238E27FC236}">
              <a16:creationId xmlns:a16="http://schemas.microsoft.com/office/drawing/2014/main" id="{420167C8-11A2-46EE-9539-F04F707729C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71" name="Text Box 18" hidden="1">
          <a:extLst>
            <a:ext uri="{FF2B5EF4-FFF2-40B4-BE49-F238E27FC236}">
              <a16:creationId xmlns:a16="http://schemas.microsoft.com/office/drawing/2014/main" id="{9BCAB018-3F3D-4C6C-88DA-441040C4E18A}"/>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72" name="Text Box 17" hidden="1">
          <a:extLst>
            <a:ext uri="{FF2B5EF4-FFF2-40B4-BE49-F238E27FC236}">
              <a16:creationId xmlns:a16="http://schemas.microsoft.com/office/drawing/2014/main" id="{0EEC75BD-486E-4690-A819-92FEBB586B6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73" name="Text Box 16" hidden="1">
          <a:extLst>
            <a:ext uri="{FF2B5EF4-FFF2-40B4-BE49-F238E27FC236}">
              <a16:creationId xmlns:a16="http://schemas.microsoft.com/office/drawing/2014/main" id="{EA6E6E47-8FA2-435C-97E6-7E507A8384C7}"/>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74" name="Text Box 15" hidden="1">
          <a:extLst>
            <a:ext uri="{FF2B5EF4-FFF2-40B4-BE49-F238E27FC236}">
              <a16:creationId xmlns:a16="http://schemas.microsoft.com/office/drawing/2014/main" id="{71AEE3C6-3D8F-408D-8C51-41EA7EC14D81}"/>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75" name="Text Box 14" hidden="1">
          <a:extLst>
            <a:ext uri="{FF2B5EF4-FFF2-40B4-BE49-F238E27FC236}">
              <a16:creationId xmlns:a16="http://schemas.microsoft.com/office/drawing/2014/main" id="{05DF28EF-A85F-4BDF-892E-16D600424AD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76" name="Text Box 13" hidden="1">
          <a:extLst>
            <a:ext uri="{FF2B5EF4-FFF2-40B4-BE49-F238E27FC236}">
              <a16:creationId xmlns:a16="http://schemas.microsoft.com/office/drawing/2014/main" id="{D426F69D-1028-4415-91AD-090C75CCD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77" name="Text Box 12" hidden="1">
          <a:extLst>
            <a:ext uri="{FF2B5EF4-FFF2-40B4-BE49-F238E27FC236}">
              <a16:creationId xmlns:a16="http://schemas.microsoft.com/office/drawing/2014/main" id="{75691406-D86D-4BAA-924D-B9C8794BFEF5}"/>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78" name="Text Box 11" hidden="1">
          <a:extLst>
            <a:ext uri="{FF2B5EF4-FFF2-40B4-BE49-F238E27FC236}">
              <a16:creationId xmlns:a16="http://schemas.microsoft.com/office/drawing/2014/main" id="{6D8B83DA-A963-47CF-B2AB-5F1F4217E77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79" name="Text Box 10" hidden="1">
          <a:extLst>
            <a:ext uri="{FF2B5EF4-FFF2-40B4-BE49-F238E27FC236}">
              <a16:creationId xmlns:a16="http://schemas.microsoft.com/office/drawing/2014/main" id="{621A70BC-6D13-4C1D-8C5A-390DB1C880A0}"/>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80" name="Text Box 9" hidden="1">
          <a:extLst>
            <a:ext uri="{FF2B5EF4-FFF2-40B4-BE49-F238E27FC236}">
              <a16:creationId xmlns:a16="http://schemas.microsoft.com/office/drawing/2014/main" id="{8DE0F042-6E6E-4C2D-9645-E26D60C96925}"/>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81" name="Text Box 8" hidden="1">
          <a:extLst>
            <a:ext uri="{FF2B5EF4-FFF2-40B4-BE49-F238E27FC236}">
              <a16:creationId xmlns:a16="http://schemas.microsoft.com/office/drawing/2014/main" id="{68BF93A5-A0C1-42EB-9A5F-10F57368729B}"/>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82" name="Text Box 7" hidden="1">
          <a:extLst>
            <a:ext uri="{FF2B5EF4-FFF2-40B4-BE49-F238E27FC236}">
              <a16:creationId xmlns:a16="http://schemas.microsoft.com/office/drawing/2014/main" id="{8FE378A9-DF65-4FD8-AE3C-0F3B574F3562}"/>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83" name="Text Box 6" hidden="1">
          <a:extLst>
            <a:ext uri="{FF2B5EF4-FFF2-40B4-BE49-F238E27FC236}">
              <a16:creationId xmlns:a16="http://schemas.microsoft.com/office/drawing/2014/main" id="{C3C39909-A6C0-426E-96E1-99F400EA4185}"/>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84" name="Text Box 5" hidden="1">
          <a:extLst>
            <a:ext uri="{FF2B5EF4-FFF2-40B4-BE49-F238E27FC236}">
              <a16:creationId xmlns:a16="http://schemas.microsoft.com/office/drawing/2014/main" id="{41A255E4-68EA-40A2-BCD0-C8BF618901B7}"/>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85" name="Text Box 4" hidden="1">
          <a:extLst>
            <a:ext uri="{FF2B5EF4-FFF2-40B4-BE49-F238E27FC236}">
              <a16:creationId xmlns:a16="http://schemas.microsoft.com/office/drawing/2014/main" id="{91B25817-BB9E-4A23-AE71-74E792B15911}"/>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86" name="Text Box 3" hidden="1">
          <a:extLst>
            <a:ext uri="{FF2B5EF4-FFF2-40B4-BE49-F238E27FC236}">
              <a16:creationId xmlns:a16="http://schemas.microsoft.com/office/drawing/2014/main" id="{A9EAE7B1-1325-4E16-BF59-C7556D31267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87" name="Text Box 2" hidden="1">
          <a:extLst>
            <a:ext uri="{FF2B5EF4-FFF2-40B4-BE49-F238E27FC236}">
              <a16:creationId xmlns:a16="http://schemas.microsoft.com/office/drawing/2014/main" id="{CF151BA6-DCD5-4124-99B9-00E76DEB694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88" name="Text Box 1" hidden="1">
          <a:extLst>
            <a:ext uri="{FF2B5EF4-FFF2-40B4-BE49-F238E27FC236}">
              <a16:creationId xmlns:a16="http://schemas.microsoft.com/office/drawing/2014/main" id="{C133CC6B-4351-46B7-80E7-0D65DFFDF78B}"/>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89" name="Text Box 54" hidden="1">
          <a:extLst>
            <a:ext uri="{FF2B5EF4-FFF2-40B4-BE49-F238E27FC236}">
              <a16:creationId xmlns:a16="http://schemas.microsoft.com/office/drawing/2014/main" id="{2F22298D-5E65-4758-AD22-6CA7E0374D10}"/>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90" name="Text Box 53" hidden="1">
          <a:extLst>
            <a:ext uri="{FF2B5EF4-FFF2-40B4-BE49-F238E27FC236}">
              <a16:creationId xmlns:a16="http://schemas.microsoft.com/office/drawing/2014/main" id="{A9895E82-3785-4975-99F0-A0428131B71F}"/>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91" name="Text Box 52" hidden="1">
          <a:extLst>
            <a:ext uri="{FF2B5EF4-FFF2-40B4-BE49-F238E27FC236}">
              <a16:creationId xmlns:a16="http://schemas.microsoft.com/office/drawing/2014/main" id="{616D34BC-74CF-4709-BBB7-B0CDE251CFE3}"/>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92" name="Text Box 51" hidden="1">
          <a:extLst>
            <a:ext uri="{FF2B5EF4-FFF2-40B4-BE49-F238E27FC236}">
              <a16:creationId xmlns:a16="http://schemas.microsoft.com/office/drawing/2014/main" id="{4A4ECDE8-3E22-48E1-9E13-CACF392EDF0D}"/>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93" name="Text Box 50" hidden="1">
          <a:extLst>
            <a:ext uri="{FF2B5EF4-FFF2-40B4-BE49-F238E27FC236}">
              <a16:creationId xmlns:a16="http://schemas.microsoft.com/office/drawing/2014/main" id="{720B828D-579B-40AF-A6EB-CA545BEED65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94" name="Text Box 49" hidden="1">
          <a:extLst>
            <a:ext uri="{FF2B5EF4-FFF2-40B4-BE49-F238E27FC236}">
              <a16:creationId xmlns:a16="http://schemas.microsoft.com/office/drawing/2014/main" id="{B10C285A-8E0C-4B52-B607-D1E45B6FE03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95" name="Text Box 48" hidden="1">
          <a:extLst>
            <a:ext uri="{FF2B5EF4-FFF2-40B4-BE49-F238E27FC236}">
              <a16:creationId xmlns:a16="http://schemas.microsoft.com/office/drawing/2014/main" id="{359BB840-4B27-4506-BC8E-D0187A4C1ACC}"/>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96" name="Text Box 47" hidden="1">
          <a:extLst>
            <a:ext uri="{FF2B5EF4-FFF2-40B4-BE49-F238E27FC236}">
              <a16:creationId xmlns:a16="http://schemas.microsoft.com/office/drawing/2014/main" id="{0DF44E9F-414A-4A3F-AD5C-FD4E1AFCD281}"/>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97" name="Text Box 46" hidden="1">
          <a:extLst>
            <a:ext uri="{FF2B5EF4-FFF2-40B4-BE49-F238E27FC236}">
              <a16:creationId xmlns:a16="http://schemas.microsoft.com/office/drawing/2014/main" id="{75F7A034-D2B8-4266-A072-119B1954ACA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98" name="Text Box 45" hidden="1">
          <a:extLst>
            <a:ext uri="{FF2B5EF4-FFF2-40B4-BE49-F238E27FC236}">
              <a16:creationId xmlns:a16="http://schemas.microsoft.com/office/drawing/2014/main" id="{E25F0A50-268F-4DFC-AA5C-83B213E9B67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99" name="Text Box 44" hidden="1">
          <a:extLst>
            <a:ext uri="{FF2B5EF4-FFF2-40B4-BE49-F238E27FC236}">
              <a16:creationId xmlns:a16="http://schemas.microsoft.com/office/drawing/2014/main" id="{B1C0E94A-C1EE-47D2-BE8A-EB5D5EB8F91E}"/>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00" name="Text Box 43" hidden="1">
          <a:extLst>
            <a:ext uri="{FF2B5EF4-FFF2-40B4-BE49-F238E27FC236}">
              <a16:creationId xmlns:a16="http://schemas.microsoft.com/office/drawing/2014/main" id="{3013DE57-6806-4EEC-AE88-353720E73C99}"/>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01" name="Text Box 42" hidden="1">
          <a:extLst>
            <a:ext uri="{FF2B5EF4-FFF2-40B4-BE49-F238E27FC236}">
              <a16:creationId xmlns:a16="http://schemas.microsoft.com/office/drawing/2014/main" id="{F937C0FD-AE74-46A5-93FA-20DF003CC27F}"/>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02" name="Text Box 41" hidden="1">
          <a:extLst>
            <a:ext uri="{FF2B5EF4-FFF2-40B4-BE49-F238E27FC236}">
              <a16:creationId xmlns:a16="http://schemas.microsoft.com/office/drawing/2014/main" id="{7F086FA5-D630-48FC-8223-F8C7604770E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03" name="Text Box 40" hidden="1">
          <a:extLst>
            <a:ext uri="{FF2B5EF4-FFF2-40B4-BE49-F238E27FC236}">
              <a16:creationId xmlns:a16="http://schemas.microsoft.com/office/drawing/2014/main" id="{5E7A3779-3973-47EC-9523-780BDC62F17E}"/>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04" name="Text Box 39" hidden="1">
          <a:extLst>
            <a:ext uri="{FF2B5EF4-FFF2-40B4-BE49-F238E27FC236}">
              <a16:creationId xmlns:a16="http://schemas.microsoft.com/office/drawing/2014/main" id="{C234A16F-4C7D-427F-BA7E-F0713F44946D}"/>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05" name="Text Box 38" hidden="1">
          <a:extLst>
            <a:ext uri="{FF2B5EF4-FFF2-40B4-BE49-F238E27FC236}">
              <a16:creationId xmlns:a16="http://schemas.microsoft.com/office/drawing/2014/main" id="{9BDA5E1F-F9AD-4C60-B29A-78E81CD887A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06" name="Text Box 37" hidden="1">
          <a:extLst>
            <a:ext uri="{FF2B5EF4-FFF2-40B4-BE49-F238E27FC236}">
              <a16:creationId xmlns:a16="http://schemas.microsoft.com/office/drawing/2014/main" id="{9A0A3E21-9B98-4D0F-828C-1C56DC36A99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07" name="Text Box 72" hidden="1">
          <a:extLst>
            <a:ext uri="{FF2B5EF4-FFF2-40B4-BE49-F238E27FC236}">
              <a16:creationId xmlns:a16="http://schemas.microsoft.com/office/drawing/2014/main" id="{5CF22E87-3CF3-4CB8-A527-538ECCF2693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08" name="Text Box 71" hidden="1">
          <a:extLst>
            <a:ext uri="{FF2B5EF4-FFF2-40B4-BE49-F238E27FC236}">
              <a16:creationId xmlns:a16="http://schemas.microsoft.com/office/drawing/2014/main" id="{0E11BC19-DEDB-4AA0-A5F4-6779B8B49B7E}"/>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09" name="Text Box 70" hidden="1">
          <a:extLst>
            <a:ext uri="{FF2B5EF4-FFF2-40B4-BE49-F238E27FC236}">
              <a16:creationId xmlns:a16="http://schemas.microsoft.com/office/drawing/2014/main" id="{F1F31FD6-8761-4225-B0DA-7DF317E9986D}"/>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10" name="Text Box 69" hidden="1">
          <a:extLst>
            <a:ext uri="{FF2B5EF4-FFF2-40B4-BE49-F238E27FC236}">
              <a16:creationId xmlns:a16="http://schemas.microsoft.com/office/drawing/2014/main" id="{2997E422-86B7-4CA6-BEC6-370CFC915ABE}"/>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 name="Text Box 68" hidden="1">
          <a:extLst>
            <a:ext uri="{FF2B5EF4-FFF2-40B4-BE49-F238E27FC236}">
              <a16:creationId xmlns:a16="http://schemas.microsoft.com/office/drawing/2014/main" id="{713389DD-B260-4304-B24E-014AD396780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12" name="Text Box 67" hidden="1">
          <a:extLst>
            <a:ext uri="{FF2B5EF4-FFF2-40B4-BE49-F238E27FC236}">
              <a16:creationId xmlns:a16="http://schemas.microsoft.com/office/drawing/2014/main" id="{C02418DC-B0CB-49AF-809C-7FF16BE7D50C}"/>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13" name="Text Box 66" hidden="1">
          <a:extLst>
            <a:ext uri="{FF2B5EF4-FFF2-40B4-BE49-F238E27FC236}">
              <a16:creationId xmlns:a16="http://schemas.microsoft.com/office/drawing/2014/main" id="{CCF52F16-A4B7-4227-B36B-7E98FE9EDBF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14" name="Text Box 65" hidden="1">
          <a:extLst>
            <a:ext uri="{FF2B5EF4-FFF2-40B4-BE49-F238E27FC236}">
              <a16:creationId xmlns:a16="http://schemas.microsoft.com/office/drawing/2014/main" id="{23C250F2-BBCD-452E-B679-3093FC6F03DB}"/>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15" name="Text Box 64" hidden="1">
          <a:extLst>
            <a:ext uri="{FF2B5EF4-FFF2-40B4-BE49-F238E27FC236}">
              <a16:creationId xmlns:a16="http://schemas.microsoft.com/office/drawing/2014/main" id="{32679629-C592-4F71-8761-E2322DD38149}"/>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16" name="Text Box 63" hidden="1">
          <a:extLst>
            <a:ext uri="{FF2B5EF4-FFF2-40B4-BE49-F238E27FC236}">
              <a16:creationId xmlns:a16="http://schemas.microsoft.com/office/drawing/2014/main" id="{09034428-FD5F-484B-8961-ACEF11EB0A60}"/>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17" name="Text Box 62" hidden="1">
          <a:extLst>
            <a:ext uri="{FF2B5EF4-FFF2-40B4-BE49-F238E27FC236}">
              <a16:creationId xmlns:a16="http://schemas.microsoft.com/office/drawing/2014/main" id="{4E6CA13C-B89C-4C38-9285-EA55FFA79276}"/>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18" name="Text Box 61" hidden="1">
          <a:extLst>
            <a:ext uri="{FF2B5EF4-FFF2-40B4-BE49-F238E27FC236}">
              <a16:creationId xmlns:a16="http://schemas.microsoft.com/office/drawing/2014/main" id="{8F7EB643-3DDA-477F-B912-218CF9CC5D0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19" name="Text Box 60" hidden="1">
          <a:extLst>
            <a:ext uri="{FF2B5EF4-FFF2-40B4-BE49-F238E27FC236}">
              <a16:creationId xmlns:a16="http://schemas.microsoft.com/office/drawing/2014/main" id="{140B0901-5836-4A2D-B704-CEF0EE863219}"/>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20" name="Text Box 59" hidden="1">
          <a:extLst>
            <a:ext uri="{FF2B5EF4-FFF2-40B4-BE49-F238E27FC236}">
              <a16:creationId xmlns:a16="http://schemas.microsoft.com/office/drawing/2014/main" id="{F3F94B2D-D455-4C67-B751-FD0A1704CAF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21" name="Text Box 58" hidden="1">
          <a:extLst>
            <a:ext uri="{FF2B5EF4-FFF2-40B4-BE49-F238E27FC236}">
              <a16:creationId xmlns:a16="http://schemas.microsoft.com/office/drawing/2014/main" id="{83C627B3-90DB-4D28-A24F-16B70518CF39}"/>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22" name="Text Box 57" hidden="1">
          <a:extLst>
            <a:ext uri="{FF2B5EF4-FFF2-40B4-BE49-F238E27FC236}">
              <a16:creationId xmlns:a16="http://schemas.microsoft.com/office/drawing/2014/main" id="{D161565E-0D0A-4166-9178-1D456A4B13F9}"/>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23" name="Text Box 56" hidden="1">
          <a:extLst>
            <a:ext uri="{FF2B5EF4-FFF2-40B4-BE49-F238E27FC236}">
              <a16:creationId xmlns:a16="http://schemas.microsoft.com/office/drawing/2014/main" id="{80CB4914-3126-4251-B660-A7BB00570C49}"/>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24" name="Text Box 55" hidden="1">
          <a:extLst>
            <a:ext uri="{FF2B5EF4-FFF2-40B4-BE49-F238E27FC236}">
              <a16:creationId xmlns:a16="http://schemas.microsoft.com/office/drawing/2014/main" id="{5A176544-09BA-4ACF-BC31-110504B830E5}"/>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25" name="Text Box 90" hidden="1">
          <a:extLst>
            <a:ext uri="{FF2B5EF4-FFF2-40B4-BE49-F238E27FC236}">
              <a16:creationId xmlns:a16="http://schemas.microsoft.com/office/drawing/2014/main" id="{F4B0EDB1-4381-4296-8226-86607A7DF5F4}"/>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26" name="Text Box 89" hidden="1">
          <a:extLst>
            <a:ext uri="{FF2B5EF4-FFF2-40B4-BE49-F238E27FC236}">
              <a16:creationId xmlns:a16="http://schemas.microsoft.com/office/drawing/2014/main" id="{CA0EFB1B-098D-44D3-AED9-C764B9DD90BF}"/>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27" name="Text Box 88" hidden="1">
          <a:extLst>
            <a:ext uri="{FF2B5EF4-FFF2-40B4-BE49-F238E27FC236}">
              <a16:creationId xmlns:a16="http://schemas.microsoft.com/office/drawing/2014/main" id="{546AADED-6C8C-4D75-9439-116A925E975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28" name="Text Box 87" hidden="1">
          <a:extLst>
            <a:ext uri="{FF2B5EF4-FFF2-40B4-BE49-F238E27FC236}">
              <a16:creationId xmlns:a16="http://schemas.microsoft.com/office/drawing/2014/main" id="{1FBCC9A3-1A36-48C4-BDF7-BD0BD320C30A}"/>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29" name="Text Box 86" hidden="1">
          <a:extLst>
            <a:ext uri="{FF2B5EF4-FFF2-40B4-BE49-F238E27FC236}">
              <a16:creationId xmlns:a16="http://schemas.microsoft.com/office/drawing/2014/main" id="{43456909-BAF1-4E13-ABCA-25625711FCED}"/>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30" name="Text Box 85" hidden="1">
          <a:extLst>
            <a:ext uri="{FF2B5EF4-FFF2-40B4-BE49-F238E27FC236}">
              <a16:creationId xmlns:a16="http://schemas.microsoft.com/office/drawing/2014/main" id="{FDD01120-9BB2-453D-BE7A-586A92FE8C1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31" name="Text Box 84" hidden="1">
          <a:extLst>
            <a:ext uri="{FF2B5EF4-FFF2-40B4-BE49-F238E27FC236}">
              <a16:creationId xmlns:a16="http://schemas.microsoft.com/office/drawing/2014/main" id="{8A79F604-27E0-4772-8E0B-7A2A12CC5DE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32" name="Text Box 83" hidden="1">
          <a:extLst>
            <a:ext uri="{FF2B5EF4-FFF2-40B4-BE49-F238E27FC236}">
              <a16:creationId xmlns:a16="http://schemas.microsoft.com/office/drawing/2014/main" id="{BDDDEC03-DB66-4579-B87E-8871A39EE21F}"/>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33" name="Text Box 82" hidden="1">
          <a:extLst>
            <a:ext uri="{FF2B5EF4-FFF2-40B4-BE49-F238E27FC236}">
              <a16:creationId xmlns:a16="http://schemas.microsoft.com/office/drawing/2014/main" id="{56311A85-C6A3-46BD-9716-0AFE2712FB0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34" name="Text Box 81" hidden="1">
          <a:extLst>
            <a:ext uri="{FF2B5EF4-FFF2-40B4-BE49-F238E27FC236}">
              <a16:creationId xmlns:a16="http://schemas.microsoft.com/office/drawing/2014/main" id="{7B42927D-76B0-4C78-A2F1-77A8726F9123}"/>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35" name="Text Box 80" hidden="1">
          <a:extLst>
            <a:ext uri="{FF2B5EF4-FFF2-40B4-BE49-F238E27FC236}">
              <a16:creationId xmlns:a16="http://schemas.microsoft.com/office/drawing/2014/main" id="{1DA80964-225E-42BF-8A11-94539ED2D3DA}"/>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36" name="Text Box 79" hidden="1">
          <a:extLst>
            <a:ext uri="{FF2B5EF4-FFF2-40B4-BE49-F238E27FC236}">
              <a16:creationId xmlns:a16="http://schemas.microsoft.com/office/drawing/2014/main" id="{02CACFE6-6038-4B09-BF45-BBD05554FC63}"/>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37" name="Text Box 78" hidden="1">
          <a:extLst>
            <a:ext uri="{FF2B5EF4-FFF2-40B4-BE49-F238E27FC236}">
              <a16:creationId xmlns:a16="http://schemas.microsoft.com/office/drawing/2014/main" id="{708017DA-761E-4DAA-8D3A-3A3EA86263F8}"/>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38" name="Text Box 77" hidden="1">
          <a:extLst>
            <a:ext uri="{FF2B5EF4-FFF2-40B4-BE49-F238E27FC236}">
              <a16:creationId xmlns:a16="http://schemas.microsoft.com/office/drawing/2014/main" id="{7872D5AB-700F-40A2-A97F-67AC34FF413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39" name="Text Box 76" hidden="1">
          <a:extLst>
            <a:ext uri="{FF2B5EF4-FFF2-40B4-BE49-F238E27FC236}">
              <a16:creationId xmlns:a16="http://schemas.microsoft.com/office/drawing/2014/main" id="{D7EC1F73-0D91-42C2-8734-684F28AB3870}"/>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40" name="Text Box 75" hidden="1">
          <a:extLst>
            <a:ext uri="{FF2B5EF4-FFF2-40B4-BE49-F238E27FC236}">
              <a16:creationId xmlns:a16="http://schemas.microsoft.com/office/drawing/2014/main" id="{53BE586D-DC02-4989-BB8B-A288BAFB626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41" name="Text Box 74" hidden="1">
          <a:extLst>
            <a:ext uri="{FF2B5EF4-FFF2-40B4-BE49-F238E27FC236}">
              <a16:creationId xmlns:a16="http://schemas.microsoft.com/office/drawing/2014/main" id="{FD0FAF9B-C4E2-4417-AFEA-62178690E0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42" name="Text Box 73" hidden="1">
          <a:extLst>
            <a:ext uri="{FF2B5EF4-FFF2-40B4-BE49-F238E27FC236}">
              <a16:creationId xmlns:a16="http://schemas.microsoft.com/office/drawing/2014/main" id="{7284CB13-9950-4A93-ABCF-65B46002F39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43" name="Text Box 108" hidden="1">
          <a:extLst>
            <a:ext uri="{FF2B5EF4-FFF2-40B4-BE49-F238E27FC236}">
              <a16:creationId xmlns:a16="http://schemas.microsoft.com/office/drawing/2014/main" id="{A2095D1E-879D-48F6-B7CC-B519FA80820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44" name="Text Box 107" hidden="1">
          <a:extLst>
            <a:ext uri="{FF2B5EF4-FFF2-40B4-BE49-F238E27FC236}">
              <a16:creationId xmlns:a16="http://schemas.microsoft.com/office/drawing/2014/main" id="{0AB93035-2EEB-4A8C-8BAE-07E7BEC090C0}"/>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45" name="Text Box 106" hidden="1">
          <a:extLst>
            <a:ext uri="{FF2B5EF4-FFF2-40B4-BE49-F238E27FC236}">
              <a16:creationId xmlns:a16="http://schemas.microsoft.com/office/drawing/2014/main" id="{9154643D-CF46-4F16-8332-1FC33605DEC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46" name="Text Box 105" hidden="1">
          <a:extLst>
            <a:ext uri="{FF2B5EF4-FFF2-40B4-BE49-F238E27FC236}">
              <a16:creationId xmlns:a16="http://schemas.microsoft.com/office/drawing/2014/main" id="{40A0FA24-69F9-46E2-9217-E408F326EEBC}"/>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47" name="Text Box 104" hidden="1">
          <a:extLst>
            <a:ext uri="{FF2B5EF4-FFF2-40B4-BE49-F238E27FC236}">
              <a16:creationId xmlns:a16="http://schemas.microsoft.com/office/drawing/2014/main" id="{EC169740-FC5A-406C-AAF3-84E9B167B44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48" name="Text Box 103" hidden="1">
          <a:extLst>
            <a:ext uri="{FF2B5EF4-FFF2-40B4-BE49-F238E27FC236}">
              <a16:creationId xmlns:a16="http://schemas.microsoft.com/office/drawing/2014/main" id="{2AE42E6F-64EF-4C98-BD88-6A6AAAB4B4F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49" name="Text Box 102" hidden="1">
          <a:extLst>
            <a:ext uri="{FF2B5EF4-FFF2-40B4-BE49-F238E27FC236}">
              <a16:creationId xmlns:a16="http://schemas.microsoft.com/office/drawing/2014/main" id="{67A286B0-C1D1-4B4D-BC16-6D01D25ECAB7}"/>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50" name="Text Box 101" hidden="1">
          <a:extLst>
            <a:ext uri="{FF2B5EF4-FFF2-40B4-BE49-F238E27FC236}">
              <a16:creationId xmlns:a16="http://schemas.microsoft.com/office/drawing/2014/main" id="{AD1C2F27-36AD-4DF8-ADEC-3E01F58CCC7D}"/>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51" name="Text Box 100" hidden="1">
          <a:extLst>
            <a:ext uri="{FF2B5EF4-FFF2-40B4-BE49-F238E27FC236}">
              <a16:creationId xmlns:a16="http://schemas.microsoft.com/office/drawing/2014/main" id="{15619191-810C-4A0B-917B-D14D055D087F}"/>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52" name="Text Box 99" hidden="1">
          <a:extLst>
            <a:ext uri="{FF2B5EF4-FFF2-40B4-BE49-F238E27FC236}">
              <a16:creationId xmlns:a16="http://schemas.microsoft.com/office/drawing/2014/main" id="{9F2E1CE0-D00C-4CA5-814D-C4E0072671B6}"/>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53" name="Text Box 98" hidden="1">
          <a:extLst>
            <a:ext uri="{FF2B5EF4-FFF2-40B4-BE49-F238E27FC236}">
              <a16:creationId xmlns:a16="http://schemas.microsoft.com/office/drawing/2014/main" id="{B0326C7F-28A7-403A-9572-15385472A3B9}"/>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54" name="Text Box 97" hidden="1">
          <a:extLst>
            <a:ext uri="{FF2B5EF4-FFF2-40B4-BE49-F238E27FC236}">
              <a16:creationId xmlns:a16="http://schemas.microsoft.com/office/drawing/2014/main" id="{CBB5E195-3627-4DDA-A51E-DDD30FE79F26}"/>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55" name="Text Box 96" hidden="1">
          <a:extLst>
            <a:ext uri="{FF2B5EF4-FFF2-40B4-BE49-F238E27FC236}">
              <a16:creationId xmlns:a16="http://schemas.microsoft.com/office/drawing/2014/main" id="{F590F762-2ACC-4ECB-BE08-648CCB5774A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56" name="Text Box 95" hidden="1">
          <a:extLst>
            <a:ext uri="{FF2B5EF4-FFF2-40B4-BE49-F238E27FC236}">
              <a16:creationId xmlns:a16="http://schemas.microsoft.com/office/drawing/2014/main" id="{8884EFDB-B440-41E4-862D-86D2AA813755}"/>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57" name="Text Box 94" hidden="1">
          <a:extLst>
            <a:ext uri="{FF2B5EF4-FFF2-40B4-BE49-F238E27FC236}">
              <a16:creationId xmlns:a16="http://schemas.microsoft.com/office/drawing/2014/main" id="{257F7998-6391-4074-8F5F-1B4E2D61CFCA}"/>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58" name="Text Box 93" hidden="1">
          <a:extLst>
            <a:ext uri="{FF2B5EF4-FFF2-40B4-BE49-F238E27FC236}">
              <a16:creationId xmlns:a16="http://schemas.microsoft.com/office/drawing/2014/main" id="{193474A6-016A-47FC-AEA7-CD5E8027151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59" name="Text Box 92" hidden="1">
          <a:extLst>
            <a:ext uri="{FF2B5EF4-FFF2-40B4-BE49-F238E27FC236}">
              <a16:creationId xmlns:a16="http://schemas.microsoft.com/office/drawing/2014/main" id="{D88FBABE-3566-4EC4-B927-5863752D751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60" name="Text Box 91" hidden="1">
          <a:extLst>
            <a:ext uri="{FF2B5EF4-FFF2-40B4-BE49-F238E27FC236}">
              <a16:creationId xmlns:a16="http://schemas.microsoft.com/office/drawing/2014/main" id="{09FB9EDA-CCD9-4BDC-ABFE-07EEE4AF6B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61" name="Text Box 144" hidden="1">
          <a:extLst>
            <a:ext uri="{FF2B5EF4-FFF2-40B4-BE49-F238E27FC236}">
              <a16:creationId xmlns:a16="http://schemas.microsoft.com/office/drawing/2014/main" id="{88AB4CFE-3396-4550-9D20-A29D7C7A7E9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62" name="Text Box 143" hidden="1">
          <a:extLst>
            <a:ext uri="{FF2B5EF4-FFF2-40B4-BE49-F238E27FC236}">
              <a16:creationId xmlns:a16="http://schemas.microsoft.com/office/drawing/2014/main" id="{908127F5-A9BA-4AE9-BC07-8DCA36856703}"/>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63" name="Text Box 142" hidden="1">
          <a:extLst>
            <a:ext uri="{FF2B5EF4-FFF2-40B4-BE49-F238E27FC236}">
              <a16:creationId xmlns:a16="http://schemas.microsoft.com/office/drawing/2014/main" id="{DD4228AA-E827-440F-B5A7-0CD493A7E516}"/>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64" name="Text Box 141" hidden="1">
          <a:extLst>
            <a:ext uri="{FF2B5EF4-FFF2-40B4-BE49-F238E27FC236}">
              <a16:creationId xmlns:a16="http://schemas.microsoft.com/office/drawing/2014/main" id="{32E82E61-4139-4A8F-8302-334CD4540BEB}"/>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65" name="Text Box 140" hidden="1">
          <a:extLst>
            <a:ext uri="{FF2B5EF4-FFF2-40B4-BE49-F238E27FC236}">
              <a16:creationId xmlns:a16="http://schemas.microsoft.com/office/drawing/2014/main" id="{315CEDD4-F585-4108-921A-A0668C595AE4}"/>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66" name="Text Box 139" hidden="1">
          <a:extLst>
            <a:ext uri="{FF2B5EF4-FFF2-40B4-BE49-F238E27FC236}">
              <a16:creationId xmlns:a16="http://schemas.microsoft.com/office/drawing/2014/main" id="{AD3CFB56-3278-4F48-9D39-8D16B30E0476}"/>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67" name="Text Box 138" hidden="1">
          <a:extLst>
            <a:ext uri="{FF2B5EF4-FFF2-40B4-BE49-F238E27FC236}">
              <a16:creationId xmlns:a16="http://schemas.microsoft.com/office/drawing/2014/main" id="{16EE5BCF-FE76-4651-9935-7E29E5ADC2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68" name="Text Box 137" hidden="1">
          <a:extLst>
            <a:ext uri="{FF2B5EF4-FFF2-40B4-BE49-F238E27FC236}">
              <a16:creationId xmlns:a16="http://schemas.microsoft.com/office/drawing/2014/main" id="{EAEE1D27-63D1-4F9F-B12A-8B2E7551A1C0}"/>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69" name="Text Box 136" hidden="1">
          <a:extLst>
            <a:ext uri="{FF2B5EF4-FFF2-40B4-BE49-F238E27FC236}">
              <a16:creationId xmlns:a16="http://schemas.microsoft.com/office/drawing/2014/main" id="{F06CA606-2780-4BB3-84A6-0753C03DE0D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70" name="Text Box 135" hidden="1">
          <a:extLst>
            <a:ext uri="{FF2B5EF4-FFF2-40B4-BE49-F238E27FC236}">
              <a16:creationId xmlns:a16="http://schemas.microsoft.com/office/drawing/2014/main" id="{F6AEAE66-2D2F-4F4D-99A5-AC7D2A11AD8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1" name="Text Box 134" hidden="1">
          <a:extLst>
            <a:ext uri="{FF2B5EF4-FFF2-40B4-BE49-F238E27FC236}">
              <a16:creationId xmlns:a16="http://schemas.microsoft.com/office/drawing/2014/main" id="{CE572672-15BD-4B94-8412-8FDCFD95471F}"/>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2" name="Text Box 133" hidden="1">
          <a:extLst>
            <a:ext uri="{FF2B5EF4-FFF2-40B4-BE49-F238E27FC236}">
              <a16:creationId xmlns:a16="http://schemas.microsoft.com/office/drawing/2014/main" id="{64EFD191-44E7-4590-8410-79990658C05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73" name="Text Box 132" hidden="1">
          <a:extLst>
            <a:ext uri="{FF2B5EF4-FFF2-40B4-BE49-F238E27FC236}">
              <a16:creationId xmlns:a16="http://schemas.microsoft.com/office/drawing/2014/main" id="{E5A4B594-4045-46AA-8BC9-A8D8AD9BC87C}"/>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74" name="Text Box 131" hidden="1">
          <a:extLst>
            <a:ext uri="{FF2B5EF4-FFF2-40B4-BE49-F238E27FC236}">
              <a16:creationId xmlns:a16="http://schemas.microsoft.com/office/drawing/2014/main" id="{B7EBD246-AC17-416F-8990-3F5AF492851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75" name="Text Box 130" hidden="1">
          <a:extLst>
            <a:ext uri="{FF2B5EF4-FFF2-40B4-BE49-F238E27FC236}">
              <a16:creationId xmlns:a16="http://schemas.microsoft.com/office/drawing/2014/main" id="{848D40B5-FD36-4A04-8AD2-98A951F82F98}"/>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6" name="Text Box 129" hidden="1">
          <a:extLst>
            <a:ext uri="{FF2B5EF4-FFF2-40B4-BE49-F238E27FC236}">
              <a16:creationId xmlns:a16="http://schemas.microsoft.com/office/drawing/2014/main" id="{68AD00C3-F59C-4341-8599-B1697C8144DB}"/>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7" name="Text Box 128" hidden="1">
          <a:extLst>
            <a:ext uri="{FF2B5EF4-FFF2-40B4-BE49-F238E27FC236}">
              <a16:creationId xmlns:a16="http://schemas.microsoft.com/office/drawing/2014/main" id="{E027A8BC-D148-41AB-A3EF-C5E57EA55FB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8" name="Text Box 127" hidden="1">
          <a:extLst>
            <a:ext uri="{FF2B5EF4-FFF2-40B4-BE49-F238E27FC236}">
              <a16:creationId xmlns:a16="http://schemas.microsoft.com/office/drawing/2014/main" id="{E29ECC8F-536D-421C-9BDF-447699808998}"/>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79" name="Text Box 126" hidden="1">
          <a:extLst>
            <a:ext uri="{FF2B5EF4-FFF2-40B4-BE49-F238E27FC236}">
              <a16:creationId xmlns:a16="http://schemas.microsoft.com/office/drawing/2014/main" id="{740FF342-4648-48F1-9476-BA0FD35CA358}"/>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80" name="Text Box 125" hidden="1">
          <a:extLst>
            <a:ext uri="{FF2B5EF4-FFF2-40B4-BE49-F238E27FC236}">
              <a16:creationId xmlns:a16="http://schemas.microsoft.com/office/drawing/2014/main" id="{56152262-BCB9-4859-9EE6-F6668607CC44}"/>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81" name="Text Box 124" hidden="1">
          <a:extLst>
            <a:ext uri="{FF2B5EF4-FFF2-40B4-BE49-F238E27FC236}">
              <a16:creationId xmlns:a16="http://schemas.microsoft.com/office/drawing/2014/main" id="{97DBD9A4-566B-45B8-8E02-2E7DCFC5C572}"/>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82" name="Text Box 123" hidden="1">
          <a:extLst>
            <a:ext uri="{FF2B5EF4-FFF2-40B4-BE49-F238E27FC236}">
              <a16:creationId xmlns:a16="http://schemas.microsoft.com/office/drawing/2014/main" id="{7628EF96-6357-4483-8CBD-3A650167FCFE}"/>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83" name="Text Box 122" hidden="1">
          <a:extLst>
            <a:ext uri="{FF2B5EF4-FFF2-40B4-BE49-F238E27FC236}">
              <a16:creationId xmlns:a16="http://schemas.microsoft.com/office/drawing/2014/main" id="{FA2A6AAE-604C-42A4-AA35-4BA56D40313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84" name="Text Box 121" hidden="1">
          <a:extLst>
            <a:ext uri="{FF2B5EF4-FFF2-40B4-BE49-F238E27FC236}">
              <a16:creationId xmlns:a16="http://schemas.microsoft.com/office/drawing/2014/main" id="{FADCD6F2-2FB6-41B4-A987-53133AFCF32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85" name="Text Box 120" hidden="1">
          <a:extLst>
            <a:ext uri="{FF2B5EF4-FFF2-40B4-BE49-F238E27FC236}">
              <a16:creationId xmlns:a16="http://schemas.microsoft.com/office/drawing/2014/main" id="{C107E82E-101A-42CD-B5FD-76185DDF516D}"/>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86" name="Text Box 119" hidden="1">
          <a:extLst>
            <a:ext uri="{FF2B5EF4-FFF2-40B4-BE49-F238E27FC236}">
              <a16:creationId xmlns:a16="http://schemas.microsoft.com/office/drawing/2014/main" id="{6AA4EB9C-2CC3-4B89-89D0-E94FEBA95420}"/>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87" name="Text Box 118" hidden="1">
          <a:extLst>
            <a:ext uri="{FF2B5EF4-FFF2-40B4-BE49-F238E27FC236}">
              <a16:creationId xmlns:a16="http://schemas.microsoft.com/office/drawing/2014/main" id="{02F3A231-C210-4E68-B737-2B908A2AA192}"/>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88" name="Text Box 117" hidden="1">
          <a:extLst>
            <a:ext uri="{FF2B5EF4-FFF2-40B4-BE49-F238E27FC236}">
              <a16:creationId xmlns:a16="http://schemas.microsoft.com/office/drawing/2014/main" id="{553DD881-9831-41A3-8EE4-C7B8E7515A24}"/>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89" name="Text Box 116" hidden="1">
          <a:extLst>
            <a:ext uri="{FF2B5EF4-FFF2-40B4-BE49-F238E27FC236}">
              <a16:creationId xmlns:a16="http://schemas.microsoft.com/office/drawing/2014/main" id="{DAFA97AF-B060-4453-B539-95D2921A4C8F}"/>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90" name="Text Box 115" hidden="1">
          <a:extLst>
            <a:ext uri="{FF2B5EF4-FFF2-40B4-BE49-F238E27FC236}">
              <a16:creationId xmlns:a16="http://schemas.microsoft.com/office/drawing/2014/main" id="{E4C13635-AB85-450E-8716-78AA1AD3DD02}"/>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91" name="Text Box 114" hidden="1">
          <a:extLst>
            <a:ext uri="{FF2B5EF4-FFF2-40B4-BE49-F238E27FC236}">
              <a16:creationId xmlns:a16="http://schemas.microsoft.com/office/drawing/2014/main" id="{0A28967F-682A-419D-9C97-403BF1B6FBE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92" name="Text Box 113" hidden="1">
          <a:extLst>
            <a:ext uri="{FF2B5EF4-FFF2-40B4-BE49-F238E27FC236}">
              <a16:creationId xmlns:a16="http://schemas.microsoft.com/office/drawing/2014/main" id="{8B8F3570-25D0-4A79-9BA5-9DA4CEB328A0}"/>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93" name="Text Box 112" hidden="1">
          <a:extLst>
            <a:ext uri="{FF2B5EF4-FFF2-40B4-BE49-F238E27FC236}">
              <a16:creationId xmlns:a16="http://schemas.microsoft.com/office/drawing/2014/main" id="{1130FEBA-B9A7-4E3E-8941-E09A49B2910B}"/>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94" name="Text Box 111" hidden="1">
          <a:extLst>
            <a:ext uri="{FF2B5EF4-FFF2-40B4-BE49-F238E27FC236}">
              <a16:creationId xmlns:a16="http://schemas.microsoft.com/office/drawing/2014/main" id="{8CB37C29-AC8A-49A3-9D28-DCC764E275A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95" name="Text Box 110" hidden="1">
          <a:extLst>
            <a:ext uri="{FF2B5EF4-FFF2-40B4-BE49-F238E27FC236}">
              <a16:creationId xmlns:a16="http://schemas.microsoft.com/office/drawing/2014/main" id="{2D4C0627-0B54-4BD8-8413-D09DC0DF195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96" name="Text Box 109" hidden="1">
          <a:extLst>
            <a:ext uri="{FF2B5EF4-FFF2-40B4-BE49-F238E27FC236}">
              <a16:creationId xmlns:a16="http://schemas.microsoft.com/office/drawing/2014/main" id="{1D948B90-1A01-4173-8248-5DDB7EC4A8F0}"/>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97" name="Text Box 162" hidden="1">
          <a:extLst>
            <a:ext uri="{FF2B5EF4-FFF2-40B4-BE49-F238E27FC236}">
              <a16:creationId xmlns:a16="http://schemas.microsoft.com/office/drawing/2014/main" id="{CF464BDE-114D-4841-879E-A056C44537E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98" name="Text Box 161" hidden="1">
          <a:extLst>
            <a:ext uri="{FF2B5EF4-FFF2-40B4-BE49-F238E27FC236}">
              <a16:creationId xmlns:a16="http://schemas.microsoft.com/office/drawing/2014/main" id="{25D2D827-4F53-46F2-81B6-A097834BB6B7}"/>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99" name="Text Box 160" hidden="1">
          <a:extLst>
            <a:ext uri="{FF2B5EF4-FFF2-40B4-BE49-F238E27FC236}">
              <a16:creationId xmlns:a16="http://schemas.microsoft.com/office/drawing/2014/main" id="{8042C9A9-5900-44DD-A075-6DD4CA4A88FF}"/>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00" name="Text Box 159" hidden="1">
          <a:extLst>
            <a:ext uri="{FF2B5EF4-FFF2-40B4-BE49-F238E27FC236}">
              <a16:creationId xmlns:a16="http://schemas.microsoft.com/office/drawing/2014/main" id="{DFF2FBE1-E0FB-48E4-A1C9-CC2051F53F2F}"/>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01" name="Text Box 158" hidden="1">
          <a:extLst>
            <a:ext uri="{FF2B5EF4-FFF2-40B4-BE49-F238E27FC236}">
              <a16:creationId xmlns:a16="http://schemas.microsoft.com/office/drawing/2014/main" id="{579C2CCE-47E9-47BE-B0DE-16B77081881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02" name="Text Box 157" hidden="1">
          <a:extLst>
            <a:ext uri="{FF2B5EF4-FFF2-40B4-BE49-F238E27FC236}">
              <a16:creationId xmlns:a16="http://schemas.microsoft.com/office/drawing/2014/main" id="{482D46EA-3541-4687-9B5B-567BC041E6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03" name="Text Box 156" hidden="1">
          <a:extLst>
            <a:ext uri="{FF2B5EF4-FFF2-40B4-BE49-F238E27FC236}">
              <a16:creationId xmlns:a16="http://schemas.microsoft.com/office/drawing/2014/main" id="{D9D69202-A6A7-4B60-9154-5692BB2C9A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04" name="Text Box 155" hidden="1">
          <a:extLst>
            <a:ext uri="{FF2B5EF4-FFF2-40B4-BE49-F238E27FC236}">
              <a16:creationId xmlns:a16="http://schemas.microsoft.com/office/drawing/2014/main" id="{5294D2EC-16D5-4DBF-872C-9B0CBC7BD08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05" name="Text Box 154" hidden="1">
          <a:extLst>
            <a:ext uri="{FF2B5EF4-FFF2-40B4-BE49-F238E27FC236}">
              <a16:creationId xmlns:a16="http://schemas.microsoft.com/office/drawing/2014/main" id="{4BEC524F-7B82-4CDE-8297-AAE1E5982F2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06" name="Text Box 153" hidden="1">
          <a:extLst>
            <a:ext uri="{FF2B5EF4-FFF2-40B4-BE49-F238E27FC236}">
              <a16:creationId xmlns:a16="http://schemas.microsoft.com/office/drawing/2014/main" id="{9A656E9D-CF63-43DB-807F-A34B13938A56}"/>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07" name="Text Box 152" hidden="1">
          <a:extLst>
            <a:ext uri="{FF2B5EF4-FFF2-40B4-BE49-F238E27FC236}">
              <a16:creationId xmlns:a16="http://schemas.microsoft.com/office/drawing/2014/main" id="{04175EB7-D19C-4B41-8198-89AE97969F60}"/>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08" name="Text Box 151" hidden="1">
          <a:extLst>
            <a:ext uri="{FF2B5EF4-FFF2-40B4-BE49-F238E27FC236}">
              <a16:creationId xmlns:a16="http://schemas.microsoft.com/office/drawing/2014/main" id="{3100617D-784F-4FB6-AB86-95A6621D7011}"/>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09" name="Text Box 150" hidden="1">
          <a:extLst>
            <a:ext uri="{FF2B5EF4-FFF2-40B4-BE49-F238E27FC236}">
              <a16:creationId xmlns:a16="http://schemas.microsoft.com/office/drawing/2014/main" id="{75D588BC-680A-47C0-BBA4-B1A6F7F8C681}"/>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10" name="Text Box 149" hidden="1">
          <a:extLst>
            <a:ext uri="{FF2B5EF4-FFF2-40B4-BE49-F238E27FC236}">
              <a16:creationId xmlns:a16="http://schemas.microsoft.com/office/drawing/2014/main" id="{C6957227-D225-4D66-990C-5AB2299E1676}"/>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11" name="Text Box 148" hidden="1">
          <a:extLst>
            <a:ext uri="{FF2B5EF4-FFF2-40B4-BE49-F238E27FC236}">
              <a16:creationId xmlns:a16="http://schemas.microsoft.com/office/drawing/2014/main" id="{53C704FA-F64F-4E61-84D7-44A37A6E556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12" name="Text Box 147" hidden="1">
          <a:extLst>
            <a:ext uri="{FF2B5EF4-FFF2-40B4-BE49-F238E27FC236}">
              <a16:creationId xmlns:a16="http://schemas.microsoft.com/office/drawing/2014/main" id="{ACA24729-166B-42C5-BFB4-468D9EA390A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13" name="Text Box 146" hidden="1">
          <a:extLst>
            <a:ext uri="{FF2B5EF4-FFF2-40B4-BE49-F238E27FC236}">
              <a16:creationId xmlns:a16="http://schemas.microsoft.com/office/drawing/2014/main" id="{1E563BD4-AEAE-4BA6-846B-10AC702FD6B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14" name="Text Box 145" hidden="1">
          <a:extLst>
            <a:ext uri="{FF2B5EF4-FFF2-40B4-BE49-F238E27FC236}">
              <a16:creationId xmlns:a16="http://schemas.microsoft.com/office/drawing/2014/main" id="{82A9B125-BFC9-425F-8837-96002695A55D}"/>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15" name="Text Box 180" hidden="1">
          <a:extLst>
            <a:ext uri="{FF2B5EF4-FFF2-40B4-BE49-F238E27FC236}">
              <a16:creationId xmlns:a16="http://schemas.microsoft.com/office/drawing/2014/main" id="{ABE0436C-FA18-4C5F-82A6-765FC68EAEC3}"/>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16" name="Text Box 179" hidden="1">
          <a:extLst>
            <a:ext uri="{FF2B5EF4-FFF2-40B4-BE49-F238E27FC236}">
              <a16:creationId xmlns:a16="http://schemas.microsoft.com/office/drawing/2014/main" id="{1E68C160-6E29-436F-99CE-5E6D2237501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17" name="Text Box 178" hidden="1">
          <a:extLst>
            <a:ext uri="{FF2B5EF4-FFF2-40B4-BE49-F238E27FC236}">
              <a16:creationId xmlns:a16="http://schemas.microsoft.com/office/drawing/2014/main" id="{A6560C4F-3205-4A24-96F4-D718BF5CF6A4}"/>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18" name="Text Box 177" hidden="1">
          <a:extLst>
            <a:ext uri="{FF2B5EF4-FFF2-40B4-BE49-F238E27FC236}">
              <a16:creationId xmlns:a16="http://schemas.microsoft.com/office/drawing/2014/main" id="{9895571F-59AD-4C37-BA3F-4E1CE9868607}"/>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19" name="Text Box 176" hidden="1">
          <a:extLst>
            <a:ext uri="{FF2B5EF4-FFF2-40B4-BE49-F238E27FC236}">
              <a16:creationId xmlns:a16="http://schemas.microsoft.com/office/drawing/2014/main" id="{D361E463-B246-4C4A-884A-43EE93B187A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20" name="Text Box 175" hidden="1">
          <a:extLst>
            <a:ext uri="{FF2B5EF4-FFF2-40B4-BE49-F238E27FC236}">
              <a16:creationId xmlns:a16="http://schemas.microsoft.com/office/drawing/2014/main" id="{33F964B8-DFF3-4208-A15B-9B4C5B33C35B}"/>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21" name="Text Box 174" hidden="1">
          <a:extLst>
            <a:ext uri="{FF2B5EF4-FFF2-40B4-BE49-F238E27FC236}">
              <a16:creationId xmlns:a16="http://schemas.microsoft.com/office/drawing/2014/main" id="{2E9280CC-7513-40C9-8EEC-6EF5BEFF405F}"/>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22" name="Text Box 173" hidden="1">
          <a:extLst>
            <a:ext uri="{FF2B5EF4-FFF2-40B4-BE49-F238E27FC236}">
              <a16:creationId xmlns:a16="http://schemas.microsoft.com/office/drawing/2014/main" id="{ABAEE46C-CD7A-4487-A717-72CC1D1509B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23" name="Text Box 172" hidden="1">
          <a:extLst>
            <a:ext uri="{FF2B5EF4-FFF2-40B4-BE49-F238E27FC236}">
              <a16:creationId xmlns:a16="http://schemas.microsoft.com/office/drawing/2014/main" id="{AA6045A2-D0F2-49EC-91D9-C3F423231F77}"/>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24" name="Text Box 171" hidden="1">
          <a:extLst>
            <a:ext uri="{FF2B5EF4-FFF2-40B4-BE49-F238E27FC236}">
              <a16:creationId xmlns:a16="http://schemas.microsoft.com/office/drawing/2014/main" id="{34717CD7-456E-4D16-9F87-633F3848B24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25" name="Text Box 170" hidden="1">
          <a:extLst>
            <a:ext uri="{FF2B5EF4-FFF2-40B4-BE49-F238E27FC236}">
              <a16:creationId xmlns:a16="http://schemas.microsoft.com/office/drawing/2014/main" id="{9CCFB87A-D076-46B9-ADA1-13A5F1AD596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26" name="Text Box 169" hidden="1">
          <a:extLst>
            <a:ext uri="{FF2B5EF4-FFF2-40B4-BE49-F238E27FC236}">
              <a16:creationId xmlns:a16="http://schemas.microsoft.com/office/drawing/2014/main" id="{0B2BB792-4AF2-4A8D-9A53-DC056086C97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27" name="Text Box 168" hidden="1">
          <a:extLst>
            <a:ext uri="{FF2B5EF4-FFF2-40B4-BE49-F238E27FC236}">
              <a16:creationId xmlns:a16="http://schemas.microsoft.com/office/drawing/2014/main" id="{7679433F-8B3B-4B0B-A509-ABD3A3C2A085}"/>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28" name="Text Box 167" hidden="1">
          <a:extLst>
            <a:ext uri="{FF2B5EF4-FFF2-40B4-BE49-F238E27FC236}">
              <a16:creationId xmlns:a16="http://schemas.microsoft.com/office/drawing/2014/main" id="{E84A7756-13E6-4944-A44A-9E4D5B29751B}"/>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29" name="Text Box 166" hidden="1">
          <a:extLst>
            <a:ext uri="{FF2B5EF4-FFF2-40B4-BE49-F238E27FC236}">
              <a16:creationId xmlns:a16="http://schemas.microsoft.com/office/drawing/2014/main" id="{F88BE496-8B1F-4451-B6FB-79B530342242}"/>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30" name="Text Box 165" hidden="1">
          <a:extLst>
            <a:ext uri="{FF2B5EF4-FFF2-40B4-BE49-F238E27FC236}">
              <a16:creationId xmlns:a16="http://schemas.microsoft.com/office/drawing/2014/main" id="{13657EC5-57C0-43B1-884C-4B982B95870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31" name="Text Box 164" hidden="1">
          <a:extLst>
            <a:ext uri="{FF2B5EF4-FFF2-40B4-BE49-F238E27FC236}">
              <a16:creationId xmlns:a16="http://schemas.microsoft.com/office/drawing/2014/main" id="{A00DC1A6-2ABB-4E66-B944-592095518F0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32" name="Text Box 163" hidden="1">
          <a:extLst>
            <a:ext uri="{FF2B5EF4-FFF2-40B4-BE49-F238E27FC236}">
              <a16:creationId xmlns:a16="http://schemas.microsoft.com/office/drawing/2014/main" id="{67C11EF5-3E52-4DE6-A529-46C02FF9BB14}"/>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33" name="Text Box 198" hidden="1">
          <a:extLst>
            <a:ext uri="{FF2B5EF4-FFF2-40B4-BE49-F238E27FC236}">
              <a16:creationId xmlns:a16="http://schemas.microsoft.com/office/drawing/2014/main" id="{08CD333C-5AAE-40B6-BC7E-88935B3B261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34" name="Text Box 197" hidden="1">
          <a:extLst>
            <a:ext uri="{FF2B5EF4-FFF2-40B4-BE49-F238E27FC236}">
              <a16:creationId xmlns:a16="http://schemas.microsoft.com/office/drawing/2014/main" id="{A5E9C22F-8D66-47E3-94BB-36EFC6D83208}"/>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35" name="Text Box 196" hidden="1">
          <a:extLst>
            <a:ext uri="{FF2B5EF4-FFF2-40B4-BE49-F238E27FC236}">
              <a16:creationId xmlns:a16="http://schemas.microsoft.com/office/drawing/2014/main" id="{C64C9BD6-717E-4ED0-848E-641EE063488D}"/>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36" name="Text Box 195" hidden="1">
          <a:extLst>
            <a:ext uri="{FF2B5EF4-FFF2-40B4-BE49-F238E27FC236}">
              <a16:creationId xmlns:a16="http://schemas.microsoft.com/office/drawing/2014/main" id="{8CEEA304-FF65-4042-B177-A412515B41DB}"/>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37" name="Text Box 194" hidden="1">
          <a:extLst>
            <a:ext uri="{FF2B5EF4-FFF2-40B4-BE49-F238E27FC236}">
              <a16:creationId xmlns:a16="http://schemas.microsoft.com/office/drawing/2014/main" id="{9FFA9A07-874F-4EB9-A9B8-16C7740838BE}"/>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38" name="Text Box 193" hidden="1">
          <a:extLst>
            <a:ext uri="{FF2B5EF4-FFF2-40B4-BE49-F238E27FC236}">
              <a16:creationId xmlns:a16="http://schemas.microsoft.com/office/drawing/2014/main" id="{9D2E49CE-16AC-48A9-9590-112B1A86D3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39" name="Text Box 192" hidden="1">
          <a:extLst>
            <a:ext uri="{FF2B5EF4-FFF2-40B4-BE49-F238E27FC236}">
              <a16:creationId xmlns:a16="http://schemas.microsoft.com/office/drawing/2014/main" id="{23864AB9-7890-4EEF-A400-FC88FB02CEA6}"/>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40" name="Text Box 191" hidden="1">
          <a:extLst>
            <a:ext uri="{FF2B5EF4-FFF2-40B4-BE49-F238E27FC236}">
              <a16:creationId xmlns:a16="http://schemas.microsoft.com/office/drawing/2014/main" id="{92998192-A875-49C2-B24B-315B561D757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41" name="Text Box 190" hidden="1">
          <a:extLst>
            <a:ext uri="{FF2B5EF4-FFF2-40B4-BE49-F238E27FC236}">
              <a16:creationId xmlns:a16="http://schemas.microsoft.com/office/drawing/2014/main" id="{9C88B51E-AAFE-4830-87AD-22D42BCBF8B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42" name="Text Box 189" hidden="1">
          <a:extLst>
            <a:ext uri="{FF2B5EF4-FFF2-40B4-BE49-F238E27FC236}">
              <a16:creationId xmlns:a16="http://schemas.microsoft.com/office/drawing/2014/main" id="{EDCB0622-63F7-4F64-8050-98C151B7AB0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43" name="Text Box 188" hidden="1">
          <a:extLst>
            <a:ext uri="{FF2B5EF4-FFF2-40B4-BE49-F238E27FC236}">
              <a16:creationId xmlns:a16="http://schemas.microsoft.com/office/drawing/2014/main" id="{BEE15846-B3DC-4C85-903E-FD5F3D3EBC46}"/>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44" name="Text Box 187" hidden="1">
          <a:extLst>
            <a:ext uri="{FF2B5EF4-FFF2-40B4-BE49-F238E27FC236}">
              <a16:creationId xmlns:a16="http://schemas.microsoft.com/office/drawing/2014/main" id="{DBAB9D09-6530-4B42-91CA-507261D20EA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45" name="Text Box 186" hidden="1">
          <a:extLst>
            <a:ext uri="{FF2B5EF4-FFF2-40B4-BE49-F238E27FC236}">
              <a16:creationId xmlns:a16="http://schemas.microsoft.com/office/drawing/2014/main" id="{9D3047FB-ED67-42C8-B519-2EE4C4D874B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46" name="Text Box 185" hidden="1">
          <a:extLst>
            <a:ext uri="{FF2B5EF4-FFF2-40B4-BE49-F238E27FC236}">
              <a16:creationId xmlns:a16="http://schemas.microsoft.com/office/drawing/2014/main" id="{0E2F85F3-E538-42D6-A57A-33A2BB97AD56}"/>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47" name="Text Box 184" hidden="1">
          <a:extLst>
            <a:ext uri="{FF2B5EF4-FFF2-40B4-BE49-F238E27FC236}">
              <a16:creationId xmlns:a16="http://schemas.microsoft.com/office/drawing/2014/main" id="{72EC5BF8-D4FF-47BA-810B-7A5B8AAF0A44}"/>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48" name="Text Box 183" hidden="1">
          <a:extLst>
            <a:ext uri="{FF2B5EF4-FFF2-40B4-BE49-F238E27FC236}">
              <a16:creationId xmlns:a16="http://schemas.microsoft.com/office/drawing/2014/main" id="{B2C4D314-7D3B-478B-83A3-9FACF1575E3B}"/>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49" name="Text Box 182" hidden="1">
          <a:extLst>
            <a:ext uri="{FF2B5EF4-FFF2-40B4-BE49-F238E27FC236}">
              <a16:creationId xmlns:a16="http://schemas.microsoft.com/office/drawing/2014/main" id="{9CF049B9-118F-49B7-A508-104BA909E51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50" name="Text Box 181" hidden="1">
          <a:extLst>
            <a:ext uri="{FF2B5EF4-FFF2-40B4-BE49-F238E27FC236}">
              <a16:creationId xmlns:a16="http://schemas.microsoft.com/office/drawing/2014/main" id="{6F8CD54A-922D-4352-9D47-82CA5713A30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51" name="Text Box 216" hidden="1">
          <a:extLst>
            <a:ext uri="{FF2B5EF4-FFF2-40B4-BE49-F238E27FC236}">
              <a16:creationId xmlns:a16="http://schemas.microsoft.com/office/drawing/2014/main" id="{6FC7F757-F3E3-46FB-9DB3-5DAD537CCC3B}"/>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52" name="Text Box 215" hidden="1">
          <a:extLst>
            <a:ext uri="{FF2B5EF4-FFF2-40B4-BE49-F238E27FC236}">
              <a16:creationId xmlns:a16="http://schemas.microsoft.com/office/drawing/2014/main" id="{9D52FAA7-1C0F-4E71-9B9D-9D7AACB05ED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53" name="Text Box 214" hidden="1">
          <a:extLst>
            <a:ext uri="{FF2B5EF4-FFF2-40B4-BE49-F238E27FC236}">
              <a16:creationId xmlns:a16="http://schemas.microsoft.com/office/drawing/2014/main" id="{8958E7E6-B74C-455B-943B-4E3F8915A581}"/>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54" name="Text Box 213" hidden="1">
          <a:extLst>
            <a:ext uri="{FF2B5EF4-FFF2-40B4-BE49-F238E27FC236}">
              <a16:creationId xmlns:a16="http://schemas.microsoft.com/office/drawing/2014/main" id="{D290958A-3932-4970-B021-1CD4E69A4D7A}"/>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55" name="Text Box 212" hidden="1">
          <a:extLst>
            <a:ext uri="{FF2B5EF4-FFF2-40B4-BE49-F238E27FC236}">
              <a16:creationId xmlns:a16="http://schemas.microsoft.com/office/drawing/2014/main" id="{48800A35-A6C6-4767-8150-6B2F8495727D}"/>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56" name="Text Box 211" hidden="1">
          <a:extLst>
            <a:ext uri="{FF2B5EF4-FFF2-40B4-BE49-F238E27FC236}">
              <a16:creationId xmlns:a16="http://schemas.microsoft.com/office/drawing/2014/main" id="{4BEF5436-7509-467D-9995-F30F2C3424F0}"/>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57" name="Text Box 210" hidden="1">
          <a:extLst>
            <a:ext uri="{FF2B5EF4-FFF2-40B4-BE49-F238E27FC236}">
              <a16:creationId xmlns:a16="http://schemas.microsoft.com/office/drawing/2014/main" id="{93A4C973-C43A-4833-AB37-5B834977AF31}"/>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58" name="Text Box 209" hidden="1">
          <a:extLst>
            <a:ext uri="{FF2B5EF4-FFF2-40B4-BE49-F238E27FC236}">
              <a16:creationId xmlns:a16="http://schemas.microsoft.com/office/drawing/2014/main" id="{68F331BD-BAB3-4EE9-88A4-C713E079D25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59" name="Text Box 208" hidden="1">
          <a:extLst>
            <a:ext uri="{FF2B5EF4-FFF2-40B4-BE49-F238E27FC236}">
              <a16:creationId xmlns:a16="http://schemas.microsoft.com/office/drawing/2014/main" id="{8932899C-4D70-40E1-8337-DC86509FD1F3}"/>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60" name="Text Box 207" hidden="1">
          <a:extLst>
            <a:ext uri="{FF2B5EF4-FFF2-40B4-BE49-F238E27FC236}">
              <a16:creationId xmlns:a16="http://schemas.microsoft.com/office/drawing/2014/main" id="{C36362EB-678F-4324-AC86-6D7990052FED}"/>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61" name="Text Box 206" hidden="1">
          <a:extLst>
            <a:ext uri="{FF2B5EF4-FFF2-40B4-BE49-F238E27FC236}">
              <a16:creationId xmlns:a16="http://schemas.microsoft.com/office/drawing/2014/main" id="{A40EE139-DDA6-407C-A0CF-DB7E9494EFD8}"/>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62" name="Text Box 205" hidden="1">
          <a:extLst>
            <a:ext uri="{FF2B5EF4-FFF2-40B4-BE49-F238E27FC236}">
              <a16:creationId xmlns:a16="http://schemas.microsoft.com/office/drawing/2014/main" id="{555F64E8-80D5-4313-BF94-7E71CE1D552A}"/>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63" name="Text Box 204" hidden="1">
          <a:extLst>
            <a:ext uri="{FF2B5EF4-FFF2-40B4-BE49-F238E27FC236}">
              <a16:creationId xmlns:a16="http://schemas.microsoft.com/office/drawing/2014/main" id="{D09A8737-042E-4181-848F-7AF88F49896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64" name="Text Box 203" hidden="1">
          <a:extLst>
            <a:ext uri="{FF2B5EF4-FFF2-40B4-BE49-F238E27FC236}">
              <a16:creationId xmlns:a16="http://schemas.microsoft.com/office/drawing/2014/main" id="{788C106E-1D1A-4A73-B460-46D9C24A330A}"/>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65" name="Text Box 202" hidden="1">
          <a:extLst>
            <a:ext uri="{FF2B5EF4-FFF2-40B4-BE49-F238E27FC236}">
              <a16:creationId xmlns:a16="http://schemas.microsoft.com/office/drawing/2014/main" id="{CA982382-DBB0-40D1-9906-42108C0F48E7}"/>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66" name="Text Box 201" hidden="1">
          <a:extLst>
            <a:ext uri="{FF2B5EF4-FFF2-40B4-BE49-F238E27FC236}">
              <a16:creationId xmlns:a16="http://schemas.microsoft.com/office/drawing/2014/main" id="{6D243E95-DEFE-4A09-9800-2F17837A74E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67" name="Text Box 200" hidden="1">
          <a:extLst>
            <a:ext uri="{FF2B5EF4-FFF2-40B4-BE49-F238E27FC236}">
              <a16:creationId xmlns:a16="http://schemas.microsoft.com/office/drawing/2014/main" id="{D965514F-E6F4-463A-8809-59128A58CE94}"/>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68" name="Text Box 199" hidden="1">
          <a:extLst>
            <a:ext uri="{FF2B5EF4-FFF2-40B4-BE49-F238E27FC236}">
              <a16:creationId xmlns:a16="http://schemas.microsoft.com/office/drawing/2014/main" id="{24ED3392-9F26-496D-961A-6EC782101EA0}"/>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69" name="Text Box 21" hidden="1">
          <a:extLst>
            <a:ext uri="{FF2B5EF4-FFF2-40B4-BE49-F238E27FC236}">
              <a16:creationId xmlns:a16="http://schemas.microsoft.com/office/drawing/2014/main" id="{B2531D71-6F33-4433-8E7B-FCEF0AB094E0}"/>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70" name="Text Box 20" hidden="1">
          <a:extLst>
            <a:ext uri="{FF2B5EF4-FFF2-40B4-BE49-F238E27FC236}">
              <a16:creationId xmlns:a16="http://schemas.microsoft.com/office/drawing/2014/main" id="{B068A233-C230-459E-9781-5922227B7D0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71" name="Text Box 19" hidden="1">
          <a:extLst>
            <a:ext uri="{FF2B5EF4-FFF2-40B4-BE49-F238E27FC236}">
              <a16:creationId xmlns:a16="http://schemas.microsoft.com/office/drawing/2014/main" id="{A022D25B-6F36-4ED7-A864-5368BD19E456}"/>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72" name="Text Box 18" hidden="1">
          <a:extLst>
            <a:ext uri="{FF2B5EF4-FFF2-40B4-BE49-F238E27FC236}">
              <a16:creationId xmlns:a16="http://schemas.microsoft.com/office/drawing/2014/main" id="{C4A9DE12-76CC-4FCD-BF4B-99F7221E032D}"/>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73" name="Text Box 17" hidden="1">
          <a:extLst>
            <a:ext uri="{FF2B5EF4-FFF2-40B4-BE49-F238E27FC236}">
              <a16:creationId xmlns:a16="http://schemas.microsoft.com/office/drawing/2014/main" id="{D1212839-A471-46D9-8BC8-4943E5DF4966}"/>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74" name="Text Box 16" hidden="1">
          <a:extLst>
            <a:ext uri="{FF2B5EF4-FFF2-40B4-BE49-F238E27FC236}">
              <a16:creationId xmlns:a16="http://schemas.microsoft.com/office/drawing/2014/main" id="{F15CEC02-C727-4D9D-AD68-ED910B53719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75" name="Text Box 15" hidden="1">
          <a:extLst>
            <a:ext uri="{FF2B5EF4-FFF2-40B4-BE49-F238E27FC236}">
              <a16:creationId xmlns:a16="http://schemas.microsoft.com/office/drawing/2014/main" id="{160F4E00-5F8E-42E9-A517-DC360B0581F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76" name="Text Box 14" hidden="1">
          <a:extLst>
            <a:ext uri="{FF2B5EF4-FFF2-40B4-BE49-F238E27FC236}">
              <a16:creationId xmlns:a16="http://schemas.microsoft.com/office/drawing/2014/main" id="{2E5433CE-7A50-445D-A507-13E34DDB4CF3}"/>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77" name="Text Box 13" hidden="1">
          <a:extLst>
            <a:ext uri="{FF2B5EF4-FFF2-40B4-BE49-F238E27FC236}">
              <a16:creationId xmlns:a16="http://schemas.microsoft.com/office/drawing/2014/main" id="{ED263D54-E2CC-4EB3-AA30-E1C8E69EF71D}"/>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78" name="Text Box 12" hidden="1">
          <a:extLst>
            <a:ext uri="{FF2B5EF4-FFF2-40B4-BE49-F238E27FC236}">
              <a16:creationId xmlns:a16="http://schemas.microsoft.com/office/drawing/2014/main" id="{DEE07685-EDEE-473E-9484-E99956A4C107}"/>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79" name="Text Box 11" hidden="1">
          <a:extLst>
            <a:ext uri="{FF2B5EF4-FFF2-40B4-BE49-F238E27FC236}">
              <a16:creationId xmlns:a16="http://schemas.microsoft.com/office/drawing/2014/main" id="{032CFC2C-5100-4402-BFA9-685B21A6C77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80" name="Text Box 10" hidden="1">
          <a:extLst>
            <a:ext uri="{FF2B5EF4-FFF2-40B4-BE49-F238E27FC236}">
              <a16:creationId xmlns:a16="http://schemas.microsoft.com/office/drawing/2014/main" id="{D652F5DC-43CA-49AE-A0DD-66CEB0E4DEC8}"/>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81" name="Text Box 9" hidden="1">
          <a:extLst>
            <a:ext uri="{FF2B5EF4-FFF2-40B4-BE49-F238E27FC236}">
              <a16:creationId xmlns:a16="http://schemas.microsoft.com/office/drawing/2014/main" id="{CF86C2CC-9E7B-4E4E-A91B-415400332890}"/>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82" name="Text Box 8" hidden="1">
          <a:extLst>
            <a:ext uri="{FF2B5EF4-FFF2-40B4-BE49-F238E27FC236}">
              <a16:creationId xmlns:a16="http://schemas.microsoft.com/office/drawing/2014/main" id="{95D8F70F-4BE5-48D8-A8C4-0272E497DB7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83" name="Text Box 7" hidden="1">
          <a:extLst>
            <a:ext uri="{FF2B5EF4-FFF2-40B4-BE49-F238E27FC236}">
              <a16:creationId xmlns:a16="http://schemas.microsoft.com/office/drawing/2014/main" id="{41C0625E-4339-4488-96F5-4E0189F8BBEE}"/>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84" name="Text Box 6" hidden="1">
          <a:extLst>
            <a:ext uri="{FF2B5EF4-FFF2-40B4-BE49-F238E27FC236}">
              <a16:creationId xmlns:a16="http://schemas.microsoft.com/office/drawing/2014/main" id="{61AB8337-076D-406E-BB8C-B57E2E056D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85" name="Text Box 5" hidden="1">
          <a:extLst>
            <a:ext uri="{FF2B5EF4-FFF2-40B4-BE49-F238E27FC236}">
              <a16:creationId xmlns:a16="http://schemas.microsoft.com/office/drawing/2014/main" id="{39A60BFA-FDF7-470C-B61D-B67AD7CCE92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86" name="Text Box 4" hidden="1">
          <a:extLst>
            <a:ext uri="{FF2B5EF4-FFF2-40B4-BE49-F238E27FC236}">
              <a16:creationId xmlns:a16="http://schemas.microsoft.com/office/drawing/2014/main" id="{1A4E57EF-2214-4497-8EAA-CF41C26B56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487" name="Text Box 3" hidden="1">
          <a:extLst>
            <a:ext uri="{FF2B5EF4-FFF2-40B4-BE49-F238E27FC236}">
              <a16:creationId xmlns:a16="http://schemas.microsoft.com/office/drawing/2014/main" id="{DA0B26BB-B4BE-4B71-96E6-3C312082CB41}"/>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488" name="Text Box 2" hidden="1">
          <a:extLst>
            <a:ext uri="{FF2B5EF4-FFF2-40B4-BE49-F238E27FC236}">
              <a16:creationId xmlns:a16="http://schemas.microsoft.com/office/drawing/2014/main" id="{AFFA5B03-1729-4633-8394-AD361467784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90</xdr:row>
      <xdr:rowOff>102658</xdr:rowOff>
    </xdr:from>
    <xdr:to>
      <xdr:col>32</xdr:col>
      <xdr:colOff>666750</xdr:colOff>
      <xdr:row>91</xdr:row>
      <xdr:rowOff>398992</xdr:rowOff>
    </xdr:to>
    <xdr:sp macro="" textlink="">
      <xdr:nvSpPr>
        <xdr:cNvPr id="489" name="Text Box 1" hidden="1">
          <a:extLst>
            <a:ext uri="{FF2B5EF4-FFF2-40B4-BE49-F238E27FC236}">
              <a16:creationId xmlns:a16="http://schemas.microsoft.com/office/drawing/2014/main" id="{A0FEB277-BED1-48C1-B3D3-CFDEDA3949F6}"/>
            </a:ext>
          </a:extLst>
        </xdr:cNvPr>
        <xdr:cNvSpPr txBox="1">
          <a:spLocks noChangeArrowheads="1"/>
        </xdr:cNvSpPr>
      </xdr:nvSpPr>
      <xdr:spPr bwMode="auto">
        <a:xfrm>
          <a:off x="28060650" y="22876933"/>
          <a:ext cx="1333500" cy="7852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490" name="Text Box 42" hidden="1">
          <a:extLst>
            <a:ext uri="{FF2B5EF4-FFF2-40B4-BE49-F238E27FC236}">
              <a16:creationId xmlns:a16="http://schemas.microsoft.com/office/drawing/2014/main" id="{BA2C7A7E-DC9A-4510-9C45-DD914BF7EBA0}"/>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491" name="Text Box 41" hidden="1">
          <a:extLst>
            <a:ext uri="{FF2B5EF4-FFF2-40B4-BE49-F238E27FC236}">
              <a16:creationId xmlns:a16="http://schemas.microsoft.com/office/drawing/2014/main" id="{6E4CEA29-6400-4120-B1D4-D6096BF0F10F}"/>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492" name="Text Box 40" hidden="1">
          <a:extLst>
            <a:ext uri="{FF2B5EF4-FFF2-40B4-BE49-F238E27FC236}">
              <a16:creationId xmlns:a16="http://schemas.microsoft.com/office/drawing/2014/main" id="{1604B9E6-5332-4514-B8C4-1D1CFA01F41B}"/>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493" name="Text Box 39" hidden="1">
          <a:extLst>
            <a:ext uri="{FF2B5EF4-FFF2-40B4-BE49-F238E27FC236}">
              <a16:creationId xmlns:a16="http://schemas.microsoft.com/office/drawing/2014/main" id="{508A8155-6D13-4B97-9F1C-1D31DEC29B45}"/>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94" name="Text Box 38" hidden="1">
          <a:extLst>
            <a:ext uri="{FF2B5EF4-FFF2-40B4-BE49-F238E27FC236}">
              <a16:creationId xmlns:a16="http://schemas.microsoft.com/office/drawing/2014/main" id="{0B9DB590-E8FC-4543-BE74-8DE8DA2A0F1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95" name="Text Box 37" hidden="1">
          <a:extLst>
            <a:ext uri="{FF2B5EF4-FFF2-40B4-BE49-F238E27FC236}">
              <a16:creationId xmlns:a16="http://schemas.microsoft.com/office/drawing/2014/main" id="{F36F79B2-4204-4A1D-B3A1-B16B5CB856D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496" name="Text Box 36" hidden="1">
          <a:extLst>
            <a:ext uri="{FF2B5EF4-FFF2-40B4-BE49-F238E27FC236}">
              <a16:creationId xmlns:a16="http://schemas.microsoft.com/office/drawing/2014/main" id="{63820281-7730-4D9D-A28A-19DEF4399EC9}"/>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101600</xdr:rowOff>
    </xdr:from>
    <xdr:to>
      <xdr:col>20</xdr:col>
      <xdr:colOff>647700</xdr:colOff>
      <xdr:row>68</xdr:row>
      <xdr:rowOff>311150</xdr:rowOff>
    </xdr:to>
    <xdr:sp macro="" textlink="">
      <xdr:nvSpPr>
        <xdr:cNvPr id="497" name="Text Box 35" hidden="1">
          <a:extLst>
            <a:ext uri="{FF2B5EF4-FFF2-40B4-BE49-F238E27FC236}">
              <a16:creationId xmlns:a16="http://schemas.microsoft.com/office/drawing/2014/main" id="{7C317B53-5E49-4DA6-BA80-C7CCA7CDD941}"/>
            </a:ext>
          </a:extLst>
        </xdr:cNvPr>
        <xdr:cNvSpPr txBox="1">
          <a:spLocks noChangeArrowheads="1"/>
        </xdr:cNvSpPr>
      </xdr:nvSpPr>
      <xdr:spPr bwMode="auto">
        <a:xfrm>
          <a:off x="18935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101600</xdr:rowOff>
    </xdr:from>
    <xdr:to>
      <xdr:col>24</xdr:col>
      <xdr:colOff>647700</xdr:colOff>
      <xdr:row>68</xdr:row>
      <xdr:rowOff>311150</xdr:rowOff>
    </xdr:to>
    <xdr:sp macro="" textlink="">
      <xdr:nvSpPr>
        <xdr:cNvPr id="498" name="Text Box 34" hidden="1">
          <a:extLst>
            <a:ext uri="{FF2B5EF4-FFF2-40B4-BE49-F238E27FC236}">
              <a16:creationId xmlns:a16="http://schemas.microsoft.com/office/drawing/2014/main" id="{CA832733-C839-40DD-92F6-ADB46F7D6A35}"/>
            </a:ext>
          </a:extLst>
        </xdr:cNvPr>
        <xdr:cNvSpPr txBox="1">
          <a:spLocks noChangeArrowheads="1"/>
        </xdr:cNvSpPr>
      </xdr:nvSpPr>
      <xdr:spPr bwMode="auto">
        <a:xfrm>
          <a:off x="21983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101600</xdr:rowOff>
    </xdr:from>
    <xdr:to>
      <xdr:col>28</xdr:col>
      <xdr:colOff>647700</xdr:colOff>
      <xdr:row>68</xdr:row>
      <xdr:rowOff>311150</xdr:rowOff>
    </xdr:to>
    <xdr:sp macro="" textlink="">
      <xdr:nvSpPr>
        <xdr:cNvPr id="499" name="Text Box 33" hidden="1">
          <a:extLst>
            <a:ext uri="{FF2B5EF4-FFF2-40B4-BE49-F238E27FC236}">
              <a16:creationId xmlns:a16="http://schemas.microsoft.com/office/drawing/2014/main" id="{66D7A22C-CBEB-4E06-9E40-03DDBE5E09A3}"/>
            </a:ext>
          </a:extLst>
        </xdr:cNvPr>
        <xdr:cNvSpPr txBox="1">
          <a:spLocks noChangeArrowheads="1"/>
        </xdr:cNvSpPr>
      </xdr:nvSpPr>
      <xdr:spPr bwMode="auto">
        <a:xfrm>
          <a:off x="25031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00" name="Text Box 32" hidden="1">
          <a:extLst>
            <a:ext uri="{FF2B5EF4-FFF2-40B4-BE49-F238E27FC236}">
              <a16:creationId xmlns:a16="http://schemas.microsoft.com/office/drawing/2014/main" id="{814EEF54-450B-4C4F-B1A2-D6D416CFC55C}"/>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180975</xdr:rowOff>
    </xdr:from>
    <xdr:to>
      <xdr:col>21</xdr:col>
      <xdr:colOff>685800</xdr:colOff>
      <xdr:row>83</xdr:row>
      <xdr:rowOff>168275</xdr:rowOff>
    </xdr:to>
    <xdr:sp macro="" textlink="">
      <xdr:nvSpPr>
        <xdr:cNvPr id="501" name="Text Box 30" hidden="1">
          <a:extLst>
            <a:ext uri="{FF2B5EF4-FFF2-40B4-BE49-F238E27FC236}">
              <a16:creationId xmlns:a16="http://schemas.microsoft.com/office/drawing/2014/main" id="{7AC360FC-CBA9-41DE-9711-2C2EA82D3CC8}"/>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180975</xdr:rowOff>
    </xdr:from>
    <xdr:to>
      <xdr:col>25</xdr:col>
      <xdr:colOff>685800</xdr:colOff>
      <xdr:row>83</xdr:row>
      <xdr:rowOff>168275</xdr:rowOff>
    </xdr:to>
    <xdr:sp macro="" textlink="">
      <xdr:nvSpPr>
        <xdr:cNvPr id="502" name="Text Box 29" hidden="1">
          <a:extLst>
            <a:ext uri="{FF2B5EF4-FFF2-40B4-BE49-F238E27FC236}">
              <a16:creationId xmlns:a16="http://schemas.microsoft.com/office/drawing/2014/main" id="{4747B940-BC33-4E08-8947-FE85781D634D}"/>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180975</xdr:rowOff>
    </xdr:from>
    <xdr:to>
      <xdr:col>29</xdr:col>
      <xdr:colOff>685800</xdr:colOff>
      <xdr:row>83</xdr:row>
      <xdr:rowOff>168275</xdr:rowOff>
    </xdr:to>
    <xdr:sp macro="" textlink="">
      <xdr:nvSpPr>
        <xdr:cNvPr id="503" name="Text Box 28" hidden="1">
          <a:extLst>
            <a:ext uri="{FF2B5EF4-FFF2-40B4-BE49-F238E27FC236}">
              <a16:creationId xmlns:a16="http://schemas.microsoft.com/office/drawing/2014/main" id="{8FD47239-DB74-468F-8583-F98742B25E8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04" name="Text Box 27" hidden="1">
          <a:extLst>
            <a:ext uri="{FF2B5EF4-FFF2-40B4-BE49-F238E27FC236}">
              <a16:creationId xmlns:a16="http://schemas.microsoft.com/office/drawing/2014/main" id="{880EDA38-3741-4B16-A967-306A0D4DD5D4}"/>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05" name="Text Box 26" hidden="1">
          <a:extLst>
            <a:ext uri="{FF2B5EF4-FFF2-40B4-BE49-F238E27FC236}">
              <a16:creationId xmlns:a16="http://schemas.microsoft.com/office/drawing/2014/main" id="{A04393D5-7435-40EF-A908-61E34ECEAC8C}"/>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06" name="Text Box 25" hidden="1">
          <a:extLst>
            <a:ext uri="{FF2B5EF4-FFF2-40B4-BE49-F238E27FC236}">
              <a16:creationId xmlns:a16="http://schemas.microsoft.com/office/drawing/2014/main" id="{61ACA3C5-2D71-4D51-BADE-67D6147DFA34}"/>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07" name="Text Box 24" hidden="1">
          <a:extLst>
            <a:ext uri="{FF2B5EF4-FFF2-40B4-BE49-F238E27FC236}">
              <a16:creationId xmlns:a16="http://schemas.microsoft.com/office/drawing/2014/main" id="{65810CF2-6273-4D56-86FD-141216C1701A}"/>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08" name="Text Box 23" hidden="1">
          <a:extLst>
            <a:ext uri="{FF2B5EF4-FFF2-40B4-BE49-F238E27FC236}">
              <a16:creationId xmlns:a16="http://schemas.microsoft.com/office/drawing/2014/main" id="{5497EF26-E873-4D16-99DB-7272C981048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09" name="Text Box 22" hidden="1">
          <a:extLst>
            <a:ext uri="{FF2B5EF4-FFF2-40B4-BE49-F238E27FC236}">
              <a16:creationId xmlns:a16="http://schemas.microsoft.com/office/drawing/2014/main" id="{7F6B127F-CC9C-46F6-8C75-FC5E5271648E}"/>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10" name="Text Box 62" hidden="1">
          <a:extLst>
            <a:ext uri="{FF2B5EF4-FFF2-40B4-BE49-F238E27FC236}">
              <a16:creationId xmlns:a16="http://schemas.microsoft.com/office/drawing/2014/main" id="{74619831-2FF4-44C5-B050-3D858463F171}"/>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11" name="Text Box 61" hidden="1">
          <a:extLst>
            <a:ext uri="{FF2B5EF4-FFF2-40B4-BE49-F238E27FC236}">
              <a16:creationId xmlns:a16="http://schemas.microsoft.com/office/drawing/2014/main" id="{0B396403-F3D0-415A-9A32-336470A78B56}"/>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12" name="Text Box 60" hidden="1">
          <a:extLst>
            <a:ext uri="{FF2B5EF4-FFF2-40B4-BE49-F238E27FC236}">
              <a16:creationId xmlns:a16="http://schemas.microsoft.com/office/drawing/2014/main" id="{69BA13D9-D9F4-40E8-AFE9-567815B37F8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13" name="Text Box 59" hidden="1">
          <a:extLst>
            <a:ext uri="{FF2B5EF4-FFF2-40B4-BE49-F238E27FC236}">
              <a16:creationId xmlns:a16="http://schemas.microsoft.com/office/drawing/2014/main" id="{139A4CDB-CA90-440F-9B3A-1DF87697465E}"/>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14" name="Text Box 58" hidden="1">
          <a:extLst>
            <a:ext uri="{FF2B5EF4-FFF2-40B4-BE49-F238E27FC236}">
              <a16:creationId xmlns:a16="http://schemas.microsoft.com/office/drawing/2014/main" id="{AFB750F8-0F5B-47A3-BB6F-1AC5E349248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15" name="Text Box 57" hidden="1">
          <a:extLst>
            <a:ext uri="{FF2B5EF4-FFF2-40B4-BE49-F238E27FC236}">
              <a16:creationId xmlns:a16="http://schemas.microsoft.com/office/drawing/2014/main" id="{A88C6BDB-4C64-415E-8E83-72172DAD9225}"/>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16" name="Text Box 56" hidden="1">
          <a:extLst>
            <a:ext uri="{FF2B5EF4-FFF2-40B4-BE49-F238E27FC236}">
              <a16:creationId xmlns:a16="http://schemas.microsoft.com/office/drawing/2014/main" id="{C42C1CE8-F03F-4361-A2E4-6027ADE0B58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17" name="Text Box 55" hidden="1">
          <a:extLst>
            <a:ext uri="{FF2B5EF4-FFF2-40B4-BE49-F238E27FC236}">
              <a16:creationId xmlns:a16="http://schemas.microsoft.com/office/drawing/2014/main" id="{3CB21979-85C3-498D-9B25-EE1C8E24B218}"/>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18" name="Text Box 54" hidden="1">
          <a:extLst>
            <a:ext uri="{FF2B5EF4-FFF2-40B4-BE49-F238E27FC236}">
              <a16:creationId xmlns:a16="http://schemas.microsoft.com/office/drawing/2014/main" id="{8DBFEECF-3FE2-45AA-823C-731D21EA4896}"/>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19" name="Text Box 53" hidden="1">
          <a:extLst>
            <a:ext uri="{FF2B5EF4-FFF2-40B4-BE49-F238E27FC236}">
              <a16:creationId xmlns:a16="http://schemas.microsoft.com/office/drawing/2014/main" id="{1C453D5B-A9C8-412D-8A00-B2AA24722A87}"/>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20" name="Text Box 52" hidden="1">
          <a:extLst>
            <a:ext uri="{FF2B5EF4-FFF2-40B4-BE49-F238E27FC236}">
              <a16:creationId xmlns:a16="http://schemas.microsoft.com/office/drawing/2014/main" id="{8475C378-4E0B-4922-ACD1-871A67CC75EB}"/>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21" name="Text Box 51" hidden="1">
          <a:extLst>
            <a:ext uri="{FF2B5EF4-FFF2-40B4-BE49-F238E27FC236}">
              <a16:creationId xmlns:a16="http://schemas.microsoft.com/office/drawing/2014/main" id="{C60AE006-E0FF-4901-A2A6-D228C52D80A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22" name="Text Box 50" hidden="1">
          <a:extLst>
            <a:ext uri="{FF2B5EF4-FFF2-40B4-BE49-F238E27FC236}">
              <a16:creationId xmlns:a16="http://schemas.microsoft.com/office/drawing/2014/main" id="{A9FEAB51-3006-4FCD-952B-5CCEB8F4AB13}"/>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23" name="Text Box 49" hidden="1">
          <a:extLst>
            <a:ext uri="{FF2B5EF4-FFF2-40B4-BE49-F238E27FC236}">
              <a16:creationId xmlns:a16="http://schemas.microsoft.com/office/drawing/2014/main" id="{3D268D65-30FC-4283-ACE4-6837FB23EFB6}"/>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24" name="Text Box 48" hidden="1">
          <a:extLst>
            <a:ext uri="{FF2B5EF4-FFF2-40B4-BE49-F238E27FC236}">
              <a16:creationId xmlns:a16="http://schemas.microsoft.com/office/drawing/2014/main" id="{7B6EA5A6-D71B-484A-85C8-35A60F9E05C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25" name="Text Box 47" hidden="1">
          <a:extLst>
            <a:ext uri="{FF2B5EF4-FFF2-40B4-BE49-F238E27FC236}">
              <a16:creationId xmlns:a16="http://schemas.microsoft.com/office/drawing/2014/main" id="{095BDBD6-B904-4504-9028-EF80AFB5EC8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26" name="Text Box 46" hidden="1">
          <a:extLst>
            <a:ext uri="{FF2B5EF4-FFF2-40B4-BE49-F238E27FC236}">
              <a16:creationId xmlns:a16="http://schemas.microsoft.com/office/drawing/2014/main" id="{C8E10DD4-F9B8-468D-A384-A36E15E9B38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27" name="Text Box 45" hidden="1">
          <a:extLst>
            <a:ext uri="{FF2B5EF4-FFF2-40B4-BE49-F238E27FC236}">
              <a16:creationId xmlns:a16="http://schemas.microsoft.com/office/drawing/2014/main" id="{AB49FBA2-6F2A-4114-B624-EFB88BE27179}"/>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28" name="Text Box 44" hidden="1">
          <a:extLst>
            <a:ext uri="{FF2B5EF4-FFF2-40B4-BE49-F238E27FC236}">
              <a16:creationId xmlns:a16="http://schemas.microsoft.com/office/drawing/2014/main" id="{503C89E9-A542-4DD7-B8F0-0EB45B9C6692}"/>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29" name="Text Box 43" hidden="1">
          <a:extLst>
            <a:ext uri="{FF2B5EF4-FFF2-40B4-BE49-F238E27FC236}">
              <a16:creationId xmlns:a16="http://schemas.microsoft.com/office/drawing/2014/main" id="{EACF0E95-B14B-48FD-B5F2-96F5E858D2E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30" name="Text Box 82" hidden="1">
          <a:extLst>
            <a:ext uri="{FF2B5EF4-FFF2-40B4-BE49-F238E27FC236}">
              <a16:creationId xmlns:a16="http://schemas.microsoft.com/office/drawing/2014/main" id="{285616BE-6544-4815-89AB-6E1E67DB1356}"/>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31" name="Text Box 81" hidden="1">
          <a:extLst>
            <a:ext uri="{FF2B5EF4-FFF2-40B4-BE49-F238E27FC236}">
              <a16:creationId xmlns:a16="http://schemas.microsoft.com/office/drawing/2014/main" id="{10F12BF2-F545-40EA-8847-2A35A895019A}"/>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32" name="Text Box 80" hidden="1">
          <a:extLst>
            <a:ext uri="{FF2B5EF4-FFF2-40B4-BE49-F238E27FC236}">
              <a16:creationId xmlns:a16="http://schemas.microsoft.com/office/drawing/2014/main" id="{9319122C-4D39-447A-88FA-BBCCBAC481EC}"/>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33" name="Text Box 79" hidden="1">
          <a:extLst>
            <a:ext uri="{FF2B5EF4-FFF2-40B4-BE49-F238E27FC236}">
              <a16:creationId xmlns:a16="http://schemas.microsoft.com/office/drawing/2014/main" id="{A00D2D78-F56B-42A8-8697-A593D01D3E04}"/>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34" name="Text Box 78" hidden="1">
          <a:extLst>
            <a:ext uri="{FF2B5EF4-FFF2-40B4-BE49-F238E27FC236}">
              <a16:creationId xmlns:a16="http://schemas.microsoft.com/office/drawing/2014/main" id="{153D347E-5F98-4338-8EA9-D4F8CCF01D4A}"/>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35" name="Text Box 77" hidden="1">
          <a:extLst>
            <a:ext uri="{FF2B5EF4-FFF2-40B4-BE49-F238E27FC236}">
              <a16:creationId xmlns:a16="http://schemas.microsoft.com/office/drawing/2014/main" id="{BE8BE549-653B-44C1-B5C3-579A04CBE67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36" name="Text Box 76" hidden="1">
          <a:extLst>
            <a:ext uri="{FF2B5EF4-FFF2-40B4-BE49-F238E27FC236}">
              <a16:creationId xmlns:a16="http://schemas.microsoft.com/office/drawing/2014/main" id="{BEC10396-9F62-41F6-B7CE-7BA50F0E68E1}"/>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37" name="Text Box 75" hidden="1">
          <a:extLst>
            <a:ext uri="{FF2B5EF4-FFF2-40B4-BE49-F238E27FC236}">
              <a16:creationId xmlns:a16="http://schemas.microsoft.com/office/drawing/2014/main" id="{89FA5E21-B525-4098-AB02-96C783EEAF7F}"/>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38" name="Text Box 74" hidden="1">
          <a:extLst>
            <a:ext uri="{FF2B5EF4-FFF2-40B4-BE49-F238E27FC236}">
              <a16:creationId xmlns:a16="http://schemas.microsoft.com/office/drawing/2014/main" id="{0251B77D-8E0C-404B-BC4F-C05E36A07E92}"/>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39" name="Text Box 73" hidden="1">
          <a:extLst>
            <a:ext uri="{FF2B5EF4-FFF2-40B4-BE49-F238E27FC236}">
              <a16:creationId xmlns:a16="http://schemas.microsoft.com/office/drawing/2014/main" id="{0275A32D-0E66-4F9D-AC70-97235B20D21F}"/>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40" name="Text Box 72" hidden="1">
          <a:extLst>
            <a:ext uri="{FF2B5EF4-FFF2-40B4-BE49-F238E27FC236}">
              <a16:creationId xmlns:a16="http://schemas.microsoft.com/office/drawing/2014/main" id="{D6665D73-6A93-47E0-B95B-2D5986CBC99E}"/>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41" name="Text Box 71" hidden="1">
          <a:extLst>
            <a:ext uri="{FF2B5EF4-FFF2-40B4-BE49-F238E27FC236}">
              <a16:creationId xmlns:a16="http://schemas.microsoft.com/office/drawing/2014/main" id="{111FB6A2-CAF7-421B-8990-37879C761F02}"/>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42" name="Text Box 70" hidden="1">
          <a:extLst>
            <a:ext uri="{FF2B5EF4-FFF2-40B4-BE49-F238E27FC236}">
              <a16:creationId xmlns:a16="http://schemas.microsoft.com/office/drawing/2014/main" id="{5E75C108-6F02-4860-AA6D-48BE2C28DAA7}"/>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43" name="Text Box 69" hidden="1">
          <a:extLst>
            <a:ext uri="{FF2B5EF4-FFF2-40B4-BE49-F238E27FC236}">
              <a16:creationId xmlns:a16="http://schemas.microsoft.com/office/drawing/2014/main" id="{A3E76DE4-F19A-4119-B589-C758B0D21678}"/>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44" name="Text Box 68" hidden="1">
          <a:extLst>
            <a:ext uri="{FF2B5EF4-FFF2-40B4-BE49-F238E27FC236}">
              <a16:creationId xmlns:a16="http://schemas.microsoft.com/office/drawing/2014/main" id="{46F8A1FD-DCBE-42C5-9A7C-CBAE52B845E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45" name="Text Box 67" hidden="1">
          <a:extLst>
            <a:ext uri="{FF2B5EF4-FFF2-40B4-BE49-F238E27FC236}">
              <a16:creationId xmlns:a16="http://schemas.microsoft.com/office/drawing/2014/main" id="{9E3AB560-F1E4-4FCE-851C-951DE1F4F6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46" name="Text Box 66" hidden="1">
          <a:extLst>
            <a:ext uri="{FF2B5EF4-FFF2-40B4-BE49-F238E27FC236}">
              <a16:creationId xmlns:a16="http://schemas.microsoft.com/office/drawing/2014/main" id="{3B47BAB3-3827-426E-89CE-85C05A63A53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47" name="Text Box 65" hidden="1">
          <a:extLst>
            <a:ext uri="{FF2B5EF4-FFF2-40B4-BE49-F238E27FC236}">
              <a16:creationId xmlns:a16="http://schemas.microsoft.com/office/drawing/2014/main" id="{614C765C-D3EC-4F96-82FE-7BDE4109C04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48" name="Text Box 64" hidden="1">
          <a:extLst>
            <a:ext uri="{FF2B5EF4-FFF2-40B4-BE49-F238E27FC236}">
              <a16:creationId xmlns:a16="http://schemas.microsoft.com/office/drawing/2014/main" id="{F07D6642-BA23-4872-9EC7-298DA9D0AAB6}"/>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49" name="Text Box 63" hidden="1">
          <a:extLst>
            <a:ext uri="{FF2B5EF4-FFF2-40B4-BE49-F238E27FC236}">
              <a16:creationId xmlns:a16="http://schemas.microsoft.com/office/drawing/2014/main" id="{35DB6198-4435-4F7F-A077-2B61236C78A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50" name="Text Box 102" hidden="1">
          <a:extLst>
            <a:ext uri="{FF2B5EF4-FFF2-40B4-BE49-F238E27FC236}">
              <a16:creationId xmlns:a16="http://schemas.microsoft.com/office/drawing/2014/main" id="{642E383C-AA49-4B28-9E22-AE3A6A040A12}"/>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51" name="Text Box 101" hidden="1">
          <a:extLst>
            <a:ext uri="{FF2B5EF4-FFF2-40B4-BE49-F238E27FC236}">
              <a16:creationId xmlns:a16="http://schemas.microsoft.com/office/drawing/2014/main" id="{2124B0CA-FA14-4EA8-98BC-FF099B284F7B}"/>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52" name="Text Box 100" hidden="1">
          <a:extLst>
            <a:ext uri="{FF2B5EF4-FFF2-40B4-BE49-F238E27FC236}">
              <a16:creationId xmlns:a16="http://schemas.microsoft.com/office/drawing/2014/main" id="{F69993A9-5982-496C-B253-05A0429E00C4}"/>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53" name="Text Box 99" hidden="1">
          <a:extLst>
            <a:ext uri="{FF2B5EF4-FFF2-40B4-BE49-F238E27FC236}">
              <a16:creationId xmlns:a16="http://schemas.microsoft.com/office/drawing/2014/main" id="{8922B1E0-A3A0-4894-BB21-5B65089FB4C9}"/>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54" name="Text Box 98" hidden="1">
          <a:extLst>
            <a:ext uri="{FF2B5EF4-FFF2-40B4-BE49-F238E27FC236}">
              <a16:creationId xmlns:a16="http://schemas.microsoft.com/office/drawing/2014/main" id="{3CDF35F1-5298-44F1-B66D-D79AE3D8823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55" name="Text Box 97" hidden="1">
          <a:extLst>
            <a:ext uri="{FF2B5EF4-FFF2-40B4-BE49-F238E27FC236}">
              <a16:creationId xmlns:a16="http://schemas.microsoft.com/office/drawing/2014/main" id="{B264E845-EB26-4161-B10B-6F42D8A7CBD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56" name="Text Box 96" hidden="1">
          <a:extLst>
            <a:ext uri="{FF2B5EF4-FFF2-40B4-BE49-F238E27FC236}">
              <a16:creationId xmlns:a16="http://schemas.microsoft.com/office/drawing/2014/main" id="{039339FC-93E5-42F6-B0A8-69422CDDEE8D}"/>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57" name="Text Box 95" hidden="1">
          <a:extLst>
            <a:ext uri="{FF2B5EF4-FFF2-40B4-BE49-F238E27FC236}">
              <a16:creationId xmlns:a16="http://schemas.microsoft.com/office/drawing/2014/main" id="{FA4B3FDC-CDCA-4292-90F7-83773FB1F36C}"/>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58" name="Text Box 94" hidden="1">
          <a:extLst>
            <a:ext uri="{FF2B5EF4-FFF2-40B4-BE49-F238E27FC236}">
              <a16:creationId xmlns:a16="http://schemas.microsoft.com/office/drawing/2014/main" id="{345C3BB5-063A-44DC-ACA7-CD2EF14EEC4E}"/>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59" name="Text Box 93" hidden="1">
          <a:extLst>
            <a:ext uri="{FF2B5EF4-FFF2-40B4-BE49-F238E27FC236}">
              <a16:creationId xmlns:a16="http://schemas.microsoft.com/office/drawing/2014/main" id="{97E7AD72-86A3-47F2-9AFC-30169AB4DCAE}"/>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60" name="Text Box 92" hidden="1">
          <a:extLst>
            <a:ext uri="{FF2B5EF4-FFF2-40B4-BE49-F238E27FC236}">
              <a16:creationId xmlns:a16="http://schemas.microsoft.com/office/drawing/2014/main" id="{7E5E716C-4236-4083-8800-17337DC67A3D}"/>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61" name="Text Box 91" hidden="1">
          <a:extLst>
            <a:ext uri="{FF2B5EF4-FFF2-40B4-BE49-F238E27FC236}">
              <a16:creationId xmlns:a16="http://schemas.microsoft.com/office/drawing/2014/main" id="{32D2417C-E488-4001-9918-E6B9EFA8F0D9}"/>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62" name="Text Box 90" hidden="1">
          <a:extLst>
            <a:ext uri="{FF2B5EF4-FFF2-40B4-BE49-F238E27FC236}">
              <a16:creationId xmlns:a16="http://schemas.microsoft.com/office/drawing/2014/main" id="{E938D82B-6C7B-40A1-940B-D08F6C00C36F}"/>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63" name="Text Box 89" hidden="1">
          <a:extLst>
            <a:ext uri="{FF2B5EF4-FFF2-40B4-BE49-F238E27FC236}">
              <a16:creationId xmlns:a16="http://schemas.microsoft.com/office/drawing/2014/main" id="{070E5A8B-55A4-4C95-A570-9BA1A76E46B3}"/>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64" name="Text Box 88" hidden="1">
          <a:extLst>
            <a:ext uri="{FF2B5EF4-FFF2-40B4-BE49-F238E27FC236}">
              <a16:creationId xmlns:a16="http://schemas.microsoft.com/office/drawing/2014/main" id="{7103B830-0C7F-4099-93F1-F265A548C51E}"/>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65" name="Text Box 87" hidden="1">
          <a:extLst>
            <a:ext uri="{FF2B5EF4-FFF2-40B4-BE49-F238E27FC236}">
              <a16:creationId xmlns:a16="http://schemas.microsoft.com/office/drawing/2014/main" id="{8D8B0265-F3AC-4333-84CF-47F9B8CC7428}"/>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66" name="Text Box 86" hidden="1">
          <a:extLst>
            <a:ext uri="{FF2B5EF4-FFF2-40B4-BE49-F238E27FC236}">
              <a16:creationId xmlns:a16="http://schemas.microsoft.com/office/drawing/2014/main" id="{3DE88F4E-5099-46FA-9725-B35EEC07D362}"/>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67" name="Text Box 85" hidden="1">
          <a:extLst>
            <a:ext uri="{FF2B5EF4-FFF2-40B4-BE49-F238E27FC236}">
              <a16:creationId xmlns:a16="http://schemas.microsoft.com/office/drawing/2014/main" id="{7A3CF643-5A6F-42AF-8180-4A14894E931E}"/>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68" name="Text Box 84" hidden="1">
          <a:extLst>
            <a:ext uri="{FF2B5EF4-FFF2-40B4-BE49-F238E27FC236}">
              <a16:creationId xmlns:a16="http://schemas.microsoft.com/office/drawing/2014/main" id="{D89EB4E1-782E-4255-85C9-B86E6C68FC2F}"/>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69" name="Text Box 83" hidden="1">
          <a:extLst>
            <a:ext uri="{FF2B5EF4-FFF2-40B4-BE49-F238E27FC236}">
              <a16:creationId xmlns:a16="http://schemas.microsoft.com/office/drawing/2014/main" id="{E2C4E8DD-7541-4876-B5A0-27307D68DDD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70" name="Text Box 122" hidden="1">
          <a:extLst>
            <a:ext uri="{FF2B5EF4-FFF2-40B4-BE49-F238E27FC236}">
              <a16:creationId xmlns:a16="http://schemas.microsoft.com/office/drawing/2014/main" id="{F174C650-3DB9-4A16-9CC3-20357D7155E5}"/>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71" name="Text Box 121" hidden="1">
          <a:extLst>
            <a:ext uri="{FF2B5EF4-FFF2-40B4-BE49-F238E27FC236}">
              <a16:creationId xmlns:a16="http://schemas.microsoft.com/office/drawing/2014/main" id="{D86B7BDF-BA14-431B-8713-A946B68F8AC3}"/>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72" name="Text Box 120" hidden="1">
          <a:extLst>
            <a:ext uri="{FF2B5EF4-FFF2-40B4-BE49-F238E27FC236}">
              <a16:creationId xmlns:a16="http://schemas.microsoft.com/office/drawing/2014/main" id="{EF60945C-3EDA-4515-81C6-82435337C99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73" name="Text Box 119" hidden="1">
          <a:extLst>
            <a:ext uri="{FF2B5EF4-FFF2-40B4-BE49-F238E27FC236}">
              <a16:creationId xmlns:a16="http://schemas.microsoft.com/office/drawing/2014/main" id="{04CB6BD7-4A9E-4057-895E-99BA97B8D126}"/>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74" name="Text Box 118" hidden="1">
          <a:extLst>
            <a:ext uri="{FF2B5EF4-FFF2-40B4-BE49-F238E27FC236}">
              <a16:creationId xmlns:a16="http://schemas.microsoft.com/office/drawing/2014/main" id="{02FED0C2-A7F7-4405-ADFB-FF0C19BA051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75" name="Text Box 117" hidden="1">
          <a:extLst>
            <a:ext uri="{FF2B5EF4-FFF2-40B4-BE49-F238E27FC236}">
              <a16:creationId xmlns:a16="http://schemas.microsoft.com/office/drawing/2014/main" id="{F02CEEE1-2EEE-4955-96D6-31189EF0B37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76" name="Text Box 116" hidden="1">
          <a:extLst>
            <a:ext uri="{FF2B5EF4-FFF2-40B4-BE49-F238E27FC236}">
              <a16:creationId xmlns:a16="http://schemas.microsoft.com/office/drawing/2014/main" id="{E740D08E-EF98-4341-85B7-CC595837FF7A}"/>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77" name="Text Box 115" hidden="1">
          <a:extLst>
            <a:ext uri="{FF2B5EF4-FFF2-40B4-BE49-F238E27FC236}">
              <a16:creationId xmlns:a16="http://schemas.microsoft.com/office/drawing/2014/main" id="{EE206BE1-4D4A-45D7-B886-A632C54AAB74}"/>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78" name="Text Box 114" hidden="1">
          <a:extLst>
            <a:ext uri="{FF2B5EF4-FFF2-40B4-BE49-F238E27FC236}">
              <a16:creationId xmlns:a16="http://schemas.microsoft.com/office/drawing/2014/main" id="{509E7F0B-6E67-4112-B081-01311040F198}"/>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79" name="Text Box 113" hidden="1">
          <a:extLst>
            <a:ext uri="{FF2B5EF4-FFF2-40B4-BE49-F238E27FC236}">
              <a16:creationId xmlns:a16="http://schemas.microsoft.com/office/drawing/2014/main" id="{2412C62E-321F-425B-9C1D-62D519F30581}"/>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80" name="Text Box 112" hidden="1">
          <a:extLst>
            <a:ext uri="{FF2B5EF4-FFF2-40B4-BE49-F238E27FC236}">
              <a16:creationId xmlns:a16="http://schemas.microsoft.com/office/drawing/2014/main" id="{8D11EA3F-901E-499A-A19D-02FF20FF5104}"/>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81" name="Text Box 111" hidden="1">
          <a:extLst>
            <a:ext uri="{FF2B5EF4-FFF2-40B4-BE49-F238E27FC236}">
              <a16:creationId xmlns:a16="http://schemas.microsoft.com/office/drawing/2014/main" id="{EBE55A92-45FF-4FF2-9DFD-D0A3AF4FF60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82" name="Text Box 110" hidden="1">
          <a:extLst>
            <a:ext uri="{FF2B5EF4-FFF2-40B4-BE49-F238E27FC236}">
              <a16:creationId xmlns:a16="http://schemas.microsoft.com/office/drawing/2014/main" id="{A4561B26-7C24-4786-997D-4C8A4DE9414A}"/>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83" name="Text Box 109" hidden="1">
          <a:extLst>
            <a:ext uri="{FF2B5EF4-FFF2-40B4-BE49-F238E27FC236}">
              <a16:creationId xmlns:a16="http://schemas.microsoft.com/office/drawing/2014/main" id="{B7192661-5931-4C65-902A-E9580FB1E160}"/>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84" name="Text Box 108" hidden="1">
          <a:extLst>
            <a:ext uri="{FF2B5EF4-FFF2-40B4-BE49-F238E27FC236}">
              <a16:creationId xmlns:a16="http://schemas.microsoft.com/office/drawing/2014/main" id="{2F7FC5FF-C45B-48E7-9147-EB20FA215B41}"/>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85" name="Text Box 107" hidden="1">
          <a:extLst>
            <a:ext uri="{FF2B5EF4-FFF2-40B4-BE49-F238E27FC236}">
              <a16:creationId xmlns:a16="http://schemas.microsoft.com/office/drawing/2014/main" id="{8CB24F76-48F1-459B-84AB-D4E79E02E5A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86" name="Text Box 106" hidden="1">
          <a:extLst>
            <a:ext uri="{FF2B5EF4-FFF2-40B4-BE49-F238E27FC236}">
              <a16:creationId xmlns:a16="http://schemas.microsoft.com/office/drawing/2014/main" id="{ED13032E-5A22-4829-A8F9-EB77E1B88B60}"/>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87" name="Text Box 105" hidden="1">
          <a:extLst>
            <a:ext uri="{FF2B5EF4-FFF2-40B4-BE49-F238E27FC236}">
              <a16:creationId xmlns:a16="http://schemas.microsoft.com/office/drawing/2014/main" id="{8C669473-46DB-4C2A-9AB0-4F7952CAC43C}"/>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88" name="Text Box 104" hidden="1">
          <a:extLst>
            <a:ext uri="{FF2B5EF4-FFF2-40B4-BE49-F238E27FC236}">
              <a16:creationId xmlns:a16="http://schemas.microsoft.com/office/drawing/2014/main" id="{E6D98423-7914-46EE-9945-34C0F9929657}"/>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89" name="Text Box 103" hidden="1">
          <a:extLst>
            <a:ext uri="{FF2B5EF4-FFF2-40B4-BE49-F238E27FC236}">
              <a16:creationId xmlns:a16="http://schemas.microsoft.com/office/drawing/2014/main" id="{D662FEC8-7243-431B-82D2-BA9110CDD4B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90" name="Text Box 142" hidden="1">
          <a:extLst>
            <a:ext uri="{FF2B5EF4-FFF2-40B4-BE49-F238E27FC236}">
              <a16:creationId xmlns:a16="http://schemas.microsoft.com/office/drawing/2014/main" id="{863FFC41-A21B-4B83-9352-EB48FE693FDD}"/>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91" name="Text Box 141" hidden="1">
          <a:extLst>
            <a:ext uri="{FF2B5EF4-FFF2-40B4-BE49-F238E27FC236}">
              <a16:creationId xmlns:a16="http://schemas.microsoft.com/office/drawing/2014/main" id="{FDE26201-2FA3-4C6F-BBFC-415E60F0FD58}"/>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92" name="Text Box 140" hidden="1">
          <a:extLst>
            <a:ext uri="{FF2B5EF4-FFF2-40B4-BE49-F238E27FC236}">
              <a16:creationId xmlns:a16="http://schemas.microsoft.com/office/drawing/2014/main" id="{F0FD88A3-DD6B-46A1-8FE9-A3D5607CF83D}"/>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93" name="Text Box 139" hidden="1">
          <a:extLst>
            <a:ext uri="{FF2B5EF4-FFF2-40B4-BE49-F238E27FC236}">
              <a16:creationId xmlns:a16="http://schemas.microsoft.com/office/drawing/2014/main" id="{6AB72E42-039F-4BD5-9FE0-20F90073F4E3}"/>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94" name="Text Box 138" hidden="1">
          <a:extLst>
            <a:ext uri="{FF2B5EF4-FFF2-40B4-BE49-F238E27FC236}">
              <a16:creationId xmlns:a16="http://schemas.microsoft.com/office/drawing/2014/main" id="{F5F0D140-7E3E-46F8-BFF0-D9FD8ED5344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95" name="Text Box 137" hidden="1">
          <a:extLst>
            <a:ext uri="{FF2B5EF4-FFF2-40B4-BE49-F238E27FC236}">
              <a16:creationId xmlns:a16="http://schemas.microsoft.com/office/drawing/2014/main" id="{AAB2CF45-8310-4DAE-937F-C0AF46CCB83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96" name="Text Box 136" hidden="1">
          <a:extLst>
            <a:ext uri="{FF2B5EF4-FFF2-40B4-BE49-F238E27FC236}">
              <a16:creationId xmlns:a16="http://schemas.microsoft.com/office/drawing/2014/main" id="{8AB8C00B-FCCD-4A3A-BC06-D98506A63F2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97" name="Text Box 135" hidden="1">
          <a:extLst>
            <a:ext uri="{FF2B5EF4-FFF2-40B4-BE49-F238E27FC236}">
              <a16:creationId xmlns:a16="http://schemas.microsoft.com/office/drawing/2014/main" id="{A7CEF8E5-37FF-4012-848B-A686FADC2361}"/>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98" name="Text Box 134" hidden="1">
          <a:extLst>
            <a:ext uri="{FF2B5EF4-FFF2-40B4-BE49-F238E27FC236}">
              <a16:creationId xmlns:a16="http://schemas.microsoft.com/office/drawing/2014/main" id="{22F8D7E9-2339-4876-82CA-BA4E99542453}"/>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99" name="Text Box 133" hidden="1">
          <a:extLst>
            <a:ext uri="{FF2B5EF4-FFF2-40B4-BE49-F238E27FC236}">
              <a16:creationId xmlns:a16="http://schemas.microsoft.com/office/drawing/2014/main" id="{A7784722-4AB4-4EE8-9EDB-AD87DA9F03BA}"/>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600" name="Text Box 132" hidden="1">
          <a:extLst>
            <a:ext uri="{FF2B5EF4-FFF2-40B4-BE49-F238E27FC236}">
              <a16:creationId xmlns:a16="http://schemas.microsoft.com/office/drawing/2014/main" id="{F8282FB3-CCC6-4FD8-9278-FE72087A3395}"/>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601" name="Text Box 131" hidden="1">
          <a:extLst>
            <a:ext uri="{FF2B5EF4-FFF2-40B4-BE49-F238E27FC236}">
              <a16:creationId xmlns:a16="http://schemas.microsoft.com/office/drawing/2014/main" id="{31DAD479-9566-46AD-85FF-33B8476479F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602" name="Text Box 130" hidden="1">
          <a:extLst>
            <a:ext uri="{FF2B5EF4-FFF2-40B4-BE49-F238E27FC236}">
              <a16:creationId xmlns:a16="http://schemas.microsoft.com/office/drawing/2014/main" id="{091C6F8F-6355-4627-B83E-0E3B64BD5AB1}"/>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603" name="Text Box 129" hidden="1">
          <a:extLst>
            <a:ext uri="{FF2B5EF4-FFF2-40B4-BE49-F238E27FC236}">
              <a16:creationId xmlns:a16="http://schemas.microsoft.com/office/drawing/2014/main" id="{3E7AA214-CF4A-4A8B-8753-295B696A273E}"/>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604" name="Text Box 128" hidden="1">
          <a:extLst>
            <a:ext uri="{FF2B5EF4-FFF2-40B4-BE49-F238E27FC236}">
              <a16:creationId xmlns:a16="http://schemas.microsoft.com/office/drawing/2014/main" id="{945585AC-8BCA-4C93-8F22-E3B58B7B657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605" name="Text Box 127" hidden="1">
          <a:extLst>
            <a:ext uri="{FF2B5EF4-FFF2-40B4-BE49-F238E27FC236}">
              <a16:creationId xmlns:a16="http://schemas.microsoft.com/office/drawing/2014/main" id="{CBAD3D6F-F86D-4631-A80C-82AC2F0B7E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606" name="Text Box 126" hidden="1">
          <a:extLst>
            <a:ext uri="{FF2B5EF4-FFF2-40B4-BE49-F238E27FC236}">
              <a16:creationId xmlns:a16="http://schemas.microsoft.com/office/drawing/2014/main" id="{F70ECD5C-7432-494B-864D-A6D0205FBDCB}"/>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607" name="Text Box 125" hidden="1">
          <a:extLst>
            <a:ext uri="{FF2B5EF4-FFF2-40B4-BE49-F238E27FC236}">
              <a16:creationId xmlns:a16="http://schemas.microsoft.com/office/drawing/2014/main" id="{D7C5E807-FF1A-443D-AD96-620FDA33AE64}"/>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608" name="Text Box 124" hidden="1">
          <a:extLst>
            <a:ext uri="{FF2B5EF4-FFF2-40B4-BE49-F238E27FC236}">
              <a16:creationId xmlns:a16="http://schemas.microsoft.com/office/drawing/2014/main" id="{6C3AFDE2-6601-4ECB-9182-605BDAAFCC91}"/>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609" name="Text Box 123" hidden="1">
          <a:extLst>
            <a:ext uri="{FF2B5EF4-FFF2-40B4-BE49-F238E27FC236}">
              <a16:creationId xmlns:a16="http://schemas.microsoft.com/office/drawing/2014/main" id="{D56046AD-C231-4F22-A4CB-FE119B4CBF5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10" name="Text Box 162" hidden="1">
          <a:extLst>
            <a:ext uri="{FF2B5EF4-FFF2-40B4-BE49-F238E27FC236}">
              <a16:creationId xmlns:a16="http://schemas.microsoft.com/office/drawing/2014/main" id="{A7900219-A1CC-4FDD-B6BD-44064309B84F}"/>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11" name="Text Box 161" hidden="1">
          <a:extLst>
            <a:ext uri="{FF2B5EF4-FFF2-40B4-BE49-F238E27FC236}">
              <a16:creationId xmlns:a16="http://schemas.microsoft.com/office/drawing/2014/main" id="{501DA168-DFD9-48FA-B5DF-326FBD0451C0}"/>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20</xdr:col>
      <xdr:colOff>533400</xdr:colOff>
      <xdr:row>53</xdr:row>
      <xdr:rowOff>342900</xdr:rowOff>
    </xdr:to>
    <xdr:sp macro="" textlink="">
      <xdr:nvSpPr>
        <xdr:cNvPr id="612" name="Text Box 160" hidden="1">
          <a:extLst>
            <a:ext uri="{FF2B5EF4-FFF2-40B4-BE49-F238E27FC236}">
              <a16:creationId xmlns:a16="http://schemas.microsoft.com/office/drawing/2014/main" id="{37807DCA-C950-4FAD-914A-4C1B5B736A46}"/>
            </a:ext>
          </a:extLst>
        </xdr:cNvPr>
        <xdr:cNvSpPr txBox="1">
          <a:spLocks noChangeArrowheads="1"/>
        </xdr:cNvSpPr>
      </xdr:nvSpPr>
      <xdr:spPr bwMode="auto">
        <a:xfrm>
          <a:off x="16545984" y="7569200"/>
          <a:ext cx="3570816"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20</xdr:col>
      <xdr:colOff>533400</xdr:colOff>
      <xdr:row>52</xdr:row>
      <xdr:rowOff>342900</xdr:rowOff>
    </xdr:to>
    <xdr:sp macro="" textlink="">
      <xdr:nvSpPr>
        <xdr:cNvPr id="613" name="Text Box 159" hidden="1">
          <a:extLst>
            <a:ext uri="{FF2B5EF4-FFF2-40B4-BE49-F238E27FC236}">
              <a16:creationId xmlns:a16="http://schemas.microsoft.com/office/drawing/2014/main" id="{77C52703-52FC-4FC7-8A8E-41D966D0C993}"/>
            </a:ext>
          </a:extLst>
        </xdr:cNvPr>
        <xdr:cNvSpPr txBox="1">
          <a:spLocks noChangeArrowheads="1"/>
        </xdr:cNvSpPr>
      </xdr:nvSpPr>
      <xdr:spPr bwMode="auto">
        <a:xfrm>
          <a:off x="16545984" y="7175500"/>
          <a:ext cx="3570816"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1058</xdr:rowOff>
    </xdr:to>
    <xdr:sp macro="" textlink="">
      <xdr:nvSpPr>
        <xdr:cNvPr id="614" name="Text Box 158" hidden="1">
          <a:extLst>
            <a:ext uri="{FF2B5EF4-FFF2-40B4-BE49-F238E27FC236}">
              <a16:creationId xmlns:a16="http://schemas.microsoft.com/office/drawing/2014/main" id="{3B343E80-0ACE-4529-A7F3-ADDD0C5E2D0C}"/>
            </a:ext>
          </a:extLst>
        </xdr:cNvPr>
        <xdr:cNvSpPr txBox="1">
          <a:spLocks noChangeArrowheads="1"/>
        </xdr:cNvSpPr>
      </xdr:nvSpPr>
      <xdr:spPr bwMode="auto">
        <a:xfrm>
          <a:off x="18135600" y="5353050"/>
          <a:ext cx="4343400" cy="56335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9525</xdr:colOff>
      <xdr:row>53</xdr:row>
      <xdr:rowOff>133350</xdr:rowOff>
    </xdr:to>
    <xdr:sp macro="" textlink="">
      <xdr:nvSpPr>
        <xdr:cNvPr id="615" name="Text Box 157" hidden="1">
          <a:extLst>
            <a:ext uri="{FF2B5EF4-FFF2-40B4-BE49-F238E27FC236}">
              <a16:creationId xmlns:a16="http://schemas.microsoft.com/office/drawing/2014/main" id="{38A027EA-9C85-4304-B2C6-90482A0DB8C1}"/>
            </a:ext>
          </a:extLst>
        </xdr:cNvPr>
        <xdr:cNvSpPr txBox="1">
          <a:spLocks noChangeArrowheads="1"/>
        </xdr:cNvSpPr>
      </xdr:nvSpPr>
      <xdr:spPr bwMode="auto">
        <a:xfrm>
          <a:off x="4229100" y="7569200"/>
          <a:ext cx="53784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7</xdr:col>
      <xdr:colOff>9525</xdr:colOff>
      <xdr:row>180</xdr:row>
      <xdr:rowOff>44450</xdr:rowOff>
    </xdr:to>
    <xdr:sp macro="" textlink="">
      <xdr:nvSpPr>
        <xdr:cNvPr id="616" name="Text Box 156" hidden="1">
          <a:extLst>
            <a:ext uri="{FF2B5EF4-FFF2-40B4-BE49-F238E27FC236}">
              <a16:creationId xmlns:a16="http://schemas.microsoft.com/office/drawing/2014/main" id="{701C4939-D711-44CD-ACEF-4A0CE4DDFDC7}"/>
            </a:ext>
          </a:extLst>
        </xdr:cNvPr>
        <xdr:cNvSpPr txBox="1">
          <a:spLocks noChangeArrowheads="1"/>
        </xdr:cNvSpPr>
      </xdr:nvSpPr>
      <xdr:spPr bwMode="auto">
        <a:xfrm>
          <a:off x="4229100" y="37121264"/>
          <a:ext cx="5378450" cy="3718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282575</xdr:rowOff>
    </xdr:to>
    <xdr:sp macro="" textlink="">
      <xdr:nvSpPr>
        <xdr:cNvPr id="617" name="Text Box 155" hidden="1">
          <a:extLst>
            <a:ext uri="{FF2B5EF4-FFF2-40B4-BE49-F238E27FC236}">
              <a16:creationId xmlns:a16="http://schemas.microsoft.com/office/drawing/2014/main" id="{FBD6AD3E-6F0E-4695-9846-E5F6FFD9198E}"/>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282575</xdr:rowOff>
    </xdr:to>
    <xdr:sp macro="" textlink="">
      <xdr:nvSpPr>
        <xdr:cNvPr id="618" name="Text Box 154" hidden="1">
          <a:extLst>
            <a:ext uri="{FF2B5EF4-FFF2-40B4-BE49-F238E27FC236}">
              <a16:creationId xmlns:a16="http://schemas.microsoft.com/office/drawing/2014/main" id="{226C171F-C33B-4796-BC46-D20884E35E8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282575</xdr:rowOff>
    </xdr:to>
    <xdr:sp macro="" textlink="">
      <xdr:nvSpPr>
        <xdr:cNvPr id="619" name="Text Box 153" hidden="1">
          <a:extLst>
            <a:ext uri="{FF2B5EF4-FFF2-40B4-BE49-F238E27FC236}">
              <a16:creationId xmlns:a16="http://schemas.microsoft.com/office/drawing/2014/main" id="{1B5D0D93-06BF-4F32-9A02-3A32D6B1A2B1}"/>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35</xdr:row>
      <xdr:rowOff>19050</xdr:rowOff>
    </xdr:to>
    <xdr:sp macro="" textlink="">
      <xdr:nvSpPr>
        <xdr:cNvPr id="620" name="Text Box 152" hidden="1">
          <a:extLst>
            <a:ext uri="{FF2B5EF4-FFF2-40B4-BE49-F238E27FC236}">
              <a16:creationId xmlns:a16="http://schemas.microsoft.com/office/drawing/2014/main" id="{2B176892-0F68-4949-B584-0B358C5E36FB}"/>
            </a:ext>
          </a:extLst>
        </xdr:cNvPr>
        <xdr:cNvSpPr txBox="1">
          <a:spLocks noChangeArrowheads="1"/>
        </xdr:cNvSpPr>
      </xdr:nvSpPr>
      <xdr:spPr bwMode="auto">
        <a:xfrm>
          <a:off x="20497800" y="2032000"/>
          <a:ext cx="4430183"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21" name="Text Box 148" hidden="1">
          <a:extLst>
            <a:ext uri="{FF2B5EF4-FFF2-40B4-BE49-F238E27FC236}">
              <a16:creationId xmlns:a16="http://schemas.microsoft.com/office/drawing/2014/main" id="{DBE943B3-8780-49F7-B34D-1ECD400026E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52</xdr:row>
      <xdr:rowOff>1058</xdr:rowOff>
    </xdr:to>
    <xdr:sp macro="" textlink="">
      <xdr:nvSpPr>
        <xdr:cNvPr id="622" name="Text Box 147" hidden="1">
          <a:extLst>
            <a:ext uri="{FF2B5EF4-FFF2-40B4-BE49-F238E27FC236}">
              <a16:creationId xmlns:a16="http://schemas.microsoft.com/office/drawing/2014/main" id="{C92528B0-0C2B-4DC4-AEBA-B9AE7ED281DC}"/>
            </a:ext>
          </a:extLst>
        </xdr:cNvPr>
        <xdr:cNvSpPr txBox="1">
          <a:spLocks noChangeArrowheads="1"/>
        </xdr:cNvSpPr>
      </xdr:nvSpPr>
      <xdr:spPr bwMode="auto">
        <a:xfrm>
          <a:off x="21964650" y="6610350"/>
          <a:ext cx="4362450" cy="51128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28</xdr:col>
      <xdr:colOff>57150</xdr:colOff>
      <xdr:row>66</xdr:row>
      <xdr:rowOff>0</xdr:rowOff>
    </xdr:to>
    <xdr:sp macro="" textlink="">
      <xdr:nvSpPr>
        <xdr:cNvPr id="623" name="Text Box 146" hidden="1">
          <a:extLst>
            <a:ext uri="{FF2B5EF4-FFF2-40B4-BE49-F238E27FC236}">
              <a16:creationId xmlns:a16="http://schemas.microsoft.com/office/drawing/2014/main" id="{E4CC8C52-8B45-4752-BBFE-CF6679844D64}"/>
            </a:ext>
          </a:extLst>
        </xdr:cNvPr>
        <xdr:cNvSpPr txBox="1">
          <a:spLocks noChangeArrowheads="1"/>
        </xdr:cNvSpPr>
      </xdr:nvSpPr>
      <xdr:spPr bwMode="auto">
        <a:xfrm>
          <a:off x="22002750" y="10618258"/>
          <a:ext cx="3733800" cy="54091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24" name="Text Box 145" hidden="1">
          <a:extLst>
            <a:ext uri="{FF2B5EF4-FFF2-40B4-BE49-F238E27FC236}">
              <a16:creationId xmlns:a16="http://schemas.microsoft.com/office/drawing/2014/main" id="{C6C74F7A-308D-470C-92B4-7B2492D0D2C1}"/>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1058</xdr:rowOff>
    </xdr:to>
    <xdr:sp macro="" textlink="">
      <xdr:nvSpPr>
        <xdr:cNvPr id="625" name="Text Box 144" hidden="1">
          <a:extLst>
            <a:ext uri="{FF2B5EF4-FFF2-40B4-BE49-F238E27FC236}">
              <a16:creationId xmlns:a16="http://schemas.microsoft.com/office/drawing/2014/main" id="{6FE583D4-9AE6-45DF-837F-9085CA2A395C}"/>
            </a:ext>
          </a:extLst>
        </xdr:cNvPr>
        <xdr:cNvSpPr txBox="1">
          <a:spLocks noChangeArrowheads="1"/>
        </xdr:cNvSpPr>
      </xdr:nvSpPr>
      <xdr:spPr bwMode="auto">
        <a:xfrm>
          <a:off x="29641800" y="3848100"/>
          <a:ext cx="3733800" cy="5824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26" name="Text Box 143" hidden="1">
          <a:extLst>
            <a:ext uri="{FF2B5EF4-FFF2-40B4-BE49-F238E27FC236}">
              <a16:creationId xmlns:a16="http://schemas.microsoft.com/office/drawing/2014/main" id="{55D09262-ADE5-4D3F-A20D-978770FE1FA6}"/>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27" name="Text Box 1041" hidden="1">
          <a:extLst>
            <a:ext uri="{FF2B5EF4-FFF2-40B4-BE49-F238E27FC236}">
              <a16:creationId xmlns:a16="http://schemas.microsoft.com/office/drawing/2014/main" id="{DAEB8B59-2713-4559-AAA1-F18869F349B2}"/>
            </a:ext>
          </a:extLst>
        </xdr:cNvPr>
        <xdr:cNvSpPr txBox="1">
          <a:spLocks noChangeArrowheads="1"/>
        </xdr:cNvSpPr>
      </xdr:nvSpPr>
      <xdr:spPr bwMode="auto">
        <a:xfrm>
          <a:off x="8985250" y="17656175"/>
          <a:ext cx="396875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28" name="Text Box 1040" hidden="1">
          <a:extLst>
            <a:ext uri="{FF2B5EF4-FFF2-40B4-BE49-F238E27FC236}">
              <a16:creationId xmlns:a16="http://schemas.microsoft.com/office/drawing/2014/main" id="{569E48E6-7AF9-4548-82BC-D12E15ADD4FA}"/>
            </a:ext>
          </a:extLst>
        </xdr:cNvPr>
        <xdr:cNvSpPr txBox="1">
          <a:spLocks noChangeArrowheads="1"/>
        </xdr:cNvSpPr>
      </xdr:nvSpPr>
      <xdr:spPr bwMode="auto">
        <a:xfrm>
          <a:off x="11315700" y="17656175"/>
          <a:ext cx="388620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29" name="Text Box 1039" hidden="1">
          <a:extLst>
            <a:ext uri="{FF2B5EF4-FFF2-40B4-BE49-F238E27FC236}">
              <a16:creationId xmlns:a16="http://schemas.microsoft.com/office/drawing/2014/main" id="{5DFA8DF7-5953-4BEE-AF4F-91BD48B3E827}"/>
            </a:ext>
          </a:extLst>
        </xdr:cNvPr>
        <xdr:cNvSpPr txBox="1">
          <a:spLocks noChangeArrowheads="1"/>
        </xdr:cNvSpPr>
      </xdr:nvSpPr>
      <xdr:spPr bwMode="auto">
        <a:xfrm>
          <a:off x="16535400" y="7569200"/>
          <a:ext cx="35814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30" name="Text Box 1038" hidden="1">
          <a:extLst>
            <a:ext uri="{FF2B5EF4-FFF2-40B4-BE49-F238E27FC236}">
              <a16:creationId xmlns:a16="http://schemas.microsoft.com/office/drawing/2014/main" id="{236B012F-77B6-4852-B4A1-8D4565BB6BB5}"/>
            </a:ext>
          </a:extLst>
        </xdr:cNvPr>
        <xdr:cNvSpPr txBox="1">
          <a:spLocks noChangeArrowheads="1"/>
        </xdr:cNvSpPr>
      </xdr:nvSpPr>
      <xdr:spPr bwMode="auto">
        <a:xfrm>
          <a:off x="16535400" y="7175500"/>
          <a:ext cx="35814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31" name="Text Box 1037" hidden="1">
          <a:extLst>
            <a:ext uri="{FF2B5EF4-FFF2-40B4-BE49-F238E27FC236}">
              <a16:creationId xmlns:a16="http://schemas.microsoft.com/office/drawing/2014/main" id="{5797D627-75A1-48E2-AE00-A7045A72C85A}"/>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32" name="Text Box 1036" hidden="1">
          <a:extLst>
            <a:ext uri="{FF2B5EF4-FFF2-40B4-BE49-F238E27FC236}">
              <a16:creationId xmlns:a16="http://schemas.microsoft.com/office/drawing/2014/main" id="{C55752E1-5C14-4166-B3BB-191D5873DB63}"/>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33" name="Text Box 1035" hidden="1">
          <a:extLst>
            <a:ext uri="{FF2B5EF4-FFF2-40B4-BE49-F238E27FC236}">
              <a16:creationId xmlns:a16="http://schemas.microsoft.com/office/drawing/2014/main" id="{93F43545-9FBD-4E99-9A20-F17B0FB5E446}"/>
            </a:ext>
          </a:extLst>
        </xdr:cNvPr>
        <xdr:cNvSpPr txBox="1">
          <a:spLocks noChangeArrowheads="1"/>
        </xdr:cNvSpPr>
      </xdr:nvSpPr>
      <xdr:spPr bwMode="auto">
        <a:xfrm>
          <a:off x="4229100" y="37111739"/>
          <a:ext cx="5372100" cy="3728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34" name="Text Box 1034" hidden="1">
          <a:extLst>
            <a:ext uri="{FF2B5EF4-FFF2-40B4-BE49-F238E27FC236}">
              <a16:creationId xmlns:a16="http://schemas.microsoft.com/office/drawing/2014/main" id="{E56C9C02-48DE-4C12-B0D4-F8D1FCD6FCE7}"/>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35" name="Text Box 1033" hidden="1">
          <a:extLst>
            <a:ext uri="{FF2B5EF4-FFF2-40B4-BE49-F238E27FC236}">
              <a16:creationId xmlns:a16="http://schemas.microsoft.com/office/drawing/2014/main" id="{4EBFA5CD-3D6B-4EF7-805E-F75E108E05A9}"/>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36" name="Text Box 1032" hidden="1">
          <a:extLst>
            <a:ext uri="{FF2B5EF4-FFF2-40B4-BE49-F238E27FC236}">
              <a16:creationId xmlns:a16="http://schemas.microsoft.com/office/drawing/2014/main" id="{E702EAFE-11B0-4F1F-AF01-EC794FE0E003}"/>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37" name="Text Box 1031" hidden="1">
          <a:extLst>
            <a:ext uri="{FF2B5EF4-FFF2-40B4-BE49-F238E27FC236}">
              <a16:creationId xmlns:a16="http://schemas.microsoft.com/office/drawing/2014/main" id="{CE738E21-D9C8-4060-9512-039C96F9A703}"/>
            </a:ext>
          </a:extLst>
        </xdr:cNvPr>
        <xdr:cNvSpPr txBox="1">
          <a:spLocks noChangeArrowheads="1"/>
        </xdr:cNvSpPr>
      </xdr:nvSpPr>
      <xdr:spPr bwMode="auto">
        <a:xfrm>
          <a:off x="20497800" y="2032000"/>
          <a:ext cx="44196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38" name="Text Box 1030" hidden="1">
          <a:extLst>
            <a:ext uri="{FF2B5EF4-FFF2-40B4-BE49-F238E27FC236}">
              <a16:creationId xmlns:a16="http://schemas.microsoft.com/office/drawing/2014/main" id="{DC1D4FCB-E851-4617-A512-2C7C23AA56D7}"/>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39" name="Text Box 1029" hidden="1">
          <a:extLst>
            <a:ext uri="{FF2B5EF4-FFF2-40B4-BE49-F238E27FC236}">
              <a16:creationId xmlns:a16="http://schemas.microsoft.com/office/drawing/2014/main" id="{A297FE22-6E6A-44A1-8560-57A8AEDDDDDC}"/>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40" name="Text Box 1028" hidden="1">
          <a:extLst>
            <a:ext uri="{FF2B5EF4-FFF2-40B4-BE49-F238E27FC236}">
              <a16:creationId xmlns:a16="http://schemas.microsoft.com/office/drawing/2014/main" id="{4B03C119-43D8-468B-BD9B-2D62864482BB}"/>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41" name="Text Box 1027" hidden="1">
          <a:extLst>
            <a:ext uri="{FF2B5EF4-FFF2-40B4-BE49-F238E27FC236}">
              <a16:creationId xmlns:a16="http://schemas.microsoft.com/office/drawing/2014/main" id="{C3728259-3556-4EF5-A01A-34440F731511}"/>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42" name="Text Box 1026" hidden="1">
          <a:extLst>
            <a:ext uri="{FF2B5EF4-FFF2-40B4-BE49-F238E27FC236}">
              <a16:creationId xmlns:a16="http://schemas.microsoft.com/office/drawing/2014/main" id="{270114D4-FECB-4E1C-A978-B1CDFEC28EF0}"/>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43" name="Text Box 1025" hidden="1">
          <a:extLst>
            <a:ext uri="{FF2B5EF4-FFF2-40B4-BE49-F238E27FC236}">
              <a16:creationId xmlns:a16="http://schemas.microsoft.com/office/drawing/2014/main" id="{E58C26AC-65D9-41D4-86D5-9E109C2B734E}"/>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44" name="Text Box 179" hidden="1">
          <a:extLst>
            <a:ext uri="{FF2B5EF4-FFF2-40B4-BE49-F238E27FC236}">
              <a16:creationId xmlns:a16="http://schemas.microsoft.com/office/drawing/2014/main" id="{A9C15C41-E626-4DB0-B8D5-BC91DA0134FD}"/>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45" name="Text Box 178" hidden="1">
          <a:extLst>
            <a:ext uri="{FF2B5EF4-FFF2-40B4-BE49-F238E27FC236}">
              <a16:creationId xmlns:a16="http://schemas.microsoft.com/office/drawing/2014/main" id="{11AF76CD-FF6C-4CEE-AC9E-10A2F6667D61}"/>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46" name="Text Box 177" hidden="1">
          <a:extLst>
            <a:ext uri="{FF2B5EF4-FFF2-40B4-BE49-F238E27FC236}">
              <a16:creationId xmlns:a16="http://schemas.microsoft.com/office/drawing/2014/main" id="{598718EA-BDD6-41F7-BACC-747FED45A9B9}"/>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47" name="Text Box 176" hidden="1">
          <a:extLst>
            <a:ext uri="{FF2B5EF4-FFF2-40B4-BE49-F238E27FC236}">
              <a16:creationId xmlns:a16="http://schemas.microsoft.com/office/drawing/2014/main" id="{6499018A-2E3C-484C-9192-5E2EEC9DE8C1}"/>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48" name="Text Box 175" hidden="1">
          <a:extLst>
            <a:ext uri="{FF2B5EF4-FFF2-40B4-BE49-F238E27FC236}">
              <a16:creationId xmlns:a16="http://schemas.microsoft.com/office/drawing/2014/main" id="{18F573D9-4736-4DC1-81ED-0A06E349C98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49" name="Text Box 174" hidden="1">
          <a:extLst>
            <a:ext uri="{FF2B5EF4-FFF2-40B4-BE49-F238E27FC236}">
              <a16:creationId xmlns:a16="http://schemas.microsoft.com/office/drawing/2014/main" id="{472561BF-D655-4F01-B9D3-EF9B17455172}"/>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50" name="Text Box 173" hidden="1">
          <a:extLst>
            <a:ext uri="{FF2B5EF4-FFF2-40B4-BE49-F238E27FC236}">
              <a16:creationId xmlns:a16="http://schemas.microsoft.com/office/drawing/2014/main" id="{19B7F043-68B9-4BFC-B0E8-5C83BBE80184}"/>
            </a:ext>
          </a:extLst>
        </xdr:cNvPr>
        <xdr:cNvSpPr txBox="1">
          <a:spLocks noChangeArrowheads="1"/>
        </xdr:cNvSpPr>
      </xdr:nvSpPr>
      <xdr:spPr bwMode="auto">
        <a:xfrm>
          <a:off x="4229100" y="37111739"/>
          <a:ext cx="5372100" cy="37282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51" name="Text Box 172" hidden="1">
          <a:extLst>
            <a:ext uri="{FF2B5EF4-FFF2-40B4-BE49-F238E27FC236}">
              <a16:creationId xmlns:a16="http://schemas.microsoft.com/office/drawing/2014/main" id="{11FE3045-0DD4-43DC-B52B-8F86578A92C3}"/>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52" name="Text Box 171" hidden="1">
          <a:extLst>
            <a:ext uri="{FF2B5EF4-FFF2-40B4-BE49-F238E27FC236}">
              <a16:creationId xmlns:a16="http://schemas.microsoft.com/office/drawing/2014/main" id="{5B6E5F69-7302-4AC1-AA55-79AC93426418}"/>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53" name="Text Box 170" hidden="1">
          <a:extLst>
            <a:ext uri="{FF2B5EF4-FFF2-40B4-BE49-F238E27FC236}">
              <a16:creationId xmlns:a16="http://schemas.microsoft.com/office/drawing/2014/main" id="{C0A7EC66-AA4A-461C-A21C-F00A45A84B5F}"/>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54" name="Text Box 169" hidden="1">
          <a:extLst>
            <a:ext uri="{FF2B5EF4-FFF2-40B4-BE49-F238E27FC236}">
              <a16:creationId xmlns:a16="http://schemas.microsoft.com/office/drawing/2014/main" id="{8528D85A-0795-47CB-9D10-AF05E7F8FF4C}"/>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55" name="Text Box 168" hidden="1">
          <a:extLst>
            <a:ext uri="{FF2B5EF4-FFF2-40B4-BE49-F238E27FC236}">
              <a16:creationId xmlns:a16="http://schemas.microsoft.com/office/drawing/2014/main" id="{0C6B7B11-83A1-438B-8BC2-F8B20A497CB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56" name="Text Box 167" hidden="1">
          <a:extLst>
            <a:ext uri="{FF2B5EF4-FFF2-40B4-BE49-F238E27FC236}">
              <a16:creationId xmlns:a16="http://schemas.microsoft.com/office/drawing/2014/main" id="{350F102C-7F94-4906-A2AE-DD26F7D00129}"/>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57" name="Text Box 166" hidden="1">
          <a:extLst>
            <a:ext uri="{FF2B5EF4-FFF2-40B4-BE49-F238E27FC236}">
              <a16:creationId xmlns:a16="http://schemas.microsoft.com/office/drawing/2014/main" id="{7E2749F6-DC89-45D6-9340-747E7F112BA4}"/>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58" name="Text Box 165" hidden="1">
          <a:extLst>
            <a:ext uri="{FF2B5EF4-FFF2-40B4-BE49-F238E27FC236}">
              <a16:creationId xmlns:a16="http://schemas.microsoft.com/office/drawing/2014/main" id="{88A6181F-524C-4648-9C32-AC22432A5BB4}"/>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59" name="Text Box 164" hidden="1">
          <a:extLst>
            <a:ext uri="{FF2B5EF4-FFF2-40B4-BE49-F238E27FC236}">
              <a16:creationId xmlns:a16="http://schemas.microsoft.com/office/drawing/2014/main" id="{442248FB-C1DD-42AB-85D2-8809646733D9}"/>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60" name="Text Box 163" hidden="1">
          <a:extLst>
            <a:ext uri="{FF2B5EF4-FFF2-40B4-BE49-F238E27FC236}">
              <a16:creationId xmlns:a16="http://schemas.microsoft.com/office/drawing/2014/main" id="{5439069C-8CBB-4511-B650-75BF1356BDC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61" name="Text Box 34" hidden="1">
          <a:extLst>
            <a:ext uri="{FF2B5EF4-FFF2-40B4-BE49-F238E27FC236}">
              <a16:creationId xmlns:a16="http://schemas.microsoft.com/office/drawing/2014/main" id="{AF0B1E40-4B77-4346-A6DF-AE062D4EDF6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62" name="Text Box 33" hidden="1">
          <a:extLst>
            <a:ext uri="{FF2B5EF4-FFF2-40B4-BE49-F238E27FC236}">
              <a16:creationId xmlns:a16="http://schemas.microsoft.com/office/drawing/2014/main" id="{B05469F2-9BD3-4518-8B67-D0C8B9A77E26}"/>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63" name="Text Box 32" hidden="1">
          <a:extLst>
            <a:ext uri="{FF2B5EF4-FFF2-40B4-BE49-F238E27FC236}">
              <a16:creationId xmlns:a16="http://schemas.microsoft.com/office/drawing/2014/main" id="{ACAF2BD4-06F6-4C00-BA8B-DDE9738E16B6}"/>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64" name="Text Box 31" hidden="1">
          <a:extLst>
            <a:ext uri="{FF2B5EF4-FFF2-40B4-BE49-F238E27FC236}">
              <a16:creationId xmlns:a16="http://schemas.microsoft.com/office/drawing/2014/main" id="{12CDBB8D-86C4-476E-861A-6B357C1970C4}"/>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65" name="Text Box 30" hidden="1">
          <a:extLst>
            <a:ext uri="{FF2B5EF4-FFF2-40B4-BE49-F238E27FC236}">
              <a16:creationId xmlns:a16="http://schemas.microsoft.com/office/drawing/2014/main" id="{57F0692C-C328-4A67-B8F5-088CF9ABF7A6}"/>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66" name="Text Box 29" hidden="1">
          <a:extLst>
            <a:ext uri="{FF2B5EF4-FFF2-40B4-BE49-F238E27FC236}">
              <a16:creationId xmlns:a16="http://schemas.microsoft.com/office/drawing/2014/main" id="{26E8449B-6838-4730-86B3-BCBE81A6628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6</xdr:col>
      <xdr:colOff>0</xdr:colOff>
      <xdr:row>180</xdr:row>
      <xdr:rowOff>47625</xdr:rowOff>
    </xdr:to>
    <xdr:sp macro="" textlink="">
      <xdr:nvSpPr>
        <xdr:cNvPr id="667" name="Text Box 28" hidden="1">
          <a:extLst>
            <a:ext uri="{FF2B5EF4-FFF2-40B4-BE49-F238E27FC236}">
              <a16:creationId xmlns:a16="http://schemas.microsoft.com/office/drawing/2014/main" id="{80FA2076-D77B-41F4-8B4C-11E4BCB17C19}"/>
            </a:ext>
          </a:extLst>
        </xdr:cNvPr>
        <xdr:cNvSpPr txBox="1">
          <a:spLocks noChangeArrowheads="1"/>
        </xdr:cNvSpPr>
      </xdr:nvSpPr>
      <xdr:spPr bwMode="auto">
        <a:xfrm>
          <a:off x="4229100" y="37111739"/>
          <a:ext cx="4641850" cy="3725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68" name="Text Box 27" hidden="1">
          <a:extLst>
            <a:ext uri="{FF2B5EF4-FFF2-40B4-BE49-F238E27FC236}">
              <a16:creationId xmlns:a16="http://schemas.microsoft.com/office/drawing/2014/main" id="{5B62C3F9-A961-4223-A610-4BF5F1643551}"/>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69" name="Text Box 26" hidden="1">
          <a:extLst>
            <a:ext uri="{FF2B5EF4-FFF2-40B4-BE49-F238E27FC236}">
              <a16:creationId xmlns:a16="http://schemas.microsoft.com/office/drawing/2014/main" id="{39AB9C4A-B00A-4510-B3DE-6D8B9437147E}"/>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70" name="Text Box 25" hidden="1">
          <a:extLst>
            <a:ext uri="{FF2B5EF4-FFF2-40B4-BE49-F238E27FC236}">
              <a16:creationId xmlns:a16="http://schemas.microsoft.com/office/drawing/2014/main" id="{62C09BA9-4180-4D44-93BE-A31EC17C319C}"/>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71" name="Text Box 24" hidden="1">
          <a:extLst>
            <a:ext uri="{FF2B5EF4-FFF2-40B4-BE49-F238E27FC236}">
              <a16:creationId xmlns:a16="http://schemas.microsoft.com/office/drawing/2014/main" id="{ED79CFF3-8606-4C8B-AB7B-4F1A434E3690}"/>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72" name="Text Box 23" hidden="1">
          <a:extLst>
            <a:ext uri="{FF2B5EF4-FFF2-40B4-BE49-F238E27FC236}">
              <a16:creationId xmlns:a16="http://schemas.microsoft.com/office/drawing/2014/main" id="{AA3546A9-0DCA-453C-92F0-05DA4908F57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73" name="Text Box 22" hidden="1">
          <a:extLst>
            <a:ext uri="{FF2B5EF4-FFF2-40B4-BE49-F238E27FC236}">
              <a16:creationId xmlns:a16="http://schemas.microsoft.com/office/drawing/2014/main" id="{9E52F6BA-A4F4-417C-AE71-04B7517897D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74" name="Text Box 21" hidden="1">
          <a:extLst>
            <a:ext uri="{FF2B5EF4-FFF2-40B4-BE49-F238E27FC236}">
              <a16:creationId xmlns:a16="http://schemas.microsoft.com/office/drawing/2014/main" id="{C810A001-3AA4-42F9-BEB3-2CA8DA4AA9CD}"/>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75" name="Text Box 20" hidden="1">
          <a:extLst>
            <a:ext uri="{FF2B5EF4-FFF2-40B4-BE49-F238E27FC236}">
              <a16:creationId xmlns:a16="http://schemas.microsoft.com/office/drawing/2014/main" id="{775588DF-4319-4288-990B-0B6353263E9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76" name="Text Box 19" hidden="1">
          <a:extLst>
            <a:ext uri="{FF2B5EF4-FFF2-40B4-BE49-F238E27FC236}">
              <a16:creationId xmlns:a16="http://schemas.microsoft.com/office/drawing/2014/main" id="{75457D61-2C44-4F88-B506-63DE49C1BB9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77" name="Text Box 18" hidden="1">
          <a:extLst>
            <a:ext uri="{FF2B5EF4-FFF2-40B4-BE49-F238E27FC236}">
              <a16:creationId xmlns:a16="http://schemas.microsoft.com/office/drawing/2014/main" id="{9C4D9E6D-EBF9-48EB-8B59-6F1F9BD8EC1B}"/>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550543D6-5BAC-4216-8779-F338E4BFD2C1}"/>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79" name="Text Box 51" hidden="1">
          <a:extLst>
            <a:ext uri="{FF2B5EF4-FFF2-40B4-BE49-F238E27FC236}">
              <a16:creationId xmlns:a16="http://schemas.microsoft.com/office/drawing/2014/main" id="{C68C269C-2482-4D0E-BFCF-69118D1F99D5}"/>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80" name="Text Box 50" hidden="1">
          <a:extLst>
            <a:ext uri="{FF2B5EF4-FFF2-40B4-BE49-F238E27FC236}">
              <a16:creationId xmlns:a16="http://schemas.microsoft.com/office/drawing/2014/main" id="{58811D9C-501B-4298-99B2-6FE23E9E35C5}"/>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81" name="Text Box 49" hidden="1">
          <a:extLst>
            <a:ext uri="{FF2B5EF4-FFF2-40B4-BE49-F238E27FC236}">
              <a16:creationId xmlns:a16="http://schemas.microsoft.com/office/drawing/2014/main" id="{A7BABC09-0F26-4B02-910C-5CBCB931FCA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82" name="Text Box 48" hidden="1">
          <a:extLst>
            <a:ext uri="{FF2B5EF4-FFF2-40B4-BE49-F238E27FC236}">
              <a16:creationId xmlns:a16="http://schemas.microsoft.com/office/drawing/2014/main" id="{6CC95023-FB23-4FEF-BBBC-4629356B219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83" name="Text Box 47" hidden="1">
          <a:extLst>
            <a:ext uri="{FF2B5EF4-FFF2-40B4-BE49-F238E27FC236}">
              <a16:creationId xmlns:a16="http://schemas.microsoft.com/office/drawing/2014/main" id="{5D287864-F832-45D5-B669-4A8997702E6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84" name="Text Box 46" hidden="1">
          <a:extLst>
            <a:ext uri="{FF2B5EF4-FFF2-40B4-BE49-F238E27FC236}">
              <a16:creationId xmlns:a16="http://schemas.microsoft.com/office/drawing/2014/main" id="{AA411837-01E0-4A24-8835-9EF459921DA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685" name="Text Box 45" hidden="1">
          <a:extLst>
            <a:ext uri="{FF2B5EF4-FFF2-40B4-BE49-F238E27FC236}">
              <a16:creationId xmlns:a16="http://schemas.microsoft.com/office/drawing/2014/main" id="{8EE5E944-26B5-4DF7-8F3F-3592B6F2A496}"/>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86" name="Text Box 44" hidden="1">
          <a:extLst>
            <a:ext uri="{FF2B5EF4-FFF2-40B4-BE49-F238E27FC236}">
              <a16:creationId xmlns:a16="http://schemas.microsoft.com/office/drawing/2014/main" id="{CD0C372F-EFB7-4351-9B61-888D0A42AEE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87" name="Text Box 43" hidden="1">
          <a:extLst>
            <a:ext uri="{FF2B5EF4-FFF2-40B4-BE49-F238E27FC236}">
              <a16:creationId xmlns:a16="http://schemas.microsoft.com/office/drawing/2014/main" id="{DDF670BF-0AA2-457C-9EF7-74DADE198357}"/>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88" name="Text Box 42" hidden="1">
          <a:extLst>
            <a:ext uri="{FF2B5EF4-FFF2-40B4-BE49-F238E27FC236}">
              <a16:creationId xmlns:a16="http://schemas.microsoft.com/office/drawing/2014/main" id="{9D75C876-13DC-415E-BD30-16DB9D9F796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689" name="Text Box 41" hidden="1">
          <a:extLst>
            <a:ext uri="{FF2B5EF4-FFF2-40B4-BE49-F238E27FC236}">
              <a16:creationId xmlns:a16="http://schemas.microsoft.com/office/drawing/2014/main" id="{FA10478A-F05A-4B80-B480-BD35EE28D8E7}"/>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90" name="Text Box 40" hidden="1">
          <a:extLst>
            <a:ext uri="{FF2B5EF4-FFF2-40B4-BE49-F238E27FC236}">
              <a16:creationId xmlns:a16="http://schemas.microsoft.com/office/drawing/2014/main" id="{8316603C-E16D-4D68-BD45-30B8965AC70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91" name="Text Box 39" hidden="1">
          <a:extLst>
            <a:ext uri="{FF2B5EF4-FFF2-40B4-BE49-F238E27FC236}">
              <a16:creationId xmlns:a16="http://schemas.microsoft.com/office/drawing/2014/main" id="{1B713459-20A5-4DAF-80F1-F1B2F5958FA4}"/>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92" name="Text Box 38" hidden="1">
          <a:extLst>
            <a:ext uri="{FF2B5EF4-FFF2-40B4-BE49-F238E27FC236}">
              <a16:creationId xmlns:a16="http://schemas.microsoft.com/office/drawing/2014/main" id="{336E1520-5A7E-4618-B039-B089187BD2AF}"/>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93" name="Text Box 37" hidden="1">
          <a:extLst>
            <a:ext uri="{FF2B5EF4-FFF2-40B4-BE49-F238E27FC236}">
              <a16:creationId xmlns:a16="http://schemas.microsoft.com/office/drawing/2014/main" id="{5ADD7202-4010-4745-B411-F2B82283AF3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94" name="Text Box 36" hidden="1">
          <a:extLst>
            <a:ext uri="{FF2B5EF4-FFF2-40B4-BE49-F238E27FC236}">
              <a16:creationId xmlns:a16="http://schemas.microsoft.com/office/drawing/2014/main" id="{EF784FBD-FDB4-40C4-B000-3DA182B746A0}"/>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95" name="Text Box 67" hidden="1">
          <a:extLst>
            <a:ext uri="{FF2B5EF4-FFF2-40B4-BE49-F238E27FC236}">
              <a16:creationId xmlns:a16="http://schemas.microsoft.com/office/drawing/2014/main" id="{7ADE7D60-85B2-45F7-A17E-9F1B824F609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96" name="Text Box 66" hidden="1">
          <a:extLst>
            <a:ext uri="{FF2B5EF4-FFF2-40B4-BE49-F238E27FC236}">
              <a16:creationId xmlns:a16="http://schemas.microsoft.com/office/drawing/2014/main" id="{1C4A4F45-F404-49E1-BB4F-F6C35B9EF931}"/>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97" name="Text Box 65" hidden="1">
          <a:extLst>
            <a:ext uri="{FF2B5EF4-FFF2-40B4-BE49-F238E27FC236}">
              <a16:creationId xmlns:a16="http://schemas.microsoft.com/office/drawing/2014/main" id="{317C87E9-A4EF-4F44-9257-294F6835B1B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98" name="Text Box 64" hidden="1">
          <a:extLst>
            <a:ext uri="{FF2B5EF4-FFF2-40B4-BE49-F238E27FC236}">
              <a16:creationId xmlns:a16="http://schemas.microsoft.com/office/drawing/2014/main" id="{46AD2A01-6196-47A6-A935-EDFF6E8760D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99" name="Text Box 63" hidden="1">
          <a:extLst>
            <a:ext uri="{FF2B5EF4-FFF2-40B4-BE49-F238E27FC236}">
              <a16:creationId xmlns:a16="http://schemas.microsoft.com/office/drawing/2014/main" id="{B8BAE1DF-96E3-4B05-A553-FAE398A2BB3B}"/>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00" name="Text Box 62" hidden="1">
          <a:extLst>
            <a:ext uri="{FF2B5EF4-FFF2-40B4-BE49-F238E27FC236}">
              <a16:creationId xmlns:a16="http://schemas.microsoft.com/office/drawing/2014/main" id="{CAF70400-D18F-4EFF-A720-CD37C35367B6}"/>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01" name="Text Box 61" hidden="1">
          <a:extLst>
            <a:ext uri="{FF2B5EF4-FFF2-40B4-BE49-F238E27FC236}">
              <a16:creationId xmlns:a16="http://schemas.microsoft.com/office/drawing/2014/main" id="{B2F23944-8BBC-49EF-8E27-ED3BAF8EE0C9}"/>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02" name="Text Box 60" hidden="1">
          <a:extLst>
            <a:ext uri="{FF2B5EF4-FFF2-40B4-BE49-F238E27FC236}">
              <a16:creationId xmlns:a16="http://schemas.microsoft.com/office/drawing/2014/main" id="{7B5B9387-1AFE-422D-8DB6-0A9E42789A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03" name="Text Box 59" hidden="1">
          <a:extLst>
            <a:ext uri="{FF2B5EF4-FFF2-40B4-BE49-F238E27FC236}">
              <a16:creationId xmlns:a16="http://schemas.microsoft.com/office/drawing/2014/main" id="{8DC6326C-FB5C-45CA-A609-A48922F107D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04" name="Text Box 58" hidden="1">
          <a:extLst>
            <a:ext uri="{FF2B5EF4-FFF2-40B4-BE49-F238E27FC236}">
              <a16:creationId xmlns:a16="http://schemas.microsoft.com/office/drawing/2014/main" id="{C8BA6FD3-54FD-4A7E-BC22-21B7C771DFF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05" name="Text Box 57" hidden="1">
          <a:extLst>
            <a:ext uri="{FF2B5EF4-FFF2-40B4-BE49-F238E27FC236}">
              <a16:creationId xmlns:a16="http://schemas.microsoft.com/office/drawing/2014/main" id="{0761CCC0-CD47-479B-9050-0D7613630D11}"/>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06" name="Text Box 56" hidden="1">
          <a:extLst>
            <a:ext uri="{FF2B5EF4-FFF2-40B4-BE49-F238E27FC236}">
              <a16:creationId xmlns:a16="http://schemas.microsoft.com/office/drawing/2014/main" id="{13E49710-9C79-45A8-A5C8-D10C88A094D8}"/>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07" name="Text Box 55" hidden="1">
          <a:extLst>
            <a:ext uri="{FF2B5EF4-FFF2-40B4-BE49-F238E27FC236}">
              <a16:creationId xmlns:a16="http://schemas.microsoft.com/office/drawing/2014/main" id="{BFFD245D-3FF4-4ADE-901D-BB9808B9E87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08" name="Text Box 54" hidden="1">
          <a:extLst>
            <a:ext uri="{FF2B5EF4-FFF2-40B4-BE49-F238E27FC236}">
              <a16:creationId xmlns:a16="http://schemas.microsoft.com/office/drawing/2014/main" id="{8D0595FF-FE1A-47FB-940C-38C3ECE27BE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09" name="Text Box 53" hidden="1">
          <a:extLst>
            <a:ext uri="{FF2B5EF4-FFF2-40B4-BE49-F238E27FC236}">
              <a16:creationId xmlns:a16="http://schemas.microsoft.com/office/drawing/2014/main" id="{6A4B5236-B15D-476D-A73C-774A2964B375}"/>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10" name="Text Box 52" hidden="1">
          <a:extLst>
            <a:ext uri="{FF2B5EF4-FFF2-40B4-BE49-F238E27FC236}">
              <a16:creationId xmlns:a16="http://schemas.microsoft.com/office/drawing/2014/main" id="{A0C7C477-9A91-4857-A241-4EF5BE3DE3A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11" name="Text Box 99" hidden="1">
          <a:extLst>
            <a:ext uri="{FF2B5EF4-FFF2-40B4-BE49-F238E27FC236}">
              <a16:creationId xmlns:a16="http://schemas.microsoft.com/office/drawing/2014/main" id="{2C1003FD-2A7B-4DFF-953E-8957FDCA259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12" name="Text Box 98" hidden="1">
          <a:extLst>
            <a:ext uri="{FF2B5EF4-FFF2-40B4-BE49-F238E27FC236}">
              <a16:creationId xmlns:a16="http://schemas.microsoft.com/office/drawing/2014/main" id="{3D40400D-3BFA-408E-B467-6D8543CF5C18}"/>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13" name="Text Box 97" hidden="1">
          <a:extLst>
            <a:ext uri="{FF2B5EF4-FFF2-40B4-BE49-F238E27FC236}">
              <a16:creationId xmlns:a16="http://schemas.microsoft.com/office/drawing/2014/main" id="{7369E611-4FEB-4836-9F88-1450D798875A}"/>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14" name="Text Box 96" hidden="1">
          <a:extLst>
            <a:ext uri="{FF2B5EF4-FFF2-40B4-BE49-F238E27FC236}">
              <a16:creationId xmlns:a16="http://schemas.microsoft.com/office/drawing/2014/main" id="{75EF00B3-5898-49FB-A547-3B2127FD9966}"/>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15" name="Text Box 95" hidden="1">
          <a:extLst>
            <a:ext uri="{FF2B5EF4-FFF2-40B4-BE49-F238E27FC236}">
              <a16:creationId xmlns:a16="http://schemas.microsoft.com/office/drawing/2014/main" id="{EF1B5D69-C8CA-40EA-B41E-4C01F608FDC7}"/>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16" name="Text Box 94" hidden="1">
          <a:extLst>
            <a:ext uri="{FF2B5EF4-FFF2-40B4-BE49-F238E27FC236}">
              <a16:creationId xmlns:a16="http://schemas.microsoft.com/office/drawing/2014/main" id="{FBD35013-7A3B-4FB3-ABF8-A4319D8B8FAA}"/>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17" name="Text Box 93" hidden="1">
          <a:extLst>
            <a:ext uri="{FF2B5EF4-FFF2-40B4-BE49-F238E27FC236}">
              <a16:creationId xmlns:a16="http://schemas.microsoft.com/office/drawing/2014/main" id="{95B76600-C624-49DC-B87B-C64CA48F1C17}"/>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18" name="Text Box 92" hidden="1">
          <a:extLst>
            <a:ext uri="{FF2B5EF4-FFF2-40B4-BE49-F238E27FC236}">
              <a16:creationId xmlns:a16="http://schemas.microsoft.com/office/drawing/2014/main" id="{AB44A7A7-B853-41E4-BA1D-9ECCE9703C06}"/>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19" name="Text Box 91" hidden="1">
          <a:extLst>
            <a:ext uri="{FF2B5EF4-FFF2-40B4-BE49-F238E27FC236}">
              <a16:creationId xmlns:a16="http://schemas.microsoft.com/office/drawing/2014/main" id="{045FE2D4-B0B3-4A9A-A1DF-70BAB32AA8DD}"/>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20" name="Text Box 90" hidden="1">
          <a:extLst>
            <a:ext uri="{FF2B5EF4-FFF2-40B4-BE49-F238E27FC236}">
              <a16:creationId xmlns:a16="http://schemas.microsoft.com/office/drawing/2014/main" id="{B4E67AFE-6112-4F14-9E18-BBE884A359EF}"/>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21" name="Text Box 89" hidden="1">
          <a:extLst>
            <a:ext uri="{FF2B5EF4-FFF2-40B4-BE49-F238E27FC236}">
              <a16:creationId xmlns:a16="http://schemas.microsoft.com/office/drawing/2014/main" id="{89406882-99C5-420A-BE9F-BBDC4E9BE86F}"/>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22" name="Text Box 88" hidden="1">
          <a:extLst>
            <a:ext uri="{FF2B5EF4-FFF2-40B4-BE49-F238E27FC236}">
              <a16:creationId xmlns:a16="http://schemas.microsoft.com/office/drawing/2014/main" id="{2467FCA0-20CB-4A04-B505-93C0B4C7D2F4}"/>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23" name="Text Box 87" hidden="1">
          <a:extLst>
            <a:ext uri="{FF2B5EF4-FFF2-40B4-BE49-F238E27FC236}">
              <a16:creationId xmlns:a16="http://schemas.microsoft.com/office/drawing/2014/main" id="{1A75E27E-5727-452F-9000-1EC800BC1765}"/>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24" name="Text Box 86" hidden="1">
          <a:extLst>
            <a:ext uri="{FF2B5EF4-FFF2-40B4-BE49-F238E27FC236}">
              <a16:creationId xmlns:a16="http://schemas.microsoft.com/office/drawing/2014/main" id="{D9DB527E-10B3-4D1D-9360-E2333498B203}"/>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25" name="Text Box 85" hidden="1">
          <a:extLst>
            <a:ext uri="{FF2B5EF4-FFF2-40B4-BE49-F238E27FC236}">
              <a16:creationId xmlns:a16="http://schemas.microsoft.com/office/drawing/2014/main" id="{C5C33923-88C9-47E5-AEDA-87305E60E684}"/>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26" name="Text Box 84" hidden="1">
          <a:extLst>
            <a:ext uri="{FF2B5EF4-FFF2-40B4-BE49-F238E27FC236}">
              <a16:creationId xmlns:a16="http://schemas.microsoft.com/office/drawing/2014/main" id="{0236F1BF-845F-4D82-8266-3AAB0CA07BB4}"/>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27" name="Text Box 83" hidden="1">
          <a:extLst>
            <a:ext uri="{FF2B5EF4-FFF2-40B4-BE49-F238E27FC236}">
              <a16:creationId xmlns:a16="http://schemas.microsoft.com/office/drawing/2014/main" id="{01B23CD1-6592-4149-B6C3-92ED6979FE83}"/>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28" name="Text Box 82" hidden="1">
          <a:extLst>
            <a:ext uri="{FF2B5EF4-FFF2-40B4-BE49-F238E27FC236}">
              <a16:creationId xmlns:a16="http://schemas.microsoft.com/office/drawing/2014/main" id="{42BF57B5-9A53-4CCF-AAFA-6825E9ADFE6B}"/>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29" name="Text Box 81" hidden="1">
          <a:extLst>
            <a:ext uri="{FF2B5EF4-FFF2-40B4-BE49-F238E27FC236}">
              <a16:creationId xmlns:a16="http://schemas.microsoft.com/office/drawing/2014/main" id="{E3FFB58C-4965-4E85-A676-2736EFCB7E7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30" name="Text Box 80" hidden="1">
          <a:extLst>
            <a:ext uri="{FF2B5EF4-FFF2-40B4-BE49-F238E27FC236}">
              <a16:creationId xmlns:a16="http://schemas.microsoft.com/office/drawing/2014/main" id="{9D704749-0E23-41B1-A820-AE31C1348EB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31" name="Text Box 79" hidden="1">
          <a:extLst>
            <a:ext uri="{FF2B5EF4-FFF2-40B4-BE49-F238E27FC236}">
              <a16:creationId xmlns:a16="http://schemas.microsoft.com/office/drawing/2014/main" id="{348D8CD0-90E1-4C48-970B-722606BB7BB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32" name="Text Box 78" hidden="1">
          <a:extLst>
            <a:ext uri="{FF2B5EF4-FFF2-40B4-BE49-F238E27FC236}">
              <a16:creationId xmlns:a16="http://schemas.microsoft.com/office/drawing/2014/main" id="{10FC9F42-AE0F-4B28-B577-488A7BC3B27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33" name="Text Box 77" hidden="1">
          <a:extLst>
            <a:ext uri="{FF2B5EF4-FFF2-40B4-BE49-F238E27FC236}">
              <a16:creationId xmlns:a16="http://schemas.microsoft.com/office/drawing/2014/main" id="{A28D0476-A4F8-4FA8-9B03-D2BEA3664F8F}"/>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34" name="Text Box 76" hidden="1">
          <a:extLst>
            <a:ext uri="{FF2B5EF4-FFF2-40B4-BE49-F238E27FC236}">
              <a16:creationId xmlns:a16="http://schemas.microsoft.com/office/drawing/2014/main" id="{A5E10FB4-258D-4B0B-80AD-E66ED75E7060}"/>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35" name="Text Box 75" hidden="1">
          <a:extLst>
            <a:ext uri="{FF2B5EF4-FFF2-40B4-BE49-F238E27FC236}">
              <a16:creationId xmlns:a16="http://schemas.microsoft.com/office/drawing/2014/main" id="{08365A85-9122-4302-912C-FA6FB7B801C5}"/>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36" name="Text Box 74" hidden="1">
          <a:extLst>
            <a:ext uri="{FF2B5EF4-FFF2-40B4-BE49-F238E27FC236}">
              <a16:creationId xmlns:a16="http://schemas.microsoft.com/office/drawing/2014/main" id="{BFC4F981-59D7-4950-9DC4-4F4AF3C88B00}"/>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37" name="Text Box 73" hidden="1">
          <a:extLst>
            <a:ext uri="{FF2B5EF4-FFF2-40B4-BE49-F238E27FC236}">
              <a16:creationId xmlns:a16="http://schemas.microsoft.com/office/drawing/2014/main" id="{D25E4863-0DCD-4103-9A2F-C9C962270C4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38" name="Text Box 72" hidden="1">
          <a:extLst>
            <a:ext uri="{FF2B5EF4-FFF2-40B4-BE49-F238E27FC236}">
              <a16:creationId xmlns:a16="http://schemas.microsoft.com/office/drawing/2014/main" id="{05260370-77AE-4A2A-83FA-49310E565FB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39" name="Text Box 71" hidden="1">
          <a:extLst>
            <a:ext uri="{FF2B5EF4-FFF2-40B4-BE49-F238E27FC236}">
              <a16:creationId xmlns:a16="http://schemas.microsoft.com/office/drawing/2014/main" id="{F3EE890D-55EC-4BC1-B499-BDD3518EB269}"/>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40" name="Text Box 70" hidden="1">
          <a:extLst>
            <a:ext uri="{FF2B5EF4-FFF2-40B4-BE49-F238E27FC236}">
              <a16:creationId xmlns:a16="http://schemas.microsoft.com/office/drawing/2014/main" id="{641DA29A-4C92-4AFF-A876-2F9D003F620B}"/>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41" name="Text Box 69" hidden="1">
          <a:extLst>
            <a:ext uri="{FF2B5EF4-FFF2-40B4-BE49-F238E27FC236}">
              <a16:creationId xmlns:a16="http://schemas.microsoft.com/office/drawing/2014/main" id="{FAF67FAF-C1AE-44F6-9330-0148E3ABBC70}"/>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42" name="Text Box 68" hidden="1">
          <a:extLst>
            <a:ext uri="{FF2B5EF4-FFF2-40B4-BE49-F238E27FC236}">
              <a16:creationId xmlns:a16="http://schemas.microsoft.com/office/drawing/2014/main" id="{AB6DE51E-756D-4A2C-B137-496006BCC0B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43" name="Text Box 115" hidden="1">
          <a:extLst>
            <a:ext uri="{FF2B5EF4-FFF2-40B4-BE49-F238E27FC236}">
              <a16:creationId xmlns:a16="http://schemas.microsoft.com/office/drawing/2014/main" id="{53DA97C0-7398-4DC9-B451-1D9DBAD7DE5B}"/>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44" name="Text Box 114" hidden="1">
          <a:extLst>
            <a:ext uri="{FF2B5EF4-FFF2-40B4-BE49-F238E27FC236}">
              <a16:creationId xmlns:a16="http://schemas.microsoft.com/office/drawing/2014/main" id="{EAB56E09-00EF-402F-8D7A-AF74C9516490}"/>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45" name="Text Box 113" hidden="1">
          <a:extLst>
            <a:ext uri="{FF2B5EF4-FFF2-40B4-BE49-F238E27FC236}">
              <a16:creationId xmlns:a16="http://schemas.microsoft.com/office/drawing/2014/main" id="{77A3ADFA-55B1-4951-9D14-5178C61C3C8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46" name="Text Box 112" hidden="1">
          <a:extLst>
            <a:ext uri="{FF2B5EF4-FFF2-40B4-BE49-F238E27FC236}">
              <a16:creationId xmlns:a16="http://schemas.microsoft.com/office/drawing/2014/main" id="{8CB9A4D4-2F00-4F92-8769-BCDC49F4F85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47" name="Text Box 111" hidden="1">
          <a:extLst>
            <a:ext uri="{FF2B5EF4-FFF2-40B4-BE49-F238E27FC236}">
              <a16:creationId xmlns:a16="http://schemas.microsoft.com/office/drawing/2014/main" id="{257FC343-0159-4C85-8D4C-528AB9353509}"/>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48" name="Text Box 110" hidden="1">
          <a:extLst>
            <a:ext uri="{FF2B5EF4-FFF2-40B4-BE49-F238E27FC236}">
              <a16:creationId xmlns:a16="http://schemas.microsoft.com/office/drawing/2014/main" id="{FF04315A-6274-4026-BA52-2E9D5C21DD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49" name="Text Box 109" hidden="1">
          <a:extLst>
            <a:ext uri="{FF2B5EF4-FFF2-40B4-BE49-F238E27FC236}">
              <a16:creationId xmlns:a16="http://schemas.microsoft.com/office/drawing/2014/main" id="{8EB40335-F446-4524-BBB1-EC654B78A23A}"/>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50" name="Text Box 108" hidden="1">
          <a:extLst>
            <a:ext uri="{FF2B5EF4-FFF2-40B4-BE49-F238E27FC236}">
              <a16:creationId xmlns:a16="http://schemas.microsoft.com/office/drawing/2014/main" id="{6426DEC4-ED4B-4862-AE00-9DD352803F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51" name="Text Box 107" hidden="1">
          <a:extLst>
            <a:ext uri="{FF2B5EF4-FFF2-40B4-BE49-F238E27FC236}">
              <a16:creationId xmlns:a16="http://schemas.microsoft.com/office/drawing/2014/main" id="{37FEF871-1CC5-4A39-85CC-9DA38C3B2CF4}"/>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52" name="Text Box 106" hidden="1">
          <a:extLst>
            <a:ext uri="{FF2B5EF4-FFF2-40B4-BE49-F238E27FC236}">
              <a16:creationId xmlns:a16="http://schemas.microsoft.com/office/drawing/2014/main" id="{6666D388-D52A-46F3-A164-6A614A92B3A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53" name="Text Box 105" hidden="1">
          <a:extLst>
            <a:ext uri="{FF2B5EF4-FFF2-40B4-BE49-F238E27FC236}">
              <a16:creationId xmlns:a16="http://schemas.microsoft.com/office/drawing/2014/main" id="{1A6883FC-3CB9-4050-BB44-85584D345948}"/>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54" name="Text Box 104" hidden="1">
          <a:extLst>
            <a:ext uri="{FF2B5EF4-FFF2-40B4-BE49-F238E27FC236}">
              <a16:creationId xmlns:a16="http://schemas.microsoft.com/office/drawing/2014/main" id="{6F5091F8-9EEA-4487-B7AD-8589CE3BE7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55" name="Text Box 103" hidden="1">
          <a:extLst>
            <a:ext uri="{FF2B5EF4-FFF2-40B4-BE49-F238E27FC236}">
              <a16:creationId xmlns:a16="http://schemas.microsoft.com/office/drawing/2014/main" id="{36D839AB-64A8-43D8-B9EC-D4CEFFE27DCF}"/>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56" name="Text Box 102" hidden="1">
          <a:extLst>
            <a:ext uri="{FF2B5EF4-FFF2-40B4-BE49-F238E27FC236}">
              <a16:creationId xmlns:a16="http://schemas.microsoft.com/office/drawing/2014/main" id="{3083FA2E-31C5-411B-B21E-4DD8037F614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57" name="Text Box 101" hidden="1">
          <a:extLst>
            <a:ext uri="{FF2B5EF4-FFF2-40B4-BE49-F238E27FC236}">
              <a16:creationId xmlns:a16="http://schemas.microsoft.com/office/drawing/2014/main" id="{6F967432-6F11-4D51-A184-EA0039192342}"/>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58" name="Text Box 100" hidden="1">
          <a:extLst>
            <a:ext uri="{FF2B5EF4-FFF2-40B4-BE49-F238E27FC236}">
              <a16:creationId xmlns:a16="http://schemas.microsoft.com/office/drawing/2014/main" id="{9F95B957-E9AF-42EA-A724-7F1C70AB889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59" name="Text Box 131" hidden="1">
          <a:extLst>
            <a:ext uri="{FF2B5EF4-FFF2-40B4-BE49-F238E27FC236}">
              <a16:creationId xmlns:a16="http://schemas.microsoft.com/office/drawing/2014/main" id="{BD380050-0571-45CF-A92C-2DD0119E7EF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60" name="Text Box 130" hidden="1">
          <a:extLst>
            <a:ext uri="{FF2B5EF4-FFF2-40B4-BE49-F238E27FC236}">
              <a16:creationId xmlns:a16="http://schemas.microsoft.com/office/drawing/2014/main" id="{401407D0-2670-4F09-8CEE-FEB1DE42B7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61" name="Text Box 129" hidden="1">
          <a:extLst>
            <a:ext uri="{FF2B5EF4-FFF2-40B4-BE49-F238E27FC236}">
              <a16:creationId xmlns:a16="http://schemas.microsoft.com/office/drawing/2014/main" id="{834C1346-531E-44E5-AC7E-5641084FB0C5}"/>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62" name="Text Box 128" hidden="1">
          <a:extLst>
            <a:ext uri="{FF2B5EF4-FFF2-40B4-BE49-F238E27FC236}">
              <a16:creationId xmlns:a16="http://schemas.microsoft.com/office/drawing/2014/main" id="{D6890A7C-FDCE-4B47-B718-C5D1E34DB10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63" name="Text Box 127" hidden="1">
          <a:extLst>
            <a:ext uri="{FF2B5EF4-FFF2-40B4-BE49-F238E27FC236}">
              <a16:creationId xmlns:a16="http://schemas.microsoft.com/office/drawing/2014/main" id="{27236C30-D529-4752-80FE-F2A1C72BA6E0}"/>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64" name="Text Box 126" hidden="1">
          <a:extLst>
            <a:ext uri="{FF2B5EF4-FFF2-40B4-BE49-F238E27FC236}">
              <a16:creationId xmlns:a16="http://schemas.microsoft.com/office/drawing/2014/main" id="{F0EBDF67-0DC1-4A34-894F-D87361E0C765}"/>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65" name="Text Box 125" hidden="1">
          <a:extLst>
            <a:ext uri="{FF2B5EF4-FFF2-40B4-BE49-F238E27FC236}">
              <a16:creationId xmlns:a16="http://schemas.microsoft.com/office/drawing/2014/main" id="{9F5BF0D2-3105-4FEE-9204-43753B83E4E5}"/>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66" name="Text Box 124" hidden="1">
          <a:extLst>
            <a:ext uri="{FF2B5EF4-FFF2-40B4-BE49-F238E27FC236}">
              <a16:creationId xmlns:a16="http://schemas.microsoft.com/office/drawing/2014/main" id="{5EC458C1-7663-4913-9FC7-1C5E35B8D7A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67" name="Text Box 123" hidden="1">
          <a:extLst>
            <a:ext uri="{FF2B5EF4-FFF2-40B4-BE49-F238E27FC236}">
              <a16:creationId xmlns:a16="http://schemas.microsoft.com/office/drawing/2014/main" id="{60D05684-20B6-4BEA-9F85-0202C8F4EF8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68" name="Text Box 122" hidden="1">
          <a:extLst>
            <a:ext uri="{FF2B5EF4-FFF2-40B4-BE49-F238E27FC236}">
              <a16:creationId xmlns:a16="http://schemas.microsoft.com/office/drawing/2014/main" id="{2671EAE3-C795-4519-940A-E9F73B960F15}"/>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69" name="Text Box 121" hidden="1">
          <a:extLst>
            <a:ext uri="{FF2B5EF4-FFF2-40B4-BE49-F238E27FC236}">
              <a16:creationId xmlns:a16="http://schemas.microsoft.com/office/drawing/2014/main" id="{DCA52829-A671-4B27-B934-49101A504D6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70" name="Text Box 120" hidden="1">
          <a:extLst>
            <a:ext uri="{FF2B5EF4-FFF2-40B4-BE49-F238E27FC236}">
              <a16:creationId xmlns:a16="http://schemas.microsoft.com/office/drawing/2014/main" id="{EE6BC0F3-925A-4C9A-87A3-C4B29DCF3F1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71" name="Text Box 119" hidden="1">
          <a:extLst>
            <a:ext uri="{FF2B5EF4-FFF2-40B4-BE49-F238E27FC236}">
              <a16:creationId xmlns:a16="http://schemas.microsoft.com/office/drawing/2014/main" id="{CF3F44C6-F8BD-441A-8F43-65D7B4DC8B1E}"/>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72" name="Text Box 118" hidden="1">
          <a:extLst>
            <a:ext uri="{FF2B5EF4-FFF2-40B4-BE49-F238E27FC236}">
              <a16:creationId xmlns:a16="http://schemas.microsoft.com/office/drawing/2014/main" id="{527C6EED-7B9D-4228-82C4-52575FFDA408}"/>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73" name="Text Box 117" hidden="1">
          <a:extLst>
            <a:ext uri="{FF2B5EF4-FFF2-40B4-BE49-F238E27FC236}">
              <a16:creationId xmlns:a16="http://schemas.microsoft.com/office/drawing/2014/main" id="{0F4DFC54-E6D8-4B21-BE07-3C002AC6A31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74" name="Text Box 116" hidden="1">
          <a:extLst>
            <a:ext uri="{FF2B5EF4-FFF2-40B4-BE49-F238E27FC236}">
              <a16:creationId xmlns:a16="http://schemas.microsoft.com/office/drawing/2014/main" id="{289D4B3C-C2E4-4502-80AB-EE3717ED0A6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5.xml><?xml version="1.0" encoding="utf-8"?>
<xdr:wsDr xmlns:xdr="http://schemas.openxmlformats.org/drawingml/2006/spreadsheetDrawing" xmlns:a="http://schemas.openxmlformats.org/drawingml/2006/main">
  <xdr:twoCellAnchor editAs="absolute">
    <xdr:from>
      <xdr:col>6</xdr:col>
      <xdr:colOff>169232</xdr:colOff>
      <xdr:row>92</xdr:row>
      <xdr:rowOff>316342</xdr:rowOff>
    </xdr:from>
    <xdr:to>
      <xdr:col>8</xdr:col>
      <xdr:colOff>274913</xdr:colOff>
      <xdr:row>92</xdr:row>
      <xdr:rowOff>316342</xdr:rowOff>
    </xdr:to>
    <xdr:sp macro="" textlink="">
      <xdr:nvSpPr>
        <xdr:cNvPr id="226308" name="Text Box 4" hidden="1">
          <a:extLst>
            <a:ext uri="{FF2B5EF4-FFF2-40B4-BE49-F238E27FC236}">
              <a16:creationId xmlns:a16="http://schemas.microsoft.com/office/drawing/2014/main" id="{1DE4B262-442A-4D34-B009-70A4A545BC56}"/>
            </a:ext>
          </a:extLst>
        </xdr:cNvPr>
        <xdr:cNvSpPr txBox="1">
          <a:spLocks noChangeArrowheads="1"/>
        </xdr:cNvSpPr>
      </xdr:nvSpPr>
      <xdr:spPr bwMode="auto">
        <a:xfrm>
          <a:off x="911352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316342</xdr:rowOff>
    </xdr:from>
    <xdr:to>
      <xdr:col>11</xdr:col>
      <xdr:colOff>235329</xdr:colOff>
      <xdr:row>92</xdr:row>
      <xdr:rowOff>316342</xdr:rowOff>
    </xdr:to>
    <xdr:sp macro="" textlink="">
      <xdr:nvSpPr>
        <xdr:cNvPr id="226309" name="Text Box 5" hidden="1">
          <a:extLst>
            <a:ext uri="{FF2B5EF4-FFF2-40B4-BE49-F238E27FC236}">
              <a16:creationId xmlns:a16="http://schemas.microsoft.com/office/drawing/2014/main" id="{D9E7EF9B-6EE7-4596-9F7A-667D322486CE}"/>
            </a:ext>
          </a:extLst>
        </xdr:cNvPr>
        <xdr:cNvSpPr txBox="1">
          <a:spLocks noChangeArrowheads="1"/>
        </xdr:cNvSpPr>
      </xdr:nvSpPr>
      <xdr:spPr bwMode="auto">
        <a:xfrm>
          <a:off x="1149096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26311" name="Text Box 7" hidden="1">
          <a:extLst>
            <a:ext uri="{FF2B5EF4-FFF2-40B4-BE49-F238E27FC236}">
              <a16:creationId xmlns:a16="http://schemas.microsoft.com/office/drawing/2014/main" id="{EAA688B6-1968-4D27-8F25-C3201443AA10}"/>
            </a:ext>
          </a:extLst>
        </xdr:cNvPr>
        <xdr:cNvSpPr txBox="1">
          <a:spLocks noChangeArrowheads="1"/>
        </xdr:cNvSpPr>
      </xdr:nvSpPr>
      <xdr:spPr bwMode="auto">
        <a:xfrm>
          <a:off x="3413760" y="6713220"/>
          <a:ext cx="169926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52</xdr:row>
      <xdr:rowOff>149449</xdr:rowOff>
    </xdr:from>
    <xdr:to>
      <xdr:col>1</xdr:col>
      <xdr:colOff>4255844</xdr:colOff>
      <xdr:row>55</xdr:row>
      <xdr:rowOff>83399</xdr:rowOff>
    </xdr:to>
    <xdr:sp macro="" textlink="">
      <xdr:nvSpPr>
        <xdr:cNvPr id="226312" name="Text Box 8" hidden="1">
          <a:extLst>
            <a:ext uri="{FF2B5EF4-FFF2-40B4-BE49-F238E27FC236}">
              <a16:creationId xmlns:a16="http://schemas.microsoft.com/office/drawing/2014/main" id="{F1E14B72-AEAB-46EA-B162-5CA570848783}"/>
            </a:ext>
          </a:extLst>
        </xdr:cNvPr>
        <xdr:cNvSpPr txBox="1">
          <a:spLocks noChangeArrowheads="1"/>
        </xdr:cNvSpPr>
      </xdr:nvSpPr>
      <xdr:spPr bwMode="auto">
        <a:xfrm>
          <a:off x="3451860" y="11963400"/>
          <a:ext cx="1668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316342</xdr:rowOff>
    </xdr:from>
    <xdr:to>
      <xdr:col>8</xdr:col>
      <xdr:colOff>274913</xdr:colOff>
      <xdr:row>92</xdr:row>
      <xdr:rowOff>316342</xdr:rowOff>
    </xdr:to>
    <xdr:sp macro="" textlink="">
      <xdr:nvSpPr>
        <xdr:cNvPr id="257028" name="Text Box 4" hidden="1">
          <a:extLst>
            <a:ext uri="{FF2B5EF4-FFF2-40B4-BE49-F238E27FC236}">
              <a16:creationId xmlns:a16="http://schemas.microsoft.com/office/drawing/2014/main" id="{28ED4E88-6FEE-470C-9119-B4144BC9353F}"/>
            </a:ext>
          </a:extLst>
        </xdr:cNvPr>
        <xdr:cNvSpPr txBox="1">
          <a:spLocks noChangeArrowheads="1"/>
        </xdr:cNvSpPr>
      </xdr:nvSpPr>
      <xdr:spPr bwMode="auto">
        <a:xfrm>
          <a:off x="8820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316342</xdr:rowOff>
    </xdr:from>
    <xdr:to>
      <xdr:col>11</xdr:col>
      <xdr:colOff>235329</xdr:colOff>
      <xdr:row>92</xdr:row>
      <xdr:rowOff>316342</xdr:rowOff>
    </xdr:to>
    <xdr:sp macro="" textlink="">
      <xdr:nvSpPr>
        <xdr:cNvPr id="257027" name="Text Box 3" hidden="1">
          <a:extLst>
            <a:ext uri="{FF2B5EF4-FFF2-40B4-BE49-F238E27FC236}">
              <a16:creationId xmlns:a16="http://schemas.microsoft.com/office/drawing/2014/main" id="{EBD70E14-1BE1-426C-9A08-89E7D87FFDF1}"/>
            </a:ext>
          </a:extLst>
        </xdr:cNvPr>
        <xdr:cNvSpPr txBox="1">
          <a:spLocks noChangeArrowheads="1"/>
        </xdr:cNvSpPr>
      </xdr:nvSpPr>
      <xdr:spPr bwMode="auto">
        <a:xfrm>
          <a:off x="11106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26" name="Text Box 2" hidden="1">
          <a:extLst>
            <a:ext uri="{FF2B5EF4-FFF2-40B4-BE49-F238E27FC236}">
              <a16:creationId xmlns:a16="http://schemas.microsoft.com/office/drawing/2014/main" id="{CB9DF60B-A556-41D0-8F31-B5EC781346F7}"/>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1" name="Text Box 7" hidden="1">
          <a:extLst>
            <a:ext uri="{FF2B5EF4-FFF2-40B4-BE49-F238E27FC236}">
              <a16:creationId xmlns:a16="http://schemas.microsoft.com/office/drawing/2014/main" id="{5E32F841-A5FA-409C-9657-69FB758DEEE6}"/>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0" name="Text Box 6" hidden="1">
          <a:extLst>
            <a:ext uri="{FF2B5EF4-FFF2-40B4-BE49-F238E27FC236}">
              <a16:creationId xmlns:a16="http://schemas.microsoft.com/office/drawing/2014/main" id="{50DEFB65-0857-4FF4-A53D-F6F80CC90388}"/>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29" name="Text Box 5" hidden="1">
          <a:extLst>
            <a:ext uri="{FF2B5EF4-FFF2-40B4-BE49-F238E27FC236}">
              <a16:creationId xmlns:a16="http://schemas.microsoft.com/office/drawing/2014/main" id="{3EC56823-01B7-467B-88F1-28CB5BFFB582}"/>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4" name="Text Box 10" hidden="1">
          <a:extLst>
            <a:ext uri="{FF2B5EF4-FFF2-40B4-BE49-F238E27FC236}">
              <a16:creationId xmlns:a16="http://schemas.microsoft.com/office/drawing/2014/main" id="{C1EA262D-67FB-4B68-924D-FF6C353E7F37}"/>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3" name="Text Box 9" hidden="1">
          <a:extLst>
            <a:ext uri="{FF2B5EF4-FFF2-40B4-BE49-F238E27FC236}">
              <a16:creationId xmlns:a16="http://schemas.microsoft.com/office/drawing/2014/main" id="{70752714-EDA0-4379-9856-8F8BC81E5D7D}"/>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2" name="Text Box 8" hidden="1">
          <a:extLst>
            <a:ext uri="{FF2B5EF4-FFF2-40B4-BE49-F238E27FC236}">
              <a16:creationId xmlns:a16="http://schemas.microsoft.com/office/drawing/2014/main" id="{4996AB1E-2F27-4526-9786-B277D5B0846F}"/>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7" name="Text Box 13" hidden="1">
          <a:extLst>
            <a:ext uri="{FF2B5EF4-FFF2-40B4-BE49-F238E27FC236}">
              <a16:creationId xmlns:a16="http://schemas.microsoft.com/office/drawing/2014/main" id="{F731A324-9439-4B49-9917-A5D271302AB3}"/>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6" name="Text Box 12" hidden="1">
          <a:extLst>
            <a:ext uri="{FF2B5EF4-FFF2-40B4-BE49-F238E27FC236}">
              <a16:creationId xmlns:a16="http://schemas.microsoft.com/office/drawing/2014/main" id="{940EAF4A-5B45-43FC-9EFE-FAC9867C357C}"/>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5" name="Text Box 11" hidden="1">
          <a:extLst>
            <a:ext uri="{FF2B5EF4-FFF2-40B4-BE49-F238E27FC236}">
              <a16:creationId xmlns:a16="http://schemas.microsoft.com/office/drawing/2014/main" id="{CB99E69D-FC54-4E53-83C0-6DCB764E9998}"/>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0" name="Text Box 16" hidden="1">
          <a:extLst>
            <a:ext uri="{FF2B5EF4-FFF2-40B4-BE49-F238E27FC236}">
              <a16:creationId xmlns:a16="http://schemas.microsoft.com/office/drawing/2014/main" id="{4E659185-8FFF-4856-B4E8-DD06AEB9E849}"/>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9" name="Text Box 15" hidden="1">
          <a:extLst>
            <a:ext uri="{FF2B5EF4-FFF2-40B4-BE49-F238E27FC236}">
              <a16:creationId xmlns:a16="http://schemas.microsoft.com/office/drawing/2014/main" id="{B94567FD-1CEF-4713-B876-04E8EE5FD6C3}"/>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8" name="Text Box 14" hidden="1">
          <a:extLst>
            <a:ext uri="{FF2B5EF4-FFF2-40B4-BE49-F238E27FC236}">
              <a16:creationId xmlns:a16="http://schemas.microsoft.com/office/drawing/2014/main" id="{DF83690E-EF73-4747-9F95-1901E315F774}"/>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3" name="Text Box 19" hidden="1">
          <a:extLst>
            <a:ext uri="{FF2B5EF4-FFF2-40B4-BE49-F238E27FC236}">
              <a16:creationId xmlns:a16="http://schemas.microsoft.com/office/drawing/2014/main" id="{0A303A15-59CD-43DB-AF8C-764E3691985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2" name="Text Box 18" hidden="1">
          <a:extLst>
            <a:ext uri="{FF2B5EF4-FFF2-40B4-BE49-F238E27FC236}">
              <a16:creationId xmlns:a16="http://schemas.microsoft.com/office/drawing/2014/main" id="{19C5F908-4132-4BA9-B0FD-F7B35016DC74}"/>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1" name="Text Box 17" hidden="1">
          <a:extLst>
            <a:ext uri="{FF2B5EF4-FFF2-40B4-BE49-F238E27FC236}">
              <a16:creationId xmlns:a16="http://schemas.microsoft.com/office/drawing/2014/main" id="{01CF4EF3-E604-418A-B600-BB577F9E83C5}"/>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6" name="Text Box 22" hidden="1">
          <a:extLst>
            <a:ext uri="{FF2B5EF4-FFF2-40B4-BE49-F238E27FC236}">
              <a16:creationId xmlns:a16="http://schemas.microsoft.com/office/drawing/2014/main" id="{9946A254-90FC-41C6-83DF-FE5E0AB5DED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5" name="Text Box 21" hidden="1">
          <a:extLst>
            <a:ext uri="{FF2B5EF4-FFF2-40B4-BE49-F238E27FC236}">
              <a16:creationId xmlns:a16="http://schemas.microsoft.com/office/drawing/2014/main" id="{F2554D94-03A4-4B6F-B938-002AE7AC04B5}"/>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4" name="Text Box 20" hidden="1">
          <a:extLst>
            <a:ext uri="{FF2B5EF4-FFF2-40B4-BE49-F238E27FC236}">
              <a16:creationId xmlns:a16="http://schemas.microsoft.com/office/drawing/2014/main" id="{4238BAAC-07CA-4ADA-B706-BAE0C0F58C5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9" name="Text Box 25" hidden="1">
          <a:extLst>
            <a:ext uri="{FF2B5EF4-FFF2-40B4-BE49-F238E27FC236}">
              <a16:creationId xmlns:a16="http://schemas.microsoft.com/office/drawing/2014/main" id="{88B357B8-6FA3-4558-B5D6-4459D5FC1F6B}"/>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8" name="Text Box 24" hidden="1">
          <a:extLst>
            <a:ext uri="{FF2B5EF4-FFF2-40B4-BE49-F238E27FC236}">
              <a16:creationId xmlns:a16="http://schemas.microsoft.com/office/drawing/2014/main" id="{9010921A-755A-4EC5-92EF-32FCAB666790}"/>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7" name="Text Box 23" hidden="1">
          <a:extLst>
            <a:ext uri="{FF2B5EF4-FFF2-40B4-BE49-F238E27FC236}">
              <a16:creationId xmlns:a16="http://schemas.microsoft.com/office/drawing/2014/main" id="{479F985F-BD47-4B06-822F-F9F1AFFBB9D3}"/>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2" name="Text Box 28" hidden="1">
          <a:extLst>
            <a:ext uri="{FF2B5EF4-FFF2-40B4-BE49-F238E27FC236}">
              <a16:creationId xmlns:a16="http://schemas.microsoft.com/office/drawing/2014/main" id="{BA03B1DF-5678-4960-86A9-90A0F62E091E}"/>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1" name="Text Box 27" hidden="1">
          <a:extLst>
            <a:ext uri="{FF2B5EF4-FFF2-40B4-BE49-F238E27FC236}">
              <a16:creationId xmlns:a16="http://schemas.microsoft.com/office/drawing/2014/main" id="{C4341359-BD0F-4BA7-9F69-8B8D500AA37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0" name="Text Box 26" hidden="1">
          <a:extLst>
            <a:ext uri="{FF2B5EF4-FFF2-40B4-BE49-F238E27FC236}">
              <a16:creationId xmlns:a16="http://schemas.microsoft.com/office/drawing/2014/main" id="{05855913-78F0-4223-8038-D305F555B84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5" name="Text Box 31" hidden="1">
          <a:extLst>
            <a:ext uri="{FF2B5EF4-FFF2-40B4-BE49-F238E27FC236}">
              <a16:creationId xmlns:a16="http://schemas.microsoft.com/office/drawing/2014/main" id="{5788BB33-76A5-4E76-822E-D9D9D8A0D61D}"/>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4" name="Text Box 30" hidden="1">
          <a:extLst>
            <a:ext uri="{FF2B5EF4-FFF2-40B4-BE49-F238E27FC236}">
              <a16:creationId xmlns:a16="http://schemas.microsoft.com/office/drawing/2014/main" id="{D77DFA6E-8790-4BAB-9DC1-3B853FF078B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3" name="Text Box 29" hidden="1">
          <a:extLst>
            <a:ext uri="{FF2B5EF4-FFF2-40B4-BE49-F238E27FC236}">
              <a16:creationId xmlns:a16="http://schemas.microsoft.com/office/drawing/2014/main" id="{A83452A6-7CBE-43F1-9998-9480FCA95423}"/>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8" name="Text Box 34" hidden="1">
          <a:extLst>
            <a:ext uri="{FF2B5EF4-FFF2-40B4-BE49-F238E27FC236}">
              <a16:creationId xmlns:a16="http://schemas.microsoft.com/office/drawing/2014/main" id="{DD413987-4369-462D-93F0-2BC704A52D7B}"/>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7" name="Text Box 33" hidden="1">
          <a:extLst>
            <a:ext uri="{FF2B5EF4-FFF2-40B4-BE49-F238E27FC236}">
              <a16:creationId xmlns:a16="http://schemas.microsoft.com/office/drawing/2014/main" id="{37D8BF58-F7E7-4445-8E61-CE41CBC3F494}"/>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6" name="Text Box 32" hidden="1">
          <a:extLst>
            <a:ext uri="{FF2B5EF4-FFF2-40B4-BE49-F238E27FC236}">
              <a16:creationId xmlns:a16="http://schemas.microsoft.com/office/drawing/2014/main" id="{B3E55306-FDCD-4EC4-B640-21B153F81C1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61" name="Text Box 37" hidden="1">
          <a:extLst>
            <a:ext uri="{FF2B5EF4-FFF2-40B4-BE49-F238E27FC236}">
              <a16:creationId xmlns:a16="http://schemas.microsoft.com/office/drawing/2014/main" id="{E7A9EFEE-8C2A-47D6-A9F1-20E33F6DACFA}"/>
            </a:ext>
          </a:extLst>
        </xdr:cNvPr>
        <xdr:cNvSpPr txBox="1">
          <a:spLocks noChangeArrowheads="1"/>
        </xdr:cNvSpPr>
      </xdr:nvSpPr>
      <xdr:spPr bwMode="auto">
        <a:xfrm>
          <a:off x="8820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60" name="Text Box 36" hidden="1">
          <a:extLst>
            <a:ext uri="{FF2B5EF4-FFF2-40B4-BE49-F238E27FC236}">
              <a16:creationId xmlns:a16="http://schemas.microsoft.com/office/drawing/2014/main" id="{62D32994-E943-436A-83B1-4727E069F05C}"/>
            </a:ext>
          </a:extLst>
        </xdr:cNvPr>
        <xdr:cNvSpPr txBox="1">
          <a:spLocks noChangeArrowheads="1"/>
        </xdr:cNvSpPr>
      </xdr:nvSpPr>
      <xdr:spPr bwMode="auto">
        <a:xfrm>
          <a:off x="11106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9" name="Text Box 35" hidden="1">
          <a:extLst>
            <a:ext uri="{FF2B5EF4-FFF2-40B4-BE49-F238E27FC236}">
              <a16:creationId xmlns:a16="http://schemas.microsoft.com/office/drawing/2014/main" id="{18568BF6-9422-4C81-85DD-255CE443CC9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274913</xdr:colOff>
      <xdr:row>74</xdr:row>
      <xdr:rowOff>478484</xdr:rowOff>
    </xdr:to>
    <xdr:sp macro="" textlink="">
      <xdr:nvSpPr>
        <xdr:cNvPr id="257064" name="Text Box 40" hidden="1">
          <a:extLst>
            <a:ext uri="{FF2B5EF4-FFF2-40B4-BE49-F238E27FC236}">
              <a16:creationId xmlns:a16="http://schemas.microsoft.com/office/drawing/2014/main" id="{36297DA4-650E-4F6F-88C8-CE992EFC0C42}"/>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478484</xdr:rowOff>
    </xdr:from>
    <xdr:to>
      <xdr:col>11</xdr:col>
      <xdr:colOff>235329</xdr:colOff>
      <xdr:row>74</xdr:row>
      <xdr:rowOff>478484</xdr:rowOff>
    </xdr:to>
    <xdr:sp macro="" textlink="">
      <xdr:nvSpPr>
        <xdr:cNvPr id="257063" name="Text Box 39" hidden="1">
          <a:extLst>
            <a:ext uri="{FF2B5EF4-FFF2-40B4-BE49-F238E27FC236}">
              <a16:creationId xmlns:a16="http://schemas.microsoft.com/office/drawing/2014/main" id="{4E60497A-51E5-4187-AF04-0665CD7AB38E}"/>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2" name="Text Box 38" hidden="1">
          <a:extLst>
            <a:ext uri="{FF2B5EF4-FFF2-40B4-BE49-F238E27FC236}">
              <a16:creationId xmlns:a16="http://schemas.microsoft.com/office/drawing/2014/main" id="{54BB827F-03CD-4D0F-914F-D43C7D038473}"/>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274913</xdr:colOff>
      <xdr:row>74</xdr:row>
      <xdr:rowOff>478484</xdr:rowOff>
    </xdr:to>
    <xdr:sp macro="" textlink="">
      <xdr:nvSpPr>
        <xdr:cNvPr id="257067" name="Text Box 43" hidden="1">
          <a:extLst>
            <a:ext uri="{FF2B5EF4-FFF2-40B4-BE49-F238E27FC236}">
              <a16:creationId xmlns:a16="http://schemas.microsoft.com/office/drawing/2014/main" id="{5F3A5D53-53DA-45F2-BD79-67EE648C059C}"/>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478484</xdr:rowOff>
    </xdr:from>
    <xdr:to>
      <xdr:col>11</xdr:col>
      <xdr:colOff>235329</xdr:colOff>
      <xdr:row>74</xdr:row>
      <xdr:rowOff>478484</xdr:rowOff>
    </xdr:to>
    <xdr:sp macro="" textlink="">
      <xdr:nvSpPr>
        <xdr:cNvPr id="257066" name="Text Box 42" hidden="1">
          <a:extLst>
            <a:ext uri="{FF2B5EF4-FFF2-40B4-BE49-F238E27FC236}">
              <a16:creationId xmlns:a16="http://schemas.microsoft.com/office/drawing/2014/main" id="{5E5D425A-4000-4EEE-96AA-9C8A51FE5992}"/>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5" name="Text Box 41" hidden="1">
          <a:extLst>
            <a:ext uri="{FF2B5EF4-FFF2-40B4-BE49-F238E27FC236}">
              <a16:creationId xmlns:a16="http://schemas.microsoft.com/office/drawing/2014/main" id="{8241E13C-659F-466F-AE44-D262041E5D72}"/>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478484</xdr:rowOff>
    </xdr:from>
    <xdr:to>
      <xdr:col>8</xdr:col>
      <xdr:colOff>287976</xdr:colOff>
      <xdr:row>74</xdr:row>
      <xdr:rowOff>478484</xdr:rowOff>
    </xdr:to>
    <xdr:sp macro="" textlink="">
      <xdr:nvSpPr>
        <xdr:cNvPr id="257070" name="Text Box 46" hidden="1">
          <a:extLst>
            <a:ext uri="{FF2B5EF4-FFF2-40B4-BE49-F238E27FC236}">
              <a16:creationId xmlns:a16="http://schemas.microsoft.com/office/drawing/2014/main" id="{6A14DC19-8F26-4B09-8118-A64C451BC9B7}"/>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69" name="Text Box 45" hidden="1">
          <a:extLst>
            <a:ext uri="{FF2B5EF4-FFF2-40B4-BE49-F238E27FC236}">
              <a16:creationId xmlns:a16="http://schemas.microsoft.com/office/drawing/2014/main" id="{5C1FCB85-77E5-4D67-A2EB-A7320B741BC0}"/>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8" name="Text Box 44" hidden="1">
          <a:extLst>
            <a:ext uri="{FF2B5EF4-FFF2-40B4-BE49-F238E27FC236}">
              <a16:creationId xmlns:a16="http://schemas.microsoft.com/office/drawing/2014/main" id="{8326F70B-86BC-49E8-9D34-15674FD14583}"/>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478484</xdr:rowOff>
    </xdr:from>
    <xdr:to>
      <xdr:col>8</xdr:col>
      <xdr:colOff>287976</xdr:colOff>
      <xdr:row>74</xdr:row>
      <xdr:rowOff>478484</xdr:rowOff>
    </xdr:to>
    <xdr:sp macro="" textlink="">
      <xdr:nvSpPr>
        <xdr:cNvPr id="257073" name="Text Box 49" hidden="1">
          <a:extLst>
            <a:ext uri="{FF2B5EF4-FFF2-40B4-BE49-F238E27FC236}">
              <a16:creationId xmlns:a16="http://schemas.microsoft.com/office/drawing/2014/main" id="{05E5D1E3-A3A7-4790-94E6-A7C37EC826E8}"/>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72" name="Text Box 48" hidden="1">
          <a:extLst>
            <a:ext uri="{FF2B5EF4-FFF2-40B4-BE49-F238E27FC236}">
              <a16:creationId xmlns:a16="http://schemas.microsoft.com/office/drawing/2014/main" id="{7FC18613-8358-4B57-99DD-0E3FED7BBEAD}"/>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71" name="Text Box 47" hidden="1">
          <a:extLst>
            <a:ext uri="{FF2B5EF4-FFF2-40B4-BE49-F238E27FC236}">
              <a16:creationId xmlns:a16="http://schemas.microsoft.com/office/drawing/2014/main" id="{534620AE-0CFC-475C-AE84-EDBFA844E61A}"/>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145465</xdr:colOff>
      <xdr:row>74</xdr:row>
      <xdr:rowOff>371728</xdr:rowOff>
    </xdr:from>
    <xdr:to>
      <xdr:col>8</xdr:col>
      <xdr:colOff>254321</xdr:colOff>
      <xdr:row>74</xdr:row>
      <xdr:rowOff>371728</xdr:rowOff>
    </xdr:to>
    <xdr:sp macro="" textlink="">
      <xdr:nvSpPr>
        <xdr:cNvPr id="257076" name="Text Box 52" hidden="1">
          <a:extLst>
            <a:ext uri="{FF2B5EF4-FFF2-40B4-BE49-F238E27FC236}">
              <a16:creationId xmlns:a16="http://schemas.microsoft.com/office/drawing/2014/main" id="{A8D1167D-3B98-498E-838B-AF237BE4C460}"/>
            </a:ext>
          </a:extLst>
        </xdr:cNvPr>
        <xdr:cNvSpPr txBox="1">
          <a:spLocks noChangeArrowheads="1"/>
        </xdr:cNvSpPr>
      </xdr:nvSpPr>
      <xdr:spPr bwMode="auto">
        <a:xfrm>
          <a:off x="909828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371728</xdr:rowOff>
    </xdr:from>
    <xdr:to>
      <xdr:col>11</xdr:col>
      <xdr:colOff>211562</xdr:colOff>
      <xdr:row>74</xdr:row>
      <xdr:rowOff>371728</xdr:rowOff>
    </xdr:to>
    <xdr:sp macro="" textlink="">
      <xdr:nvSpPr>
        <xdr:cNvPr id="257075" name="Text Box 51" hidden="1">
          <a:extLst>
            <a:ext uri="{FF2B5EF4-FFF2-40B4-BE49-F238E27FC236}">
              <a16:creationId xmlns:a16="http://schemas.microsoft.com/office/drawing/2014/main" id="{2CAFE827-43B4-43C9-9968-5006BDDA8849}"/>
            </a:ext>
          </a:extLst>
        </xdr:cNvPr>
        <xdr:cNvSpPr txBox="1">
          <a:spLocks noChangeArrowheads="1"/>
        </xdr:cNvSpPr>
      </xdr:nvSpPr>
      <xdr:spPr bwMode="auto">
        <a:xfrm>
          <a:off x="1143000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4197424</xdr:colOff>
      <xdr:row>33</xdr:row>
      <xdr:rowOff>276691</xdr:rowOff>
    </xdr:to>
    <xdr:sp macro="" textlink="">
      <xdr:nvSpPr>
        <xdr:cNvPr id="257074" name="Text Box 50" hidden="1">
          <a:extLst>
            <a:ext uri="{FF2B5EF4-FFF2-40B4-BE49-F238E27FC236}">
              <a16:creationId xmlns:a16="http://schemas.microsoft.com/office/drawing/2014/main" id="{05A4EDC0-CAC5-4A46-B5BA-4027EC1AECEF}"/>
            </a:ext>
          </a:extLst>
        </xdr:cNvPr>
        <xdr:cNvSpPr txBox="1">
          <a:spLocks noChangeArrowheads="1"/>
        </xdr:cNvSpPr>
      </xdr:nvSpPr>
      <xdr:spPr bwMode="auto">
        <a:xfrm>
          <a:off x="3421380" y="6713220"/>
          <a:ext cx="16306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371288</xdr:rowOff>
    </xdr:to>
    <xdr:sp macro="" textlink="">
      <xdr:nvSpPr>
        <xdr:cNvPr id="257077" name="Text Box 53" hidden="1">
          <a:extLst>
            <a:ext uri="{FF2B5EF4-FFF2-40B4-BE49-F238E27FC236}">
              <a16:creationId xmlns:a16="http://schemas.microsoft.com/office/drawing/2014/main" id="{596C25C8-CBAD-472D-9760-2BDF3A769F5B}"/>
            </a:ext>
          </a:extLst>
        </xdr:cNvPr>
        <xdr:cNvSpPr txBox="1">
          <a:spLocks noChangeArrowheads="1"/>
        </xdr:cNvSpPr>
      </xdr:nvSpPr>
      <xdr:spPr bwMode="auto">
        <a:xfrm>
          <a:off x="16855440" y="5273040"/>
          <a:ext cx="13335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554462</xdr:colOff>
      <xdr:row>28</xdr:row>
      <xdr:rowOff>240926</xdr:rowOff>
    </xdr:to>
    <xdr:sp macro="" textlink="">
      <xdr:nvSpPr>
        <xdr:cNvPr id="257078" name="Text Box 54" hidden="1">
          <a:extLst>
            <a:ext uri="{FF2B5EF4-FFF2-40B4-BE49-F238E27FC236}">
              <a16:creationId xmlns:a16="http://schemas.microsoft.com/office/drawing/2014/main" id="{02E8607D-8B4F-444E-AFEF-18A26FD97CD0}"/>
            </a:ext>
          </a:extLst>
        </xdr:cNvPr>
        <xdr:cNvSpPr txBox="1">
          <a:spLocks noChangeArrowheads="1"/>
        </xdr:cNvSpPr>
      </xdr:nvSpPr>
      <xdr:spPr bwMode="auto">
        <a:xfrm>
          <a:off x="16855440" y="4549140"/>
          <a:ext cx="13335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276280</xdr:rowOff>
    </xdr:to>
    <xdr:sp macro="" textlink="">
      <xdr:nvSpPr>
        <xdr:cNvPr id="257080" name="Text Box 56" hidden="1">
          <a:extLst>
            <a:ext uri="{FF2B5EF4-FFF2-40B4-BE49-F238E27FC236}">
              <a16:creationId xmlns:a16="http://schemas.microsoft.com/office/drawing/2014/main" id="{C7B0062A-6A72-47D9-84AF-5D760D232B2C}"/>
            </a:ext>
          </a:extLst>
        </xdr:cNvPr>
        <xdr:cNvSpPr txBox="1">
          <a:spLocks noChangeArrowheads="1"/>
        </xdr:cNvSpPr>
      </xdr:nvSpPr>
      <xdr:spPr bwMode="auto">
        <a:xfrm>
          <a:off x="18440400" y="17251680"/>
          <a:ext cx="1363980" cy="12649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371728</xdr:rowOff>
    </xdr:from>
    <xdr:to>
      <xdr:col>8</xdr:col>
      <xdr:colOff>249876</xdr:colOff>
      <xdr:row>74</xdr:row>
      <xdr:rowOff>371728</xdr:rowOff>
    </xdr:to>
    <xdr:sp macro="" textlink="">
      <xdr:nvSpPr>
        <xdr:cNvPr id="257086" name="Text Box 62" hidden="1">
          <a:extLst>
            <a:ext uri="{FF2B5EF4-FFF2-40B4-BE49-F238E27FC236}">
              <a16:creationId xmlns:a16="http://schemas.microsoft.com/office/drawing/2014/main" id="{ED262875-3C6F-4CCF-A0B4-225D961BFB9B}"/>
            </a:ext>
          </a:extLst>
        </xdr:cNvPr>
        <xdr:cNvSpPr txBox="1">
          <a:spLocks noChangeArrowheads="1"/>
        </xdr:cNvSpPr>
      </xdr:nvSpPr>
      <xdr:spPr bwMode="auto">
        <a:xfrm>
          <a:off x="9029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371728</xdr:rowOff>
    </xdr:from>
    <xdr:to>
      <xdr:col>11</xdr:col>
      <xdr:colOff>210292</xdr:colOff>
      <xdr:row>74</xdr:row>
      <xdr:rowOff>371728</xdr:rowOff>
    </xdr:to>
    <xdr:sp macro="" textlink="">
      <xdr:nvSpPr>
        <xdr:cNvPr id="257085" name="Text Box 61" hidden="1">
          <a:extLst>
            <a:ext uri="{FF2B5EF4-FFF2-40B4-BE49-F238E27FC236}">
              <a16:creationId xmlns:a16="http://schemas.microsoft.com/office/drawing/2014/main" id="{EA0096F3-83F9-454E-AB5A-9E2466E3F2A5}"/>
            </a:ext>
          </a:extLst>
        </xdr:cNvPr>
        <xdr:cNvSpPr txBox="1">
          <a:spLocks noChangeArrowheads="1"/>
        </xdr:cNvSpPr>
      </xdr:nvSpPr>
      <xdr:spPr bwMode="auto">
        <a:xfrm>
          <a:off x="11315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84" name="Text Box 60" hidden="1">
          <a:extLst>
            <a:ext uri="{FF2B5EF4-FFF2-40B4-BE49-F238E27FC236}">
              <a16:creationId xmlns:a16="http://schemas.microsoft.com/office/drawing/2014/main" id="{06F485A7-E077-446F-9B22-A3CFDF977281}"/>
            </a:ext>
          </a:extLst>
        </xdr:cNvPr>
        <xdr:cNvSpPr txBox="1">
          <a:spLocks noChangeArrowheads="1"/>
        </xdr:cNvSpPr>
      </xdr:nvSpPr>
      <xdr:spPr bwMode="auto">
        <a:xfrm>
          <a:off x="3390900" y="6762750"/>
          <a:ext cx="16573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3" name="Text Box 59" hidden="1">
          <a:extLst>
            <a:ext uri="{FF2B5EF4-FFF2-40B4-BE49-F238E27FC236}">
              <a16:creationId xmlns:a16="http://schemas.microsoft.com/office/drawing/2014/main" id="{95EF0680-2EA0-41C5-9026-8AC7BE90855D}"/>
            </a:ext>
          </a:extLst>
        </xdr:cNvPr>
        <xdr:cNvSpPr txBox="1">
          <a:spLocks noChangeArrowheads="1"/>
        </xdr:cNvSpPr>
      </xdr:nvSpPr>
      <xdr:spPr bwMode="auto">
        <a:xfrm>
          <a:off x="165354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2" name="Text Box 58" hidden="1">
          <a:extLst>
            <a:ext uri="{FF2B5EF4-FFF2-40B4-BE49-F238E27FC236}">
              <a16:creationId xmlns:a16="http://schemas.microsoft.com/office/drawing/2014/main" id="{0FFD1E25-EB11-46D4-A7C1-DE5B1A9B890E}"/>
            </a:ext>
          </a:extLst>
        </xdr:cNvPr>
        <xdr:cNvSpPr txBox="1">
          <a:spLocks noChangeArrowheads="1"/>
        </xdr:cNvSpPr>
      </xdr:nvSpPr>
      <xdr:spPr bwMode="auto">
        <a:xfrm>
          <a:off x="165354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249610</xdr:rowOff>
    </xdr:to>
    <xdr:sp macro="" textlink="">
      <xdr:nvSpPr>
        <xdr:cNvPr id="257081" name="Text Box 57" hidden="1">
          <a:extLst>
            <a:ext uri="{FF2B5EF4-FFF2-40B4-BE49-F238E27FC236}">
              <a16:creationId xmlns:a16="http://schemas.microsoft.com/office/drawing/2014/main" id="{B5AD0D2C-9C39-4605-AB4E-1D490CD13191}"/>
            </a:ext>
          </a:extLst>
        </xdr:cNvPr>
        <xdr:cNvSpPr txBox="1">
          <a:spLocks noChangeArrowheads="1"/>
        </xdr:cNvSpPr>
      </xdr:nvSpPr>
      <xdr:spPr bwMode="auto">
        <a:xfrm>
          <a:off x="18059400" y="17354550"/>
          <a:ext cx="133350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371728</xdr:rowOff>
    </xdr:from>
    <xdr:to>
      <xdr:col>8</xdr:col>
      <xdr:colOff>249876</xdr:colOff>
      <xdr:row>74</xdr:row>
      <xdr:rowOff>371728</xdr:rowOff>
    </xdr:to>
    <xdr:sp macro="" textlink="">
      <xdr:nvSpPr>
        <xdr:cNvPr id="257092" name="Text Box 68" hidden="1">
          <a:extLst>
            <a:ext uri="{FF2B5EF4-FFF2-40B4-BE49-F238E27FC236}">
              <a16:creationId xmlns:a16="http://schemas.microsoft.com/office/drawing/2014/main" id="{AF8B870A-8AA5-47F2-9ADB-C68DBC96ECC7}"/>
            </a:ext>
          </a:extLst>
        </xdr:cNvPr>
        <xdr:cNvSpPr txBox="1">
          <a:spLocks noChangeArrowheads="1"/>
        </xdr:cNvSpPr>
      </xdr:nvSpPr>
      <xdr:spPr bwMode="auto">
        <a:xfrm>
          <a:off x="909066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371728</xdr:rowOff>
    </xdr:from>
    <xdr:to>
      <xdr:col>11</xdr:col>
      <xdr:colOff>210292</xdr:colOff>
      <xdr:row>74</xdr:row>
      <xdr:rowOff>371728</xdr:rowOff>
    </xdr:to>
    <xdr:sp macro="" textlink="">
      <xdr:nvSpPr>
        <xdr:cNvPr id="257091" name="Text Box 67" hidden="1">
          <a:extLst>
            <a:ext uri="{FF2B5EF4-FFF2-40B4-BE49-F238E27FC236}">
              <a16:creationId xmlns:a16="http://schemas.microsoft.com/office/drawing/2014/main" id="{CAD70D59-C0F2-459C-93BB-CC430A15D291}"/>
            </a:ext>
          </a:extLst>
        </xdr:cNvPr>
        <xdr:cNvSpPr txBox="1">
          <a:spLocks noChangeArrowheads="1"/>
        </xdr:cNvSpPr>
      </xdr:nvSpPr>
      <xdr:spPr bwMode="auto">
        <a:xfrm>
          <a:off x="1142238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90" name="Text Box 66" hidden="1">
          <a:extLst>
            <a:ext uri="{FF2B5EF4-FFF2-40B4-BE49-F238E27FC236}">
              <a16:creationId xmlns:a16="http://schemas.microsoft.com/office/drawing/2014/main" id="{365F9AC4-C7D6-4296-BFA9-3FF38B77F03B}"/>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9" name="Text Box 65" hidden="1">
          <a:extLst>
            <a:ext uri="{FF2B5EF4-FFF2-40B4-BE49-F238E27FC236}">
              <a16:creationId xmlns:a16="http://schemas.microsoft.com/office/drawing/2014/main" id="{F149A5D8-8A35-438C-A9BD-8D361CA32E8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8" name="Text Box 64" hidden="1">
          <a:extLst>
            <a:ext uri="{FF2B5EF4-FFF2-40B4-BE49-F238E27FC236}">
              <a16:creationId xmlns:a16="http://schemas.microsoft.com/office/drawing/2014/main" id="{53F8BD20-C5ED-456F-8823-676AD38E91D3}"/>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249610</xdr:rowOff>
    </xdr:to>
    <xdr:sp macro="" textlink="">
      <xdr:nvSpPr>
        <xdr:cNvPr id="257087" name="Text Box 63" hidden="1">
          <a:extLst>
            <a:ext uri="{FF2B5EF4-FFF2-40B4-BE49-F238E27FC236}">
              <a16:creationId xmlns:a16="http://schemas.microsoft.com/office/drawing/2014/main" id="{BA6D4909-C54B-42C1-B42B-7664F989C2B6}"/>
            </a:ext>
          </a:extLst>
        </xdr:cNvPr>
        <xdr:cNvSpPr txBox="1">
          <a:spLocks noChangeArrowheads="1"/>
        </xdr:cNvSpPr>
      </xdr:nvSpPr>
      <xdr:spPr bwMode="auto">
        <a:xfrm>
          <a:off x="18440400" y="17251680"/>
          <a:ext cx="136398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10" name="Text Box 86" hidden="1">
          <a:extLst>
            <a:ext uri="{FF2B5EF4-FFF2-40B4-BE49-F238E27FC236}">
              <a16:creationId xmlns:a16="http://schemas.microsoft.com/office/drawing/2014/main" id="{F482FAD2-97BC-4A89-ACD4-4D610E4E44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9" name="Text Box 85" hidden="1">
          <a:extLst>
            <a:ext uri="{FF2B5EF4-FFF2-40B4-BE49-F238E27FC236}">
              <a16:creationId xmlns:a16="http://schemas.microsoft.com/office/drawing/2014/main" id="{9EA39ABC-A427-4877-81B2-FF7D7C4EF5CB}"/>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08" name="Text Box 84" hidden="1">
          <a:extLst>
            <a:ext uri="{FF2B5EF4-FFF2-40B4-BE49-F238E27FC236}">
              <a16:creationId xmlns:a16="http://schemas.microsoft.com/office/drawing/2014/main" id="{109238EC-05D4-4A27-82FE-833C27DE87E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7" name="Text Box 83" hidden="1">
          <a:extLst>
            <a:ext uri="{FF2B5EF4-FFF2-40B4-BE49-F238E27FC236}">
              <a16:creationId xmlns:a16="http://schemas.microsoft.com/office/drawing/2014/main" id="{E56545D4-9508-42FC-9837-B15A14567B7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6" name="Text Box 82" hidden="1">
          <a:extLst>
            <a:ext uri="{FF2B5EF4-FFF2-40B4-BE49-F238E27FC236}">
              <a16:creationId xmlns:a16="http://schemas.microsoft.com/office/drawing/2014/main" id="{2939EA37-DDF8-41E9-AE9B-FC712530927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105" name="Text Box 81" hidden="1">
          <a:extLst>
            <a:ext uri="{FF2B5EF4-FFF2-40B4-BE49-F238E27FC236}">
              <a16:creationId xmlns:a16="http://schemas.microsoft.com/office/drawing/2014/main" id="{5D64F758-EB2C-4FD7-B976-A2D58C802521}"/>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04" name="Text Box 80" hidden="1">
          <a:extLst>
            <a:ext uri="{FF2B5EF4-FFF2-40B4-BE49-F238E27FC236}">
              <a16:creationId xmlns:a16="http://schemas.microsoft.com/office/drawing/2014/main" id="{2DF52582-9440-46BE-B838-8BBC350C191D}"/>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3" name="Text Box 79" hidden="1">
          <a:extLst>
            <a:ext uri="{FF2B5EF4-FFF2-40B4-BE49-F238E27FC236}">
              <a16:creationId xmlns:a16="http://schemas.microsoft.com/office/drawing/2014/main" id="{957B8A20-2459-4434-836D-28B0501B847C}"/>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02" name="Text Box 78" hidden="1">
          <a:extLst>
            <a:ext uri="{FF2B5EF4-FFF2-40B4-BE49-F238E27FC236}">
              <a16:creationId xmlns:a16="http://schemas.microsoft.com/office/drawing/2014/main" id="{31DEA9C7-460E-407B-BA7B-8BDB8BB020D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1" name="Text Box 77" hidden="1">
          <a:extLst>
            <a:ext uri="{FF2B5EF4-FFF2-40B4-BE49-F238E27FC236}">
              <a16:creationId xmlns:a16="http://schemas.microsoft.com/office/drawing/2014/main" id="{8E7E3F0E-98EB-48CF-BC46-AFC3FE4AEE3F}"/>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0" name="Text Box 76" hidden="1">
          <a:extLst>
            <a:ext uri="{FF2B5EF4-FFF2-40B4-BE49-F238E27FC236}">
              <a16:creationId xmlns:a16="http://schemas.microsoft.com/office/drawing/2014/main" id="{D51E2A5C-1A56-415F-90DF-59C1F57DDC98}"/>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099" name="Text Box 75" hidden="1">
          <a:extLst>
            <a:ext uri="{FF2B5EF4-FFF2-40B4-BE49-F238E27FC236}">
              <a16:creationId xmlns:a16="http://schemas.microsoft.com/office/drawing/2014/main" id="{3476C49D-937B-4930-A583-6E14B6A0BE89}"/>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098" name="Text Box 74" hidden="1">
          <a:extLst>
            <a:ext uri="{FF2B5EF4-FFF2-40B4-BE49-F238E27FC236}">
              <a16:creationId xmlns:a16="http://schemas.microsoft.com/office/drawing/2014/main" id="{44F5701B-F7D7-443F-BD3B-17FDE925E0FE}"/>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097" name="Text Box 73" hidden="1">
          <a:extLst>
            <a:ext uri="{FF2B5EF4-FFF2-40B4-BE49-F238E27FC236}">
              <a16:creationId xmlns:a16="http://schemas.microsoft.com/office/drawing/2014/main" id="{519DEEC6-D893-497D-9BFC-CD5EBFC51E0F}"/>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96" name="Text Box 72" hidden="1">
          <a:extLst>
            <a:ext uri="{FF2B5EF4-FFF2-40B4-BE49-F238E27FC236}">
              <a16:creationId xmlns:a16="http://schemas.microsoft.com/office/drawing/2014/main" id="{42619555-8572-4D16-A8F6-BF6CED6D58F7}"/>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95" name="Text Box 71" hidden="1">
          <a:extLst>
            <a:ext uri="{FF2B5EF4-FFF2-40B4-BE49-F238E27FC236}">
              <a16:creationId xmlns:a16="http://schemas.microsoft.com/office/drawing/2014/main" id="{B33E632E-AD20-43BB-AE45-0A8143ABBC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94" name="Text Box 70" hidden="1">
          <a:extLst>
            <a:ext uri="{FF2B5EF4-FFF2-40B4-BE49-F238E27FC236}">
              <a16:creationId xmlns:a16="http://schemas.microsoft.com/office/drawing/2014/main" id="{59779769-C767-4E31-842E-EE247BD5731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093" name="Text Box 69" hidden="1">
          <a:extLst>
            <a:ext uri="{FF2B5EF4-FFF2-40B4-BE49-F238E27FC236}">
              <a16:creationId xmlns:a16="http://schemas.microsoft.com/office/drawing/2014/main" id="{E05F20D6-B533-43B3-8581-8EDB18D75F26}"/>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28" name="Text Box 104" hidden="1">
          <a:extLst>
            <a:ext uri="{FF2B5EF4-FFF2-40B4-BE49-F238E27FC236}">
              <a16:creationId xmlns:a16="http://schemas.microsoft.com/office/drawing/2014/main" id="{334FCD33-6D65-46E9-91DE-09893B56DB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7" name="Text Box 103" hidden="1">
          <a:extLst>
            <a:ext uri="{FF2B5EF4-FFF2-40B4-BE49-F238E27FC236}">
              <a16:creationId xmlns:a16="http://schemas.microsoft.com/office/drawing/2014/main" id="{4AC97C91-9A3C-447B-949D-969204591FBD}"/>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26" name="Text Box 102" hidden="1">
          <a:extLst>
            <a:ext uri="{FF2B5EF4-FFF2-40B4-BE49-F238E27FC236}">
              <a16:creationId xmlns:a16="http://schemas.microsoft.com/office/drawing/2014/main" id="{F5201CC2-7D85-4D14-A942-DDCDCFC6FD46}"/>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25" name="Text Box 101" hidden="1">
          <a:extLst>
            <a:ext uri="{FF2B5EF4-FFF2-40B4-BE49-F238E27FC236}">
              <a16:creationId xmlns:a16="http://schemas.microsoft.com/office/drawing/2014/main" id="{60EE70AD-91D2-45B6-AC74-6172A44D4D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24" name="Text Box 100" hidden="1">
          <a:extLst>
            <a:ext uri="{FF2B5EF4-FFF2-40B4-BE49-F238E27FC236}">
              <a16:creationId xmlns:a16="http://schemas.microsoft.com/office/drawing/2014/main" id="{1EABBFA6-9195-489D-B3DB-C2131C2C6FBD}"/>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23" name="Text Box 99" hidden="1">
          <a:extLst>
            <a:ext uri="{FF2B5EF4-FFF2-40B4-BE49-F238E27FC236}">
              <a16:creationId xmlns:a16="http://schemas.microsoft.com/office/drawing/2014/main" id="{63FF430A-11F1-4A07-9543-ABA89E10414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22" name="Text Box 98" hidden="1">
          <a:extLst>
            <a:ext uri="{FF2B5EF4-FFF2-40B4-BE49-F238E27FC236}">
              <a16:creationId xmlns:a16="http://schemas.microsoft.com/office/drawing/2014/main" id="{2100F805-6056-45AB-AE32-AC5DE514707A}"/>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1" name="Text Box 97" hidden="1">
          <a:extLst>
            <a:ext uri="{FF2B5EF4-FFF2-40B4-BE49-F238E27FC236}">
              <a16:creationId xmlns:a16="http://schemas.microsoft.com/office/drawing/2014/main" id="{9D2292D9-046E-49E1-89A0-7DB5ABCFDCC7}"/>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20" name="Text Box 96" hidden="1">
          <a:extLst>
            <a:ext uri="{FF2B5EF4-FFF2-40B4-BE49-F238E27FC236}">
              <a16:creationId xmlns:a16="http://schemas.microsoft.com/office/drawing/2014/main" id="{108BCA3D-FDC5-4390-92C7-48129A10F4D8}"/>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9" name="Text Box 95" hidden="1">
          <a:extLst>
            <a:ext uri="{FF2B5EF4-FFF2-40B4-BE49-F238E27FC236}">
              <a16:creationId xmlns:a16="http://schemas.microsoft.com/office/drawing/2014/main" id="{528A232C-593F-44A6-8988-DF78FA4AAA7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8" name="Text Box 94" hidden="1">
          <a:extLst>
            <a:ext uri="{FF2B5EF4-FFF2-40B4-BE49-F238E27FC236}">
              <a16:creationId xmlns:a16="http://schemas.microsoft.com/office/drawing/2014/main" id="{BD3F191C-A311-4AAA-8E3E-32841BAFF482}"/>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17" name="Text Box 93" hidden="1">
          <a:extLst>
            <a:ext uri="{FF2B5EF4-FFF2-40B4-BE49-F238E27FC236}">
              <a16:creationId xmlns:a16="http://schemas.microsoft.com/office/drawing/2014/main" id="{E12F4184-2DF7-41A0-9633-D09940E62FCD}"/>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16" name="Text Box 92" hidden="1">
          <a:extLst>
            <a:ext uri="{FF2B5EF4-FFF2-40B4-BE49-F238E27FC236}">
              <a16:creationId xmlns:a16="http://schemas.microsoft.com/office/drawing/2014/main" id="{D5B74A37-DFF6-4EAF-8224-EE85FCD6A09B}"/>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15" name="Text Box 91" hidden="1">
          <a:extLst>
            <a:ext uri="{FF2B5EF4-FFF2-40B4-BE49-F238E27FC236}">
              <a16:creationId xmlns:a16="http://schemas.microsoft.com/office/drawing/2014/main" id="{79BAE7B9-FAFA-4E00-AEA7-6FE5F73899CA}"/>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14" name="Text Box 90" hidden="1">
          <a:extLst>
            <a:ext uri="{FF2B5EF4-FFF2-40B4-BE49-F238E27FC236}">
              <a16:creationId xmlns:a16="http://schemas.microsoft.com/office/drawing/2014/main" id="{85B488F7-464B-4D1C-9190-01D17BD5710E}"/>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3" name="Text Box 89" hidden="1">
          <a:extLst>
            <a:ext uri="{FF2B5EF4-FFF2-40B4-BE49-F238E27FC236}">
              <a16:creationId xmlns:a16="http://schemas.microsoft.com/office/drawing/2014/main" id="{A8961393-CD77-4749-A61C-7E68AD4C521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2" name="Text Box 88" hidden="1">
          <a:extLst>
            <a:ext uri="{FF2B5EF4-FFF2-40B4-BE49-F238E27FC236}">
              <a16:creationId xmlns:a16="http://schemas.microsoft.com/office/drawing/2014/main" id="{85EF94C3-EF5F-4DCB-BCBC-0335AC8B43C1}"/>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11" name="Text Box 87" hidden="1">
          <a:extLst>
            <a:ext uri="{FF2B5EF4-FFF2-40B4-BE49-F238E27FC236}">
              <a16:creationId xmlns:a16="http://schemas.microsoft.com/office/drawing/2014/main" id="{0869021C-A8F7-48BF-B815-C1A8056C0E7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34" name="Text Box 110" hidden="1">
          <a:extLst>
            <a:ext uri="{FF2B5EF4-FFF2-40B4-BE49-F238E27FC236}">
              <a16:creationId xmlns:a16="http://schemas.microsoft.com/office/drawing/2014/main" id="{1590A68D-3D25-48AC-9241-4AE18D64491C}"/>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3" name="Text Box 109" hidden="1">
          <a:extLst>
            <a:ext uri="{FF2B5EF4-FFF2-40B4-BE49-F238E27FC236}">
              <a16:creationId xmlns:a16="http://schemas.microsoft.com/office/drawing/2014/main" id="{288ED32E-479A-4BEB-A9F6-EDBD5EF862E9}"/>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32" name="Text Box 108" hidden="1">
          <a:extLst>
            <a:ext uri="{FF2B5EF4-FFF2-40B4-BE49-F238E27FC236}">
              <a16:creationId xmlns:a16="http://schemas.microsoft.com/office/drawing/2014/main" id="{ED5389FA-9A17-4BBC-A337-FB1A54EE74D3}"/>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1" name="Text Box 107" hidden="1">
          <a:extLst>
            <a:ext uri="{FF2B5EF4-FFF2-40B4-BE49-F238E27FC236}">
              <a16:creationId xmlns:a16="http://schemas.microsoft.com/office/drawing/2014/main" id="{7E26A996-70F8-4C2B-8A71-72F07DBBB2A0}"/>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0" name="Text Box 106" hidden="1">
          <a:extLst>
            <a:ext uri="{FF2B5EF4-FFF2-40B4-BE49-F238E27FC236}">
              <a16:creationId xmlns:a16="http://schemas.microsoft.com/office/drawing/2014/main" id="{DD0A966B-5DF1-4778-8D1D-4AE67CDA7AD3}"/>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29" name="Text Box 105" hidden="1">
          <a:extLst>
            <a:ext uri="{FF2B5EF4-FFF2-40B4-BE49-F238E27FC236}">
              <a16:creationId xmlns:a16="http://schemas.microsoft.com/office/drawing/2014/main" id="{09BD3517-DCE0-4221-9E5A-16AB0C58D361}"/>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40" name="Text Box 116" hidden="1">
          <a:extLst>
            <a:ext uri="{FF2B5EF4-FFF2-40B4-BE49-F238E27FC236}">
              <a16:creationId xmlns:a16="http://schemas.microsoft.com/office/drawing/2014/main" id="{919A0E0D-226C-4AEF-9FF2-4AD99043150E}"/>
            </a:ext>
          </a:extLst>
        </xdr:cNvPr>
        <xdr:cNvSpPr txBox="1">
          <a:spLocks noChangeArrowheads="1"/>
        </xdr:cNvSpPr>
      </xdr:nvSpPr>
      <xdr:spPr bwMode="auto">
        <a:xfrm>
          <a:off x="909828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9" name="Text Box 115" hidden="1">
          <a:extLst>
            <a:ext uri="{FF2B5EF4-FFF2-40B4-BE49-F238E27FC236}">
              <a16:creationId xmlns:a16="http://schemas.microsoft.com/office/drawing/2014/main" id="{C9AA62C4-5160-484C-AD45-C67D1FE1D144}"/>
            </a:ext>
          </a:extLst>
        </xdr:cNvPr>
        <xdr:cNvSpPr txBox="1">
          <a:spLocks noChangeArrowheads="1"/>
        </xdr:cNvSpPr>
      </xdr:nvSpPr>
      <xdr:spPr bwMode="auto">
        <a:xfrm>
          <a:off x="1143000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38" name="Text Box 114" hidden="1">
          <a:extLst>
            <a:ext uri="{FF2B5EF4-FFF2-40B4-BE49-F238E27FC236}">
              <a16:creationId xmlns:a16="http://schemas.microsoft.com/office/drawing/2014/main" id="{53C7E674-F75D-46DC-9310-AA54FDEBC8CD}"/>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7" name="Text Box 113" hidden="1">
          <a:extLst>
            <a:ext uri="{FF2B5EF4-FFF2-40B4-BE49-F238E27FC236}">
              <a16:creationId xmlns:a16="http://schemas.microsoft.com/office/drawing/2014/main" id="{8FAC019D-AD94-46E1-9C66-96D2831A2883}"/>
            </a:ext>
          </a:extLst>
        </xdr:cNvPr>
        <xdr:cNvSpPr txBox="1">
          <a:spLocks noChangeArrowheads="1"/>
        </xdr:cNvSpPr>
      </xdr:nvSpPr>
      <xdr:spPr bwMode="auto">
        <a:xfrm>
          <a:off x="1686306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6" name="Text Box 112" hidden="1">
          <a:extLst>
            <a:ext uri="{FF2B5EF4-FFF2-40B4-BE49-F238E27FC236}">
              <a16:creationId xmlns:a16="http://schemas.microsoft.com/office/drawing/2014/main" id="{1F57F116-1C75-449C-8112-F8FC0FC566D9}"/>
            </a:ext>
          </a:extLst>
        </xdr:cNvPr>
        <xdr:cNvSpPr txBox="1">
          <a:spLocks noChangeArrowheads="1"/>
        </xdr:cNvSpPr>
      </xdr:nvSpPr>
      <xdr:spPr bwMode="auto">
        <a:xfrm>
          <a:off x="1686306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35" name="Text Box 111" hidden="1">
          <a:extLst>
            <a:ext uri="{FF2B5EF4-FFF2-40B4-BE49-F238E27FC236}">
              <a16:creationId xmlns:a16="http://schemas.microsoft.com/office/drawing/2014/main" id="{85284D39-E70A-4B91-AC6E-DAE65E189BFE}"/>
            </a:ext>
          </a:extLst>
        </xdr:cNvPr>
        <xdr:cNvSpPr txBox="1">
          <a:spLocks noChangeArrowheads="1"/>
        </xdr:cNvSpPr>
      </xdr:nvSpPr>
      <xdr:spPr bwMode="auto">
        <a:xfrm>
          <a:off x="1844802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46" name="Text Box 122" hidden="1">
          <a:extLst>
            <a:ext uri="{FF2B5EF4-FFF2-40B4-BE49-F238E27FC236}">
              <a16:creationId xmlns:a16="http://schemas.microsoft.com/office/drawing/2014/main" id="{C1618FBE-C6A8-4D1E-BFC9-ACBD6D8A587A}"/>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45" name="Text Box 121" hidden="1">
          <a:extLst>
            <a:ext uri="{FF2B5EF4-FFF2-40B4-BE49-F238E27FC236}">
              <a16:creationId xmlns:a16="http://schemas.microsoft.com/office/drawing/2014/main" id="{F1746707-BB96-434A-8561-49CEAFD7407F}"/>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44" name="Text Box 120" hidden="1">
          <a:extLst>
            <a:ext uri="{FF2B5EF4-FFF2-40B4-BE49-F238E27FC236}">
              <a16:creationId xmlns:a16="http://schemas.microsoft.com/office/drawing/2014/main" id="{AD194C3B-789E-4AB3-8823-CF9AB092F75F}"/>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3" name="Text Box 119" hidden="1">
          <a:extLst>
            <a:ext uri="{FF2B5EF4-FFF2-40B4-BE49-F238E27FC236}">
              <a16:creationId xmlns:a16="http://schemas.microsoft.com/office/drawing/2014/main" id="{EB0C2A84-0B13-4D6A-BE74-3ECAB1511B3A}"/>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2" name="Text Box 118" hidden="1">
          <a:extLst>
            <a:ext uri="{FF2B5EF4-FFF2-40B4-BE49-F238E27FC236}">
              <a16:creationId xmlns:a16="http://schemas.microsoft.com/office/drawing/2014/main" id="{2AC4D304-21FB-47D9-B0B4-631A72D35397}"/>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41" name="Text Box 117" hidden="1">
          <a:extLst>
            <a:ext uri="{FF2B5EF4-FFF2-40B4-BE49-F238E27FC236}">
              <a16:creationId xmlns:a16="http://schemas.microsoft.com/office/drawing/2014/main" id="{F0FAF444-E61D-47B9-8618-28C06B3274D7}"/>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52" name="Text Box 128" hidden="1">
          <a:extLst>
            <a:ext uri="{FF2B5EF4-FFF2-40B4-BE49-F238E27FC236}">
              <a16:creationId xmlns:a16="http://schemas.microsoft.com/office/drawing/2014/main" id="{FCB1C9CB-849E-40E6-9BCA-2334A3246467}"/>
            </a:ext>
          </a:extLst>
        </xdr:cNvPr>
        <xdr:cNvSpPr txBox="1">
          <a:spLocks noChangeArrowheads="1"/>
        </xdr:cNvSpPr>
      </xdr:nvSpPr>
      <xdr:spPr bwMode="auto">
        <a:xfrm>
          <a:off x="9017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1" name="Text Box 127" hidden="1">
          <a:extLst>
            <a:ext uri="{FF2B5EF4-FFF2-40B4-BE49-F238E27FC236}">
              <a16:creationId xmlns:a16="http://schemas.microsoft.com/office/drawing/2014/main" id="{80C1B981-29FF-41AE-96CD-8637295303EF}"/>
            </a:ext>
          </a:extLst>
        </xdr:cNvPr>
        <xdr:cNvSpPr txBox="1">
          <a:spLocks noChangeArrowheads="1"/>
        </xdr:cNvSpPr>
      </xdr:nvSpPr>
      <xdr:spPr bwMode="auto">
        <a:xfrm>
          <a:off x="11303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50" name="Text Box 126" hidden="1">
          <a:extLst>
            <a:ext uri="{FF2B5EF4-FFF2-40B4-BE49-F238E27FC236}">
              <a16:creationId xmlns:a16="http://schemas.microsoft.com/office/drawing/2014/main" id="{20FD817E-5DAB-42DD-8003-5B5A76F040E7}"/>
            </a:ext>
          </a:extLst>
        </xdr:cNvPr>
        <xdr:cNvSpPr txBox="1">
          <a:spLocks noChangeArrowheads="1"/>
        </xdr:cNvSpPr>
      </xdr:nvSpPr>
      <xdr:spPr bwMode="auto">
        <a:xfrm>
          <a:off x="3390900" y="6762750"/>
          <a:ext cx="16446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9" name="Text Box 125" hidden="1">
          <a:extLst>
            <a:ext uri="{FF2B5EF4-FFF2-40B4-BE49-F238E27FC236}">
              <a16:creationId xmlns:a16="http://schemas.microsoft.com/office/drawing/2014/main" id="{0A8948E8-A868-46D3-A4CA-2CCF6AD02A44}"/>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8" name="Text Box 124" hidden="1">
          <a:extLst>
            <a:ext uri="{FF2B5EF4-FFF2-40B4-BE49-F238E27FC236}">
              <a16:creationId xmlns:a16="http://schemas.microsoft.com/office/drawing/2014/main" id="{F5FB7346-48E1-47ED-8EFA-C3066256995A}"/>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47" name="Text Box 123" hidden="1">
          <a:extLst>
            <a:ext uri="{FF2B5EF4-FFF2-40B4-BE49-F238E27FC236}">
              <a16:creationId xmlns:a16="http://schemas.microsoft.com/office/drawing/2014/main" id="{A66D16E0-86E6-4BBF-AD06-16C592C73970}"/>
            </a:ext>
          </a:extLst>
        </xdr:cNvPr>
        <xdr:cNvSpPr txBox="1">
          <a:spLocks noChangeArrowheads="1"/>
        </xdr:cNvSpPr>
      </xdr:nvSpPr>
      <xdr:spPr bwMode="auto">
        <a:xfrm>
          <a:off x="18046700" y="175387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58" name="Text Box 134" hidden="1">
          <a:extLst>
            <a:ext uri="{FF2B5EF4-FFF2-40B4-BE49-F238E27FC236}">
              <a16:creationId xmlns:a16="http://schemas.microsoft.com/office/drawing/2014/main" id="{D93A728E-15B4-49A5-BBD0-9D2B80150A75}"/>
            </a:ext>
          </a:extLst>
        </xdr:cNvPr>
        <xdr:cNvSpPr txBox="1">
          <a:spLocks noChangeArrowheads="1"/>
        </xdr:cNvSpPr>
      </xdr:nvSpPr>
      <xdr:spPr bwMode="auto">
        <a:xfrm>
          <a:off x="878205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7" name="Text Box 133" hidden="1">
          <a:extLst>
            <a:ext uri="{FF2B5EF4-FFF2-40B4-BE49-F238E27FC236}">
              <a16:creationId xmlns:a16="http://schemas.microsoft.com/office/drawing/2014/main" id="{7830E37A-E9D2-4515-B981-461521EF186F}"/>
            </a:ext>
          </a:extLst>
        </xdr:cNvPr>
        <xdr:cNvSpPr txBox="1">
          <a:spLocks noChangeArrowheads="1"/>
        </xdr:cNvSpPr>
      </xdr:nvSpPr>
      <xdr:spPr bwMode="auto">
        <a:xfrm>
          <a:off x="1102995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56" name="Text Box 132" hidden="1">
          <a:extLst>
            <a:ext uri="{FF2B5EF4-FFF2-40B4-BE49-F238E27FC236}">
              <a16:creationId xmlns:a16="http://schemas.microsoft.com/office/drawing/2014/main" id="{35EA564A-B49D-4B02-BEFB-DB8CBC5DC067}"/>
            </a:ext>
          </a:extLst>
        </xdr:cNvPr>
        <xdr:cNvSpPr txBox="1">
          <a:spLocks noChangeArrowheads="1"/>
        </xdr:cNvSpPr>
      </xdr:nvSpPr>
      <xdr:spPr bwMode="auto">
        <a:xfrm>
          <a:off x="3390900" y="6734175"/>
          <a:ext cx="14859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55" name="Text Box 131" hidden="1">
          <a:extLst>
            <a:ext uri="{FF2B5EF4-FFF2-40B4-BE49-F238E27FC236}">
              <a16:creationId xmlns:a16="http://schemas.microsoft.com/office/drawing/2014/main" id="{8EDE1E9D-C605-4B4F-AE27-ECB443C82C51}"/>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54" name="Text Box 130" hidden="1">
          <a:extLst>
            <a:ext uri="{FF2B5EF4-FFF2-40B4-BE49-F238E27FC236}">
              <a16:creationId xmlns:a16="http://schemas.microsoft.com/office/drawing/2014/main" id="{93141F4C-C21A-4F14-99FC-411FF6C1E873}"/>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53" name="Text Box 129" hidden="1">
          <a:extLst>
            <a:ext uri="{FF2B5EF4-FFF2-40B4-BE49-F238E27FC236}">
              <a16:creationId xmlns:a16="http://schemas.microsoft.com/office/drawing/2014/main" id="{43895AEC-41F4-45CF-A994-06112E5A1478}"/>
            </a:ext>
          </a:extLst>
        </xdr:cNvPr>
        <xdr:cNvSpPr txBox="1">
          <a:spLocks noChangeArrowheads="1"/>
        </xdr:cNvSpPr>
      </xdr:nvSpPr>
      <xdr:spPr bwMode="auto">
        <a:xfrm>
          <a:off x="1777365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57164" name="Text Box 140" hidden="1">
          <a:extLst>
            <a:ext uri="{FF2B5EF4-FFF2-40B4-BE49-F238E27FC236}">
              <a16:creationId xmlns:a16="http://schemas.microsoft.com/office/drawing/2014/main" id="{747C0FB6-050D-4FB5-8EF1-9B1F65B39EE4}"/>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57163" name="Text Box 139" hidden="1">
          <a:extLst>
            <a:ext uri="{FF2B5EF4-FFF2-40B4-BE49-F238E27FC236}">
              <a16:creationId xmlns:a16="http://schemas.microsoft.com/office/drawing/2014/main" id="{AA4DDC66-231B-43CE-9FF0-C46963B7754A}"/>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61" name="Text Box 137" hidden="1">
          <a:extLst>
            <a:ext uri="{FF2B5EF4-FFF2-40B4-BE49-F238E27FC236}">
              <a16:creationId xmlns:a16="http://schemas.microsoft.com/office/drawing/2014/main" id="{6822B5F3-6DDB-4E98-917C-B9017A689178}"/>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60" name="Text Box 136" hidden="1">
          <a:extLst>
            <a:ext uri="{FF2B5EF4-FFF2-40B4-BE49-F238E27FC236}">
              <a16:creationId xmlns:a16="http://schemas.microsoft.com/office/drawing/2014/main" id="{4B921095-8199-4311-9F92-48CD818D993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57159" name="Text Box 135" hidden="1">
          <a:extLst>
            <a:ext uri="{FF2B5EF4-FFF2-40B4-BE49-F238E27FC236}">
              <a16:creationId xmlns:a16="http://schemas.microsoft.com/office/drawing/2014/main" id="{ADC60E7E-77A4-4844-8D5C-1C2A44627E76}"/>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57165" name="Text Box 141" hidden="1">
          <a:extLst>
            <a:ext uri="{FF2B5EF4-FFF2-40B4-BE49-F238E27FC236}">
              <a16:creationId xmlns:a16="http://schemas.microsoft.com/office/drawing/2014/main" id="{3FF23CC8-18F0-4C3E-B36E-B4C00B7F8F04}"/>
            </a:ext>
          </a:extLst>
        </xdr:cNvPr>
        <xdr:cNvSpPr txBox="1">
          <a:spLocks noChangeArrowheads="1"/>
        </xdr:cNvSpPr>
      </xdr:nvSpPr>
      <xdr:spPr bwMode="auto">
        <a:xfrm>
          <a:off x="17849850" y="3343275"/>
          <a:ext cx="12954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57166" name="Text Box 142" hidden="1">
          <a:extLst>
            <a:ext uri="{FF2B5EF4-FFF2-40B4-BE49-F238E27FC236}">
              <a16:creationId xmlns:a16="http://schemas.microsoft.com/office/drawing/2014/main" id="{635273FE-A697-4789-9432-B5E7848AD005}"/>
            </a:ext>
          </a:extLst>
        </xdr:cNvPr>
        <xdr:cNvSpPr txBox="1">
          <a:spLocks noChangeArrowheads="1"/>
        </xdr:cNvSpPr>
      </xdr:nvSpPr>
      <xdr:spPr bwMode="auto">
        <a:xfrm>
          <a:off x="4133850" y="611505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15" name="Text Box 7" hidden="1">
          <a:extLst>
            <a:ext uri="{FF2B5EF4-FFF2-40B4-BE49-F238E27FC236}">
              <a16:creationId xmlns:a16="http://schemas.microsoft.com/office/drawing/2014/main" id="{72E7DA07-1F39-4171-8F05-C1E10C1AA6A8}"/>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14" name="Text Box 6" hidden="1">
          <a:extLst>
            <a:ext uri="{FF2B5EF4-FFF2-40B4-BE49-F238E27FC236}">
              <a16:creationId xmlns:a16="http://schemas.microsoft.com/office/drawing/2014/main" id="{1F74E6F8-1F70-44F1-91C0-F265DA7A7F07}"/>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13" name="Text Box 5" hidden="1">
          <a:extLst>
            <a:ext uri="{FF2B5EF4-FFF2-40B4-BE49-F238E27FC236}">
              <a16:creationId xmlns:a16="http://schemas.microsoft.com/office/drawing/2014/main" id="{1CFE5B4C-A6A5-4E00-B1F0-582C646E6FDF}"/>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2" name="Text Box 4" hidden="1">
          <a:extLst>
            <a:ext uri="{FF2B5EF4-FFF2-40B4-BE49-F238E27FC236}">
              <a16:creationId xmlns:a16="http://schemas.microsoft.com/office/drawing/2014/main" id="{00A2BDF7-D3D6-4057-BABB-1979110FE52F}"/>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1" name="Text Box 3" hidden="1">
          <a:extLst>
            <a:ext uri="{FF2B5EF4-FFF2-40B4-BE49-F238E27FC236}">
              <a16:creationId xmlns:a16="http://schemas.microsoft.com/office/drawing/2014/main" id="{97329995-FEB3-4544-8F2B-8C5EE4FBDA2F}"/>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0" name="Text Box 2" hidden="1">
          <a:extLst>
            <a:ext uri="{FF2B5EF4-FFF2-40B4-BE49-F238E27FC236}">
              <a16:creationId xmlns:a16="http://schemas.microsoft.com/office/drawing/2014/main" id="{9DB6E285-7B1A-4645-AF3A-C0E2B97E743B}"/>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09" name="Text Box 1" hidden="1">
          <a:extLst>
            <a:ext uri="{FF2B5EF4-FFF2-40B4-BE49-F238E27FC236}">
              <a16:creationId xmlns:a16="http://schemas.microsoft.com/office/drawing/2014/main" id="{078C7C1E-D8FE-42E2-99E9-00F7CD98AF67}"/>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22" name="Text Box 14" hidden="1">
          <a:extLst>
            <a:ext uri="{FF2B5EF4-FFF2-40B4-BE49-F238E27FC236}">
              <a16:creationId xmlns:a16="http://schemas.microsoft.com/office/drawing/2014/main" id="{6148C1DE-6A46-4B34-975C-45245F14F1B0}"/>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21" name="Text Box 13" hidden="1">
          <a:extLst>
            <a:ext uri="{FF2B5EF4-FFF2-40B4-BE49-F238E27FC236}">
              <a16:creationId xmlns:a16="http://schemas.microsoft.com/office/drawing/2014/main" id="{9AF86D6E-E715-4725-8350-E875719592A3}"/>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0" name="Text Box 12" hidden="1">
          <a:extLst>
            <a:ext uri="{FF2B5EF4-FFF2-40B4-BE49-F238E27FC236}">
              <a16:creationId xmlns:a16="http://schemas.microsoft.com/office/drawing/2014/main" id="{02FE1826-2AE8-4974-AD1C-7C44EF9417B2}"/>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9" name="Text Box 11" hidden="1">
          <a:extLst>
            <a:ext uri="{FF2B5EF4-FFF2-40B4-BE49-F238E27FC236}">
              <a16:creationId xmlns:a16="http://schemas.microsoft.com/office/drawing/2014/main" id="{52D06EBC-E320-4A52-81DB-BEA32E36D14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8" name="Text Box 10" hidden="1">
          <a:extLst>
            <a:ext uri="{FF2B5EF4-FFF2-40B4-BE49-F238E27FC236}">
              <a16:creationId xmlns:a16="http://schemas.microsoft.com/office/drawing/2014/main" id="{EB10DF0E-6CC2-439A-B40D-C22FEE1005E1}"/>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7" name="Text Box 9" hidden="1">
          <a:extLst>
            <a:ext uri="{FF2B5EF4-FFF2-40B4-BE49-F238E27FC236}">
              <a16:creationId xmlns:a16="http://schemas.microsoft.com/office/drawing/2014/main" id="{DF3FCEE2-5D06-44D7-84EB-A2FF4AA31E98}"/>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16" name="Text Box 8" hidden="1">
          <a:extLst>
            <a:ext uri="{FF2B5EF4-FFF2-40B4-BE49-F238E27FC236}">
              <a16:creationId xmlns:a16="http://schemas.microsoft.com/office/drawing/2014/main" id="{31E1DEC3-3D5B-4A48-A538-02CD0A217DF0}"/>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29" name="Text Box 21" hidden="1">
          <a:extLst>
            <a:ext uri="{FF2B5EF4-FFF2-40B4-BE49-F238E27FC236}">
              <a16:creationId xmlns:a16="http://schemas.microsoft.com/office/drawing/2014/main" id="{C01C75E8-49E5-49D0-AE54-A995CFAC89F4}"/>
            </a:ext>
          </a:extLst>
        </xdr:cNvPr>
        <xdr:cNvSpPr txBox="1">
          <a:spLocks noChangeArrowheads="1"/>
        </xdr:cNvSpPr>
      </xdr:nvSpPr>
      <xdr:spPr bwMode="auto">
        <a:xfrm>
          <a:off x="9017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28" name="Text Box 20" hidden="1">
          <a:extLst>
            <a:ext uri="{FF2B5EF4-FFF2-40B4-BE49-F238E27FC236}">
              <a16:creationId xmlns:a16="http://schemas.microsoft.com/office/drawing/2014/main" id="{E087E503-842D-4D7D-B75F-FB78B050DD43}"/>
            </a:ext>
          </a:extLst>
        </xdr:cNvPr>
        <xdr:cNvSpPr txBox="1">
          <a:spLocks noChangeArrowheads="1"/>
        </xdr:cNvSpPr>
      </xdr:nvSpPr>
      <xdr:spPr bwMode="auto">
        <a:xfrm>
          <a:off x="11303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7" name="Text Box 19" hidden="1">
          <a:extLst>
            <a:ext uri="{FF2B5EF4-FFF2-40B4-BE49-F238E27FC236}">
              <a16:creationId xmlns:a16="http://schemas.microsoft.com/office/drawing/2014/main" id="{933DF242-8FD9-41B5-BC6E-1A6A8B35F07F}"/>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26" name="Text Box 18" hidden="1">
          <a:extLst>
            <a:ext uri="{FF2B5EF4-FFF2-40B4-BE49-F238E27FC236}">
              <a16:creationId xmlns:a16="http://schemas.microsoft.com/office/drawing/2014/main" id="{6A532F64-892B-4773-8924-0DC57EAA40F5}"/>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25" name="Text Box 17" hidden="1">
          <a:extLst>
            <a:ext uri="{FF2B5EF4-FFF2-40B4-BE49-F238E27FC236}">
              <a16:creationId xmlns:a16="http://schemas.microsoft.com/office/drawing/2014/main" id="{C20793F8-B6F5-44F4-BD88-6139B98E7A68}"/>
            </a:ext>
          </a:extLst>
        </xdr:cNvPr>
        <xdr:cNvSpPr txBox="1">
          <a:spLocks noChangeArrowheads="1"/>
        </xdr:cNvSpPr>
      </xdr:nvSpPr>
      <xdr:spPr bwMode="auto">
        <a:xfrm>
          <a:off x="18046700" y="154559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24" name="Text Box 16" hidden="1">
          <a:extLst>
            <a:ext uri="{FF2B5EF4-FFF2-40B4-BE49-F238E27FC236}">
              <a16:creationId xmlns:a16="http://schemas.microsoft.com/office/drawing/2014/main" id="{FAF79D2E-A32F-4EE2-A454-9769297A93D8}"/>
            </a:ext>
          </a:extLst>
        </xdr:cNvPr>
        <xdr:cNvSpPr txBox="1">
          <a:spLocks noChangeArrowheads="1"/>
        </xdr:cNvSpPr>
      </xdr:nvSpPr>
      <xdr:spPr bwMode="auto">
        <a:xfrm>
          <a:off x="181229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23" name="Text Box 15" hidden="1">
          <a:extLst>
            <a:ext uri="{FF2B5EF4-FFF2-40B4-BE49-F238E27FC236}">
              <a16:creationId xmlns:a16="http://schemas.microsoft.com/office/drawing/2014/main" id="{7C043F31-68E5-498C-AA82-74D5B42E623F}"/>
            </a:ext>
          </a:extLst>
        </xdr:cNvPr>
        <xdr:cNvSpPr txBox="1">
          <a:spLocks noChangeArrowheads="1"/>
        </xdr:cNvSpPr>
      </xdr:nvSpPr>
      <xdr:spPr bwMode="auto">
        <a:xfrm>
          <a:off x="4292600" y="6140450"/>
          <a:ext cx="12763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145607</xdr:rowOff>
    </xdr:from>
    <xdr:to>
      <xdr:col>8</xdr:col>
      <xdr:colOff>239774</xdr:colOff>
      <xdr:row>64</xdr:row>
      <xdr:rowOff>145607</xdr:rowOff>
    </xdr:to>
    <xdr:sp macro="" textlink="">
      <xdr:nvSpPr>
        <xdr:cNvPr id="299036" name="Text Box 28" hidden="1">
          <a:extLst>
            <a:ext uri="{FF2B5EF4-FFF2-40B4-BE49-F238E27FC236}">
              <a16:creationId xmlns:a16="http://schemas.microsoft.com/office/drawing/2014/main" id="{399819B4-63B2-4C2E-A12E-82E385610B26}"/>
            </a:ext>
          </a:extLst>
        </xdr:cNvPr>
        <xdr:cNvSpPr txBox="1">
          <a:spLocks noChangeArrowheads="1"/>
        </xdr:cNvSpPr>
      </xdr:nvSpPr>
      <xdr:spPr bwMode="auto">
        <a:xfrm>
          <a:off x="9004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145607</xdr:rowOff>
    </xdr:from>
    <xdr:to>
      <xdr:col>11</xdr:col>
      <xdr:colOff>200190</xdr:colOff>
      <xdr:row>64</xdr:row>
      <xdr:rowOff>145607</xdr:rowOff>
    </xdr:to>
    <xdr:sp macro="" textlink="">
      <xdr:nvSpPr>
        <xdr:cNvPr id="299035" name="Text Box 27" hidden="1">
          <a:extLst>
            <a:ext uri="{FF2B5EF4-FFF2-40B4-BE49-F238E27FC236}">
              <a16:creationId xmlns:a16="http://schemas.microsoft.com/office/drawing/2014/main" id="{7B25B8C6-8CA8-4524-8A92-6D95865C5C17}"/>
            </a:ext>
          </a:extLst>
        </xdr:cNvPr>
        <xdr:cNvSpPr txBox="1">
          <a:spLocks noChangeArrowheads="1"/>
        </xdr:cNvSpPr>
      </xdr:nvSpPr>
      <xdr:spPr bwMode="auto">
        <a:xfrm>
          <a:off x="11290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34" name="Text Box 26" hidden="1">
          <a:extLst>
            <a:ext uri="{FF2B5EF4-FFF2-40B4-BE49-F238E27FC236}">
              <a16:creationId xmlns:a16="http://schemas.microsoft.com/office/drawing/2014/main" id="{B622A327-F58C-45AA-B45E-2EAB2034AE26}"/>
            </a:ext>
          </a:extLst>
        </xdr:cNvPr>
        <xdr:cNvSpPr txBox="1">
          <a:spLocks noChangeArrowheads="1"/>
        </xdr:cNvSpPr>
      </xdr:nvSpPr>
      <xdr:spPr bwMode="auto">
        <a:xfrm>
          <a:off x="164719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33" name="Text Box 25" hidden="1">
          <a:extLst>
            <a:ext uri="{FF2B5EF4-FFF2-40B4-BE49-F238E27FC236}">
              <a16:creationId xmlns:a16="http://schemas.microsoft.com/office/drawing/2014/main" id="{CE4DDC36-7821-424A-8E7E-0907A6AFA839}"/>
            </a:ext>
          </a:extLst>
        </xdr:cNvPr>
        <xdr:cNvSpPr txBox="1">
          <a:spLocks noChangeArrowheads="1"/>
        </xdr:cNvSpPr>
      </xdr:nvSpPr>
      <xdr:spPr bwMode="auto">
        <a:xfrm>
          <a:off x="164719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31" name="Text Box 23" hidden="1">
          <a:extLst>
            <a:ext uri="{FF2B5EF4-FFF2-40B4-BE49-F238E27FC236}">
              <a16:creationId xmlns:a16="http://schemas.microsoft.com/office/drawing/2014/main" id="{53646557-6862-4D30-8D35-1A1FB8DC0488}"/>
            </a:ext>
          </a:extLst>
        </xdr:cNvPr>
        <xdr:cNvSpPr txBox="1">
          <a:spLocks noChangeArrowheads="1"/>
        </xdr:cNvSpPr>
      </xdr:nvSpPr>
      <xdr:spPr bwMode="auto">
        <a:xfrm>
          <a:off x="181102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30" name="Text Box 22" hidden="1">
          <a:extLst>
            <a:ext uri="{FF2B5EF4-FFF2-40B4-BE49-F238E27FC236}">
              <a16:creationId xmlns:a16="http://schemas.microsoft.com/office/drawing/2014/main" id="{33645079-28BC-4576-A56A-BDAF11ED0110}"/>
            </a:ext>
          </a:extLst>
        </xdr:cNvPr>
        <xdr:cNvSpPr txBox="1">
          <a:spLocks noChangeArrowheads="1"/>
        </xdr:cNvSpPr>
      </xdr:nvSpPr>
      <xdr:spPr bwMode="auto">
        <a:xfrm>
          <a:off x="4229100" y="6121400"/>
          <a:ext cx="13271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103256</xdr:rowOff>
    </xdr:from>
    <xdr:to>
      <xdr:col>2</xdr:col>
      <xdr:colOff>7093</xdr:colOff>
      <xdr:row>78</xdr:row>
      <xdr:rowOff>103256</xdr:rowOff>
    </xdr:to>
    <xdr:sp macro="" textlink="">
      <xdr:nvSpPr>
        <xdr:cNvPr id="299045" name="Text Box 37" hidden="1">
          <a:extLst>
            <a:ext uri="{FF2B5EF4-FFF2-40B4-BE49-F238E27FC236}">
              <a16:creationId xmlns:a16="http://schemas.microsoft.com/office/drawing/2014/main" id="{21738633-7086-423A-9D22-F9662922E6FC}"/>
            </a:ext>
          </a:extLst>
        </xdr:cNvPr>
        <xdr:cNvSpPr txBox="1">
          <a:spLocks noChangeArrowheads="1"/>
        </xdr:cNvSpPr>
      </xdr:nvSpPr>
      <xdr:spPr bwMode="auto">
        <a:xfrm>
          <a:off x="4248150" y="20421600"/>
          <a:ext cx="1346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59</xdr:row>
      <xdr:rowOff>78157</xdr:rowOff>
    </xdr:from>
    <xdr:to>
      <xdr:col>20</xdr:col>
      <xdr:colOff>657390</xdr:colOff>
      <xdr:row>62</xdr:row>
      <xdr:rowOff>322242</xdr:rowOff>
    </xdr:to>
    <xdr:sp macro="" textlink="">
      <xdr:nvSpPr>
        <xdr:cNvPr id="299046" name="Text Box 38" hidden="1">
          <a:extLst>
            <a:ext uri="{FF2B5EF4-FFF2-40B4-BE49-F238E27FC236}">
              <a16:creationId xmlns:a16="http://schemas.microsoft.com/office/drawing/2014/main" id="{ADD25145-6168-4E72-89E5-A3A438F40E35}"/>
            </a:ext>
          </a:extLst>
        </xdr:cNvPr>
        <xdr:cNvSpPr txBox="1">
          <a:spLocks noChangeArrowheads="1"/>
        </xdr:cNvSpPr>
      </xdr:nvSpPr>
      <xdr:spPr bwMode="auto">
        <a:xfrm>
          <a:off x="18910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59</xdr:row>
      <xdr:rowOff>78157</xdr:rowOff>
    </xdr:from>
    <xdr:to>
      <xdr:col>24</xdr:col>
      <xdr:colOff>657390</xdr:colOff>
      <xdr:row>62</xdr:row>
      <xdr:rowOff>322242</xdr:rowOff>
    </xdr:to>
    <xdr:sp macro="" textlink="">
      <xdr:nvSpPr>
        <xdr:cNvPr id="299047" name="Text Box 39" hidden="1">
          <a:extLst>
            <a:ext uri="{FF2B5EF4-FFF2-40B4-BE49-F238E27FC236}">
              <a16:creationId xmlns:a16="http://schemas.microsoft.com/office/drawing/2014/main" id="{39C80203-6992-4E71-83AE-745B344F33D7}"/>
            </a:ext>
          </a:extLst>
        </xdr:cNvPr>
        <xdr:cNvSpPr txBox="1">
          <a:spLocks noChangeArrowheads="1"/>
        </xdr:cNvSpPr>
      </xdr:nvSpPr>
      <xdr:spPr bwMode="auto">
        <a:xfrm>
          <a:off x="21958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59</xdr:row>
      <xdr:rowOff>78157</xdr:rowOff>
    </xdr:from>
    <xdr:to>
      <xdr:col>28</xdr:col>
      <xdr:colOff>657390</xdr:colOff>
      <xdr:row>62</xdr:row>
      <xdr:rowOff>322242</xdr:rowOff>
    </xdr:to>
    <xdr:sp macro="" textlink="">
      <xdr:nvSpPr>
        <xdr:cNvPr id="299048" name="Text Box 40" hidden="1">
          <a:extLst>
            <a:ext uri="{FF2B5EF4-FFF2-40B4-BE49-F238E27FC236}">
              <a16:creationId xmlns:a16="http://schemas.microsoft.com/office/drawing/2014/main" id="{4C7E5085-5C2B-4F2D-936E-DA7D20D47D08}"/>
            </a:ext>
          </a:extLst>
        </xdr:cNvPr>
        <xdr:cNvSpPr txBox="1">
          <a:spLocks noChangeArrowheads="1"/>
        </xdr:cNvSpPr>
      </xdr:nvSpPr>
      <xdr:spPr bwMode="auto">
        <a:xfrm>
          <a:off x="25006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145607</xdr:rowOff>
    </xdr:from>
    <xdr:to>
      <xdr:col>8</xdr:col>
      <xdr:colOff>239774</xdr:colOff>
      <xdr:row>64</xdr:row>
      <xdr:rowOff>145607</xdr:rowOff>
    </xdr:to>
    <xdr:sp macro="" textlink="">
      <xdr:nvSpPr>
        <xdr:cNvPr id="299058" name="Text Box 50" hidden="1">
          <a:extLst>
            <a:ext uri="{FF2B5EF4-FFF2-40B4-BE49-F238E27FC236}">
              <a16:creationId xmlns:a16="http://schemas.microsoft.com/office/drawing/2014/main" id="{E56C2B9F-DBBC-401A-95EB-56FE448109E4}"/>
            </a:ext>
          </a:extLst>
        </xdr:cNvPr>
        <xdr:cNvSpPr txBox="1">
          <a:spLocks noChangeArrowheads="1"/>
        </xdr:cNvSpPr>
      </xdr:nvSpPr>
      <xdr:spPr bwMode="auto">
        <a:xfrm>
          <a:off x="8734425" y="15621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145607</xdr:rowOff>
    </xdr:from>
    <xdr:to>
      <xdr:col>11</xdr:col>
      <xdr:colOff>200190</xdr:colOff>
      <xdr:row>64</xdr:row>
      <xdr:rowOff>145607</xdr:rowOff>
    </xdr:to>
    <xdr:sp macro="" textlink="">
      <xdr:nvSpPr>
        <xdr:cNvPr id="299057" name="Text Box 49" hidden="1">
          <a:extLst>
            <a:ext uri="{FF2B5EF4-FFF2-40B4-BE49-F238E27FC236}">
              <a16:creationId xmlns:a16="http://schemas.microsoft.com/office/drawing/2014/main" id="{180E7C2F-B5AB-4B2F-86EE-62B520B33503}"/>
            </a:ext>
          </a:extLst>
        </xdr:cNvPr>
        <xdr:cNvSpPr txBox="1">
          <a:spLocks noChangeArrowheads="1"/>
        </xdr:cNvSpPr>
      </xdr:nvSpPr>
      <xdr:spPr bwMode="auto">
        <a:xfrm>
          <a:off x="10982325" y="15621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56" name="Text Box 48" hidden="1">
          <a:extLst>
            <a:ext uri="{FF2B5EF4-FFF2-40B4-BE49-F238E27FC236}">
              <a16:creationId xmlns:a16="http://schemas.microsoft.com/office/drawing/2014/main" id="{6D762BA8-5008-4773-880D-F2E6AFA7C36A}"/>
            </a:ext>
          </a:extLst>
        </xdr:cNvPr>
        <xdr:cNvSpPr txBox="1">
          <a:spLocks noChangeArrowheads="1"/>
        </xdr:cNvSpPr>
      </xdr:nvSpPr>
      <xdr:spPr bwMode="auto">
        <a:xfrm>
          <a:off x="16163925" y="5295900"/>
          <a:ext cx="13335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55" name="Text Box 47" hidden="1">
          <a:extLst>
            <a:ext uri="{FF2B5EF4-FFF2-40B4-BE49-F238E27FC236}">
              <a16:creationId xmlns:a16="http://schemas.microsoft.com/office/drawing/2014/main" id="{230EB62E-4C78-41E6-B5C1-734CA29DD0DD}"/>
            </a:ext>
          </a:extLst>
        </xdr:cNvPr>
        <xdr:cNvSpPr txBox="1">
          <a:spLocks noChangeArrowheads="1"/>
        </xdr:cNvSpPr>
      </xdr:nvSpPr>
      <xdr:spPr bwMode="auto">
        <a:xfrm>
          <a:off x="16163925" y="457200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54" name="Text Box 46" hidden="1">
          <a:extLst>
            <a:ext uri="{FF2B5EF4-FFF2-40B4-BE49-F238E27FC236}">
              <a16:creationId xmlns:a16="http://schemas.microsoft.com/office/drawing/2014/main" id="{1BAB6882-EA83-4697-9ECB-A90D89E44E35}"/>
            </a:ext>
          </a:extLst>
        </xdr:cNvPr>
        <xdr:cNvSpPr txBox="1">
          <a:spLocks noChangeArrowheads="1"/>
        </xdr:cNvSpPr>
      </xdr:nvSpPr>
      <xdr:spPr bwMode="auto">
        <a:xfrm>
          <a:off x="17802225"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53" name="Text Box 45" hidden="1">
          <a:extLst>
            <a:ext uri="{FF2B5EF4-FFF2-40B4-BE49-F238E27FC236}">
              <a16:creationId xmlns:a16="http://schemas.microsoft.com/office/drawing/2014/main" id="{82BC4430-CB01-4C05-8F04-42531DC8AD52}"/>
            </a:ext>
          </a:extLst>
        </xdr:cNvPr>
        <xdr:cNvSpPr txBox="1">
          <a:spLocks noChangeArrowheads="1"/>
        </xdr:cNvSpPr>
      </xdr:nvSpPr>
      <xdr:spPr bwMode="auto">
        <a:xfrm>
          <a:off x="4229100" y="6096000"/>
          <a:ext cx="11334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103256</xdr:rowOff>
    </xdr:from>
    <xdr:to>
      <xdr:col>2</xdr:col>
      <xdr:colOff>7093</xdr:colOff>
      <xdr:row>78</xdr:row>
      <xdr:rowOff>103256</xdr:rowOff>
    </xdr:to>
    <xdr:sp macro="" textlink="">
      <xdr:nvSpPr>
        <xdr:cNvPr id="299052" name="Text Box 44" hidden="1">
          <a:extLst>
            <a:ext uri="{FF2B5EF4-FFF2-40B4-BE49-F238E27FC236}">
              <a16:creationId xmlns:a16="http://schemas.microsoft.com/office/drawing/2014/main" id="{E4BEFD25-3D72-4434-802A-69937C1E5F8D}"/>
            </a:ext>
          </a:extLst>
        </xdr:cNvPr>
        <xdr:cNvSpPr txBox="1">
          <a:spLocks noChangeArrowheads="1"/>
        </xdr:cNvSpPr>
      </xdr:nvSpPr>
      <xdr:spPr bwMode="auto">
        <a:xfrm>
          <a:off x="4248150" y="20488275"/>
          <a:ext cx="11525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59</xdr:row>
      <xdr:rowOff>78157</xdr:rowOff>
    </xdr:from>
    <xdr:to>
      <xdr:col>20</xdr:col>
      <xdr:colOff>657390</xdr:colOff>
      <xdr:row>62</xdr:row>
      <xdr:rowOff>322242</xdr:rowOff>
    </xdr:to>
    <xdr:sp macro="" textlink="">
      <xdr:nvSpPr>
        <xdr:cNvPr id="299051" name="Text Box 43" hidden="1">
          <a:extLst>
            <a:ext uri="{FF2B5EF4-FFF2-40B4-BE49-F238E27FC236}">
              <a16:creationId xmlns:a16="http://schemas.microsoft.com/office/drawing/2014/main" id="{0C9C38DE-FC5A-4AA3-AE62-97AF37FB57A5}"/>
            </a:ext>
          </a:extLst>
        </xdr:cNvPr>
        <xdr:cNvSpPr txBox="1">
          <a:spLocks noChangeArrowheads="1"/>
        </xdr:cNvSpPr>
      </xdr:nvSpPr>
      <xdr:spPr bwMode="auto">
        <a:xfrm>
          <a:off x="18602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59</xdr:row>
      <xdr:rowOff>78157</xdr:rowOff>
    </xdr:from>
    <xdr:to>
      <xdr:col>24</xdr:col>
      <xdr:colOff>657390</xdr:colOff>
      <xdr:row>62</xdr:row>
      <xdr:rowOff>322242</xdr:rowOff>
    </xdr:to>
    <xdr:sp macro="" textlink="">
      <xdr:nvSpPr>
        <xdr:cNvPr id="299050" name="Text Box 42" hidden="1">
          <a:extLst>
            <a:ext uri="{FF2B5EF4-FFF2-40B4-BE49-F238E27FC236}">
              <a16:creationId xmlns:a16="http://schemas.microsoft.com/office/drawing/2014/main" id="{1CAACE1E-3B7F-49A2-9E19-8887E7880B19}"/>
            </a:ext>
          </a:extLst>
        </xdr:cNvPr>
        <xdr:cNvSpPr txBox="1">
          <a:spLocks noChangeArrowheads="1"/>
        </xdr:cNvSpPr>
      </xdr:nvSpPr>
      <xdr:spPr bwMode="auto">
        <a:xfrm>
          <a:off x="21650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59</xdr:row>
      <xdr:rowOff>78157</xdr:rowOff>
    </xdr:from>
    <xdr:to>
      <xdr:col>28</xdr:col>
      <xdr:colOff>657390</xdr:colOff>
      <xdr:row>62</xdr:row>
      <xdr:rowOff>322242</xdr:rowOff>
    </xdr:to>
    <xdr:sp macro="" textlink="">
      <xdr:nvSpPr>
        <xdr:cNvPr id="299049" name="Text Box 41" hidden="1">
          <a:extLst>
            <a:ext uri="{FF2B5EF4-FFF2-40B4-BE49-F238E27FC236}">
              <a16:creationId xmlns:a16="http://schemas.microsoft.com/office/drawing/2014/main" id="{AD678E4F-8D2C-4402-A598-8C4C3F7D9628}"/>
            </a:ext>
          </a:extLst>
        </xdr:cNvPr>
        <xdr:cNvSpPr txBox="1">
          <a:spLocks noChangeArrowheads="1"/>
        </xdr:cNvSpPr>
      </xdr:nvSpPr>
      <xdr:spPr bwMode="auto">
        <a:xfrm>
          <a:off x="24698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181140</xdr:colOff>
      <xdr:row>15</xdr:row>
      <xdr:rowOff>120650</xdr:rowOff>
    </xdr:from>
    <xdr:to>
      <xdr:col>23</xdr:col>
      <xdr:colOff>1223</xdr:colOff>
      <xdr:row>19</xdr:row>
      <xdr:rowOff>44450</xdr:rowOff>
    </xdr:to>
    <xdr:sp macro="" textlink="">
      <xdr:nvSpPr>
        <xdr:cNvPr id="299059" name="Text Box 51" hidden="1">
          <a:extLst>
            <a:ext uri="{FF2B5EF4-FFF2-40B4-BE49-F238E27FC236}">
              <a16:creationId xmlns:a16="http://schemas.microsoft.com/office/drawing/2014/main" id="{042DF6A9-E0A9-4CFD-81D7-8BE4A67E3F7D}"/>
            </a:ext>
          </a:extLst>
        </xdr:cNvPr>
        <xdr:cNvSpPr txBox="1">
          <a:spLocks noChangeArrowheads="1"/>
        </xdr:cNvSpPr>
      </xdr:nvSpPr>
      <xdr:spPr bwMode="auto">
        <a:xfrm>
          <a:off x="20183475" y="20478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07" name="Text Box 11" hidden="1">
          <a:extLst>
            <a:ext uri="{FF2B5EF4-FFF2-40B4-BE49-F238E27FC236}">
              <a16:creationId xmlns:a16="http://schemas.microsoft.com/office/drawing/2014/main" id="{23955DA3-9ACA-4979-B093-E96CBDBB426A}"/>
            </a:ext>
          </a:extLst>
        </xdr:cNvPr>
        <xdr:cNvSpPr txBox="1">
          <a:spLocks noChangeArrowheads="1"/>
        </xdr:cNvSpPr>
      </xdr:nvSpPr>
      <xdr:spPr bwMode="auto">
        <a:xfrm>
          <a:off x="8978900" y="2335530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06" name="Text Box 10" hidden="1">
          <a:extLst>
            <a:ext uri="{FF2B5EF4-FFF2-40B4-BE49-F238E27FC236}">
              <a16:creationId xmlns:a16="http://schemas.microsoft.com/office/drawing/2014/main" id="{C648C09D-8CDC-4ED2-B374-9076EDBB5E24}"/>
            </a:ext>
          </a:extLst>
        </xdr:cNvPr>
        <xdr:cNvSpPr txBox="1">
          <a:spLocks noChangeArrowheads="1"/>
        </xdr:cNvSpPr>
      </xdr:nvSpPr>
      <xdr:spPr bwMode="auto">
        <a:xfrm>
          <a:off x="11309350" y="23355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05" name="Text Box 9" hidden="1">
          <a:extLst>
            <a:ext uri="{FF2B5EF4-FFF2-40B4-BE49-F238E27FC236}">
              <a16:creationId xmlns:a16="http://schemas.microsoft.com/office/drawing/2014/main" id="{9107698F-1477-452D-886D-F96E3F322328}"/>
            </a:ext>
          </a:extLst>
        </xdr:cNvPr>
        <xdr:cNvSpPr txBox="1">
          <a:spLocks noChangeArrowheads="1"/>
        </xdr:cNvSpPr>
      </xdr:nvSpPr>
      <xdr:spPr bwMode="auto">
        <a:xfrm>
          <a:off x="1649095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04" name="Text Box 8" hidden="1">
          <a:extLst>
            <a:ext uri="{FF2B5EF4-FFF2-40B4-BE49-F238E27FC236}">
              <a16:creationId xmlns:a16="http://schemas.microsoft.com/office/drawing/2014/main" id="{D4E29340-ED95-477E-BFD3-6A2437D9A6F2}"/>
            </a:ext>
          </a:extLst>
        </xdr:cNvPr>
        <xdr:cNvSpPr txBox="1">
          <a:spLocks noChangeArrowheads="1"/>
        </xdr:cNvSpPr>
      </xdr:nvSpPr>
      <xdr:spPr bwMode="auto">
        <a:xfrm>
          <a:off x="1649095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03" name="Text Box 7" hidden="1">
          <a:extLst>
            <a:ext uri="{FF2B5EF4-FFF2-40B4-BE49-F238E27FC236}">
              <a16:creationId xmlns:a16="http://schemas.microsoft.com/office/drawing/2014/main" id="{6CB5D491-E502-4945-A831-7AB597444D54}"/>
            </a:ext>
          </a:extLst>
        </xdr:cNvPr>
        <xdr:cNvSpPr txBox="1">
          <a:spLocks noChangeArrowheads="1"/>
        </xdr:cNvSpPr>
      </xdr:nvSpPr>
      <xdr:spPr bwMode="auto">
        <a:xfrm>
          <a:off x="1812925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02" name="Text Box 6" hidden="1">
          <a:extLst>
            <a:ext uri="{FF2B5EF4-FFF2-40B4-BE49-F238E27FC236}">
              <a16:creationId xmlns:a16="http://schemas.microsoft.com/office/drawing/2014/main" id="{90911D7C-EA5F-4D27-B02B-D00D1B2725A6}"/>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01" name="Text Box 5" hidden="1">
          <a:extLst>
            <a:ext uri="{FF2B5EF4-FFF2-40B4-BE49-F238E27FC236}">
              <a16:creationId xmlns:a16="http://schemas.microsoft.com/office/drawing/2014/main" id="{51D958F3-9B1C-46F7-BC5E-CCD0B41CD609}"/>
            </a:ext>
          </a:extLst>
        </xdr:cNvPr>
        <xdr:cNvSpPr txBox="1">
          <a:spLocks noChangeArrowheads="1"/>
        </xdr:cNvSpPr>
      </xdr:nvSpPr>
      <xdr:spPr bwMode="auto">
        <a:xfrm>
          <a:off x="4229100" y="4041140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00" name="Text Box 4" hidden="1">
          <a:extLst>
            <a:ext uri="{FF2B5EF4-FFF2-40B4-BE49-F238E27FC236}">
              <a16:creationId xmlns:a16="http://schemas.microsoft.com/office/drawing/2014/main" id="{E0FA0B4A-8112-4880-AF45-7B4514B8C4D1}"/>
            </a:ext>
          </a:extLst>
        </xdr:cNvPr>
        <xdr:cNvSpPr txBox="1">
          <a:spLocks noChangeArrowheads="1"/>
        </xdr:cNvSpPr>
      </xdr:nvSpPr>
      <xdr:spPr bwMode="auto">
        <a:xfrm>
          <a:off x="18929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299" name="Text Box 3" hidden="1">
          <a:extLst>
            <a:ext uri="{FF2B5EF4-FFF2-40B4-BE49-F238E27FC236}">
              <a16:creationId xmlns:a16="http://schemas.microsoft.com/office/drawing/2014/main" id="{1F127A3E-3FCF-4FB5-99C6-06D666B793B6}"/>
            </a:ext>
          </a:extLst>
        </xdr:cNvPr>
        <xdr:cNvSpPr txBox="1">
          <a:spLocks noChangeArrowheads="1"/>
        </xdr:cNvSpPr>
      </xdr:nvSpPr>
      <xdr:spPr bwMode="auto">
        <a:xfrm>
          <a:off x="21977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298" name="Text Box 2" hidden="1">
          <a:extLst>
            <a:ext uri="{FF2B5EF4-FFF2-40B4-BE49-F238E27FC236}">
              <a16:creationId xmlns:a16="http://schemas.microsoft.com/office/drawing/2014/main" id="{E07F550C-14AB-4124-8527-4BF7833DE3E6}"/>
            </a:ext>
          </a:extLst>
        </xdr:cNvPr>
        <xdr:cNvSpPr txBox="1">
          <a:spLocks noChangeArrowheads="1"/>
        </xdr:cNvSpPr>
      </xdr:nvSpPr>
      <xdr:spPr bwMode="auto">
        <a:xfrm>
          <a:off x="25025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297" name="Text Box 1" hidden="1">
          <a:extLst>
            <a:ext uri="{FF2B5EF4-FFF2-40B4-BE49-F238E27FC236}">
              <a16:creationId xmlns:a16="http://schemas.microsoft.com/office/drawing/2014/main" id="{5CA7E701-CD06-4DC3-8915-B39C2CC774EE}"/>
            </a:ext>
          </a:extLst>
        </xdr:cNvPr>
        <xdr:cNvSpPr txBox="1">
          <a:spLocks noChangeArrowheads="1"/>
        </xdr:cNvSpPr>
      </xdr:nvSpPr>
      <xdr:spPr bwMode="auto">
        <a:xfrm>
          <a:off x="2049145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08" name="Text Box 12" hidden="1">
          <a:extLst>
            <a:ext uri="{FF2B5EF4-FFF2-40B4-BE49-F238E27FC236}">
              <a16:creationId xmlns:a16="http://schemas.microsoft.com/office/drawing/2014/main" id="{7AF13A0A-D7FB-47FA-AEED-91E11A450016}"/>
            </a:ext>
          </a:extLst>
        </xdr:cNvPr>
        <xdr:cNvSpPr txBox="1">
          <a:spLocks noChangeArrowheads="1"/>
        </xdr:cNvSpPr>
      </xdr:nvSpPr>
      <xdr:spPr bwMode="auto">
        <a:xfrm>
          <a:off x="4991100" y="11741150"/>
          <a:ext cx="1422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21" name="Text Box 25" hidden="1">
          <a:extLst>
            <a:ext uri="{FF2B5EF4-FFF2-40B4-BE49-F238E27FC236}">
              <a16:creationId xmlns:a16="http://schemas.microsoft.com/office/drawing/2014/main" id="{EB03ED1F-379B-4B10-92D6-9F8648E38B80}"/>
            </a:ext>
          </a:extLst>
        </xdr:cNvPr>
        <xdr:cNvSpPr txBox="1">
          <a:spLocks noChangeArrowheads="1"/>
        </xdr:cNvSpPr>
      </xdr:nvSpPr>
      <xdr:spPr bwMode="auto">
        <a:xfrm>
          <a:off x="19729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22" name="Text Box 26" hidden="1">
          <a:extLst>
            <a:ext uri="{FF2B5EF4-FFF2-40B4-BE49-F238E27FC236}">
              <a16:creationId xmlns:a16="http://schemas.microsoft.com/office/drawing/2014/main" id="{156F43C7-5371-4B86-8242-1EBCC2A43D37}"/>
            </a:ext>
          </a:extLst>
        </xdr:cNvPr>
        <xdr:cNvSpPr txBox="1">
          <a:spLocks noChangeArrowheads="1"/>
        </xdr:cNvSpPr>
      </xdr:nvSpPr>
      <xdr:spPr bwMode="auto">
        <a:xfrm>
          <a:off x="22777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23" name="Text Box 27" hidden="1">
          <a:extLst>
            <a:ext uri="{FF2B5EF4-FFF2-40B4-BE49-F238E27FC236}">
              <a16:creationId xmlns:a16="http://schemas.microsoft.com/office/drawing/2014/main" id="{127155EE-3CFC-4663-8BAB-C2E44318263E}"/>
            </a:ext>
          </a:extLst>
        </xdr:cNvPr>
        <xdr:cNvSpPr txBox="1">
          <a:spLocks noChangeArrowheads="1"/>
        </xdr:cNvSpPr>
      </xdr:nvSpPr>
      <xdr:spPr bwMode="auto">
        <a:xfrm>
          <a:off x="25825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171076</xdr:rowOff>
    </xdr:to>
    <xdr:sp macro="" textlink="">
      <xdr:nvSpPr>
        <xdr:cNvPr id="311324" name="Text Box 28" hidden="1">
          <a:extLst>
            <a:ext uri="{FF2B5EF4-FFF2-40B4-BE49-F238E27FC236}">
              <a16:creationId xmlns:a16="http://schemas.microsoft.com/office/drawing/2014/main" id="{B1661101-3B65-4016-9B0D-C87BA4CE952A}"/>
            </a:ext>
          </a:extLst>
        </xdr:cNvPr>
        <xdr:cNvSpPr txBox="1">
          <a:spLocks noChangeArrowheads="1"/>
        </xdr:cNvSpPr>
      </xdr:nvSpPr>
      <xdr:spPr bwMode="auto">
        <a:xfrm>
          <a:off x="20453350" y="4572000"/>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40" name="Text Box 44" hidden="1">
          <a:extLst>
            <a:ext uri="{FF2B5EF4-FFF2-40B4-BE49-F238E27FC236}">
              <a16:creationId xmlns:a16="http://schemas.microsoft.com/office/drawing/2014/main" id="{70EC5761-0AC7-49DE-B955-C4A9720AAB43}"/>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39" name="Text Box 43" hidden="1">
          <a:extLst>
            <a:ext uri="{FF2B5EF4-FFF2-40B4-BE49-F238E27FC236}">
              <a16:creationId xmlns:a16="http://schemas.microsoft.com/office/drawing/2014/main" id="{4E25295D-A23E-4906-9D08-47403828DA18}"/>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38" name="Text Box 42" hidden="1">
          <a:extLst>
            <a:ext uri="{FF2B5EF4-FFF2-40B4-BE49-F238E27FC236}">
              <a16:creationId xmlns:a16="http://schemas.microsoft.com/office/drawing/2014/main" id="{C51496EC-9FC4-45F0-98CD-00A486FD6047}"/>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37" name="Text Box 41" hidden="1">
          <a:extLst>
            <a:ext uri="{FF2B5EF4-FFF2-40B4-BE49-F238E27FC236}">
              <a16:creationId xmlns:a16="http://schemas.microsoft.com/office/drawing/2014/main" id="{EEF1CB26-81A3-4054-B6F7-5C05021D71C5}"/>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36" name="Text Box 40" hidden="1">
          <a:extLst>
            <a:ext uri="{FF2B5EF4-FFF2-40B4-BE49-F238E27FC236}">
              <a16:creationId xmlns:a16="http://schemas.microsoft.com/office/drawing/2014/main" id="{E1EF579B-346B-4705-94FC-207134DEBC5B}"/>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35" name="Text Box 39" hidden="1">
          <a:extLst>
            <a:ext uri="{FF2B5EF4-FFF2-40B4-BE49-F238E27FC236}">
              <a16:creationId xmlns:a16="http://schemas.microsoft.com/office/drawing/2014/main" id="{8C8E918B-7749-4F85-B353-8CCEA92E390C}"/>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34" name="Text Box 38" hidden="1">
          <a:extLst>
            <a:ext uri="{FF2B5EF4-FFF2-40B4-BE49-F238E27FC236}">
              <a16:creationId xmlns:a16="http://schemas.microsoft.com/office/drawing/2014/main" id="{EE61C163-AF36-4CFD-8ABB-EDF170CEC4DD}"/>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33" name="Text Box 37" hidden="1">
          <a:extLst>
            <a:ext uri="{FF2B5EF4-FFF2-40B4-BE49-F238E27FC236}">
              <a16:creationId xmlns:a16="http://schemas.microsoft.com/office/drawing/2014/main" id="{62503561-6D20-46EF-B45E-3D1F70D7E32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332" name="Text Box 36" hidden="1">
          <a:extLst>
            <a:ext uri="{FF2B5EF4-FFF2-40B4-BE49-F238E27FC236}">
              <a16:creationId xmlns:a16="http://schemas.microsoft.com/office/drawing/2014/main" id="{CC7178B2-984C-4BE5-900A-BD7A3BD69E85}"/>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331" name="Text Box 35" hidden="1">
          <a:extLst>
            <a:ext uri="{FF2B5EF4-FFF2-40B4-BE49-F238E27FC236}">
              <a16:creationId xmlns:a16="http://schemas.microsoft.com/office/drawing/2014/main" id="{E0CA14EB-82FF-42B5-835D-1761A8A4DF59}"/>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30" name="Text Box 34" hidden="1">
          <a:extLst>
            <a:ext uri="{FF2B5EF4-FFF2-40B4-BE49-F238E27FC236}">
              <a16:creationId xmlns:a16="http://schemas.microsoft.com/office/drawing/2014/main" id="{E3D3FF04-A9A8-4042-9F96-5B1F4E52707D}"/>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29" name="Text Box 33" hidden="1">
          <a:extLst>
            <a:ext uri="{FF2B5EF4-FFF2-40B4-BE49-F238E27FC236}">
              <a16:creationId xmlns:a16="http://schemas.microsoft.com/office/drawing/2014/main" id="{6AD674DC-6599-4BE1-AD78-B4F66AC60891}"/>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28" name="Text Box 32" hidden="1">
          <a:extLst>
            <a:ext uri="{FF2B5EF4-FFF2-40B4-BE49-F238E27FC236}">
              <a16:creationId xmlns:a16="http://schemas.microsoft.com/office/drawing/2014/main" id="{1461C6A1-6D4C-438E-A9B3-905D104464B4}"/>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27" name="Text Box 31" hidden="1">
          <a:extLst>
            <a:ext uri="{FF2B5EF4-FFF2-40B4-BE49-F238E27FC236}">
              <a16:creationId xmlns:a16="http://schemas.microsoft.com/office/drawing/2014/main" id="{45829A71-01D8-4AB3-8E9F-0145EB78B437}"/>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26" name="Text Box 30" hidden="1">
          <a:extLst>
            <a:ext uri="{FF2B5EF4-FFF2-40B4-BE49-F238E27FC236}">
              <a16:creationId xmlns:a16="http://schemas.microsoft.com/office/drawing/2014/main" id="{295589FA-3FC7-464A-A1A8-3A3B7B2FB537}"/>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25" name="Text Box 29" hidden="1">
          <a:extLst>
            <a:ext uri="{FF2B5EF4-FFF2-40B4-BE49-F238E27FC236}">
              <a16:creationId xmlns:a16="http://schemas.microsoft.com/office/drawing/2014/main" id="{EB74A1FC-F163-4CA9-B5A5-2770AB4C03E8}"/>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56" name="Text Box 60" hidden="1">
          <a:extLst>
            <a:ext uri="{FF2B5EF4-FFF2-40B4-BE49-F238E27FC236}">
              <a16:creationId xmlns:a16="http://schemas.microsoft.com/office/drawing/2014/main" id="{2A96247D-2CAE-BBF6-9431-90CA06B62E1B}"/>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55" name="Text Box 59" hidden="1">
          <a:extLst>
            <a:ext uri="{FF2B5EF4-FFF2-40B4-BE49-F238E27FC236}">
              <a16:creationId xmlns:a16="http://schemas.microsoft.com/office/drawing/2014/main" id="{728E5653-9942-744D-F028-643F938E2C67}"/>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54" name="Text Box 58" hidden="1">
          <a:extLst>
            <a:ext uri="{FF2B5EF4-FFF2-40B4-BE49-F238E27FC236}">
              <a16:creationId xmlns:a16="http://schemas.microsoft.com/office/drawing/2014/main" id="{1505AEA0-28BE-F3EC-B235-3936DC8E5325}"/>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53" name="Text Box 57" hidden="1">
          <a:extLst>
            <a:ext uri="{FF2B5EF4-FFF2-40B4-BE49-F238E27FC236}">
              <a16:creationId xmlns:a16="http://schemas.microsoft.com/office/drawing/2014/main" id="{2CA4AF3E-CFA2-7268-5E19-D24B0B50638A}"/>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52" name="Text Box 56" hidden="1">
          <a:extLst>
            <a:ext uri="{FF2B5EF4-FFF2-40B4-BE49-F238E27FC236}">
              <a16:creationId xmlns:a16="http://schemas.microsoft.com/office/drawing/2014/main" id="{E434CE6A-8C67-B4AA-76E2-8969CF9445BA}"/>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51" name="Text Box 55" hidden="1">
          <a:extLst>
            <a:ext uri="{FF2B5EF4-FFF2-40B4-BE49-F238E27FC236}">
              <a16:creationId xmlns:a16="http://schemas.microsoft.com/office/drawing/2014/main" id="{A83E545C-03EB-B6CA-D2F8-6006234B1F2B}"/>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50" name="Text Box 54" hidden="1">
          <a:extLst>
            <a:ext uri="{FF2B5EF4-FFF2-40B4-BE49-F238E27FC236}">
              <a16:creationId xmlns:a16="http://schemas.microsoft.com/office/drawing/2014/main" id="{0E2FC91B-5806-1EEA-B2D6-FB29B167238C}"/>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49" name="Text Box 53" hidden="1">
          <a:extLst>
            <a:ext uri="{FF2B5EF4-FFF2-40B4-BE49-F238E27FC236}">
              <a16:creationId xmlns:a16="http://schemas.microsoft.com/office/drawing/2014/main" id="{86AE32E1-5727-FC4C-872A-B6A7DA0F027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348" name="Text Box 52" hidden="1">
          <a:extLst>
            <a:ext uri="{FF2B5EF4-FFF2-40B4-BE49-F238E27FC236}">
              <a16:creationId xmlns:a16="http://schemas.microsoft.com/office/drawing/2014/main" id="{91AB72ED-15B9-557B-108D-370843C822C1}"/>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347" name="Text Box 51" hidden="1">
          <a:extLst>
            <a:ext uri="{FF2B5EF4-FFF2-40B4-BE49-F238E27FC236}">
              <a16:creationId xmlns:a16="http://schemas.microsoft.com/office/drawing/2014/main" id="{8B69E227-C231-B163-5B5E-22A1D1C8438B}"/>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46" name="Text Box 50" hidden="1">
          <a:extLst>
            <a:ext uri="{FF2B5EF4-FFF2-40B4-BE49-F238E27FC236}">
              <a16:creationId xmlns:a16="http://schemas.microsoft.com/office/drawing/2014/main" id="{D560BE1C-D1D0-DF19-CDC1-51E09C26CC91}"/>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45" name="Text Box 49" hidden="1">
          <a:extLst>
            <a:ext uri="{FF2B5EF4-FFF2-40B4-BE49-F238E27FC236}">
              <a16:creationId xmlns:a16="http://schemas.microsoft.com/office/drawing/2014/main" id="{1D0F89FC-EF40-5099-42F5-2A590105B1E4}"/>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44" name="Text Box 48" hidden="1">
          <a:extLst>
            <a:ext uri="{FF2B5EF4-FFF2-40B4-BE49-F238E27FC236}">
              <a16:creationId xmlns:a16="http://schemas.microsoft.com/office/drawing/2014/main" id="{BCFB5243-91C5-7B8E-5B94-3827464D09B6}"/>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43" name="Text Box 47" hidden="1">
          <a:extLst>
            <a:ext uri="{FF2B5EF4-FFF2-40B4-BE49-F238E27FC236}">
              <a16:creationId xmlns:a16="http://schemas.microsoft.com/office/drawing/2014/main" id="{DE369244-402A-6367-9147-957000843878}"/>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42" name="Text Box 46" hidden="1">
          <a:extLst>
            <a:ext uri="{FF2B5EF4-FFF2-40B4-BE49-F238E27FC236}">
              <a16:creationId xmlns:a16="http://schemas.microsoft.com/office/drawing/2014/main" id="{9B3F94DC-C6B6-A0C0-CBBC-9C1E2DC67EA6}"/>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41" name="Text Box 45" hidden="1">
          <a:extLst>
            <a:ext uri="{FF2B5EF4-FFF2-40B4-BE49-F238E27FC236}">
              <a16:creationId xmlns:a16="http://schemas.microsoft.com/office/drawing/2014/main" id="{0D575779-9493-F7B6-FDFC-A55DB3A3C4C2}"/>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11372" name="Text Box 76" hidden="1">
          <a:extLst>
            <a:ext uri="{FF2B5EF4-FFF2-40B4-BE49-F238E27FC236}">
              <a16:creationId xmlns:a16="http://schemas.microsoft.com/office/drawing/2014/main" id="{6BEF1E5D-F174-3DC5-BB25-9798F7291678}"/>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11371" name="Text Box 75" hidden="1">
          <a:extLst>
            <a:ext uri="{FF2B5EF4-FFF2-40B4-BE49-F238E27FC236}">
              <a16:creationId xmlns:a16="http://schemas.microsoft.com/office/drawing/2014/main" id="{BC045F7D-504A-BF20-44C0-03D925EF85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11370" name="Text Box 74" hidden="1">
          <a:extLst>
            <a:ext uri="{FF2B5EF4-FFF2-40B4-BE49-F238E27FC236}">
              <a16:creationId xmlns:a16="http://schemas.microsoft.com/office/drawing/2014/main" id="{DBC8FDFD-C94A-3523-DC5D-0DC82974D4C6}"/>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11369" name="Text Box 73" hidden="1">
          <a:extLst>
            <a:ext uri="{FF2B5EF4-FFF2-40B4-BE49-F238E27FC236}">
              <a16:creationId xmlns:a16="http://schemas.microsoft.com/office/drawing/2014/main" id="{B0864C73-9499-214D-1039-1ABCAAB35C90}"/>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368" name="Text Box 72" hidden="1">
          <a:extLst>
            <a:ext uri="{FF2B5EF4-FFF2-40B4-BE49-F238E27FC236}">
              <a16:creationId xmlns:a16="http://schemas.microsoft.com/office/drawing/2014/main" id="{D1D01C5B-7A98-0018-F74E-CA19F3FAF13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11367" name="Text Box 71" hidden="1">
          <a:extLst>
            <a:ext uri="{FF2B5EF4-FFF2-40B4-BE49-F238E27FC236}">
              <a16:creationId xmlns:a16="http://schemas.microsoft.com/office/drawing/2014/main" id="{1724F5E4-1CF3-C8D5-BE13-12E998E4921B}"/>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11366" name="Text Box 70" hidden="1">
          <a:extLst>
            <a:ext uri="{FF2B5EF4-FFF2-40B4-BE49-F238E27FC236}">
              <a16:creationId xmlns:a16="http://schemas.microsoft.com/office/drawing/2014/main" id="{C399C2D0-6D2C-1C55-552E-88108AB88DF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11365" name="Text Box 69" hidden="1">
          <a:extLst>
            <a:ext uri="{FF2B5EF4-FFF2-40B4-BE49-F238E27FC236}">
              <a16:creationId xmlns:a16="http://schemas.microsoft.com/office/drawing/2014/main" id="{62B8E475-F858-B5E2-482E-2CDEF7B51AA2}"/>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11364" name="Text Box 68" hidden="1">
          <a:extLst>
            <a:ext uri="{FF2B5EF4-FFF2-40B4-BE49-F238E27FC236}">
              <a16:creationId xmlns:a16="http://schemas.microsoft.com/office/drawing/2014/main" id="{AF8BCF44-60F5-D045-FCD0-6EE2AECA8638}"/>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11363" name="Text Box 67" hidden="1">
          <a:extLst>
            <a:ext uri="{FF2B5EF4-FFF2-40B4-BE49-F238E27FC236}">
              <a16:creationId xmlns:a16="http://schemas.microsoft.com/office/drawing/2014/main" id="{55B6E464-D1AC-2139-A6F3-6AF661CD02F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11362" name="Text Box 66" hidden="1">
          <a:extLst>
            <a:ext uri="{FF2B5EF4-FFF2-40B4-BE49-F238E27FC236}">
              <a16:creationId xmlns:a16="http://schemas.microsoft.com/office/drawing/2014/main" id="{74DC6817-50C2-931B-A0CA-876CBD84377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11361" name="Text Box 65" hidden="1">
          <a:extLst>
            <a:ext uri="{FF2B5EF4-FFF2-40B4-BE49-F238E27FC236}">
              <a16:creationId xmlns:a16="http://schemas.microsoft.com/office/drawing/2014/main" id="{FD51CE5F-133D-AE71-A5FB-DBA52475A7AA}"/>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11360" name="Text Box 64" hidden="1">
          <a:extLst>
            <a:ext uri="{FF2B5EF4-FFF2-40B4-BE49-F238E27FC236}">
              <a16:creationId xmlns:a16="http://schemas.microsoft.com/office/drawing/2014/main" id="{37C3A1F0-8B18-06A5-80E9-4C38633D2E8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11359" name="Text Box 63" hidden="1">
          <a:extLst>
            <a:ext uri="{FF2B5EF4-FFF2-40B4-BE49-F238E27FC236}">
              <a16:creationId xmlns:a16="http://schemas.microsoft.com/office/drawing/2014/main" id="{DFF9B17C-32E0-8C8C-FE91-47C7C45988B6}"/>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11358" name="Text Box 62" hidden="1">
          <a:extLst>
            <a:ext uri="{FF2B5EF4-FFF2-40B4-BE49-F238E27FC236}">
              <a16:creationId xmlns:a16="http://schemas.microsoft.com/office/drawing/2014/main" id="{F6AC0DB2-D002-84B0-F6DD-48B2E5BB29B4}"/>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11357" name="Text Box 61" hidden="1">
          <a:extLst>
            <a:ext uri="{FF2B5EF4-FFF2-40B4-BE49-F238E27FC236}">
              <a16:creationId xmlns:a16="http://schemas.microsoft.com/office/drawing/2014/main" id="{7233BF75-DFDC-0F31-D7D0-9D5A091E8A8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11462" name="Text Box 166" hidden="1">
          <a:extLst>
            <a:ext uri="{FF2B5EF4-FFF2-40B4-BE49-F238E27FC236}">
              <a16:creationId xmlns:a16="http://schemas.microsoft.com/office/drawing/2014/main" id="{26C2B5F1-1CAB-026A-CBF6-5A0761ECBE1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11463" name="Text Box 167" hidden="1">
          <a:extLst>
            <a:ext uri="{FF2B5EF4-FFF2-40B4-BE49-F238E27FC236}">
              <a16:creationId xmlns:a16="http://schemas.microsoft.com/office/drawing/2014/main" id="{12FF9D87-761C-C679-E2D7-CC360AC8D8AF}"/>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796" name="Text Box 36" hidden="1">
          <a:extLst>
            <a:ext uri="{FF2B5EF4-FFF2-40B4-BE49-F238E27FC236}">
              <a16:creationId xmlns:a16="http://schemas.microsoft.com/office/drawing/2014/main" id="{01B075CB-82C8-1487-7E4C-2FF17010EF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795" name="Text Box 35" hidden="1">
          <a:extLst>
            <a:ext uri="{FF2B5EF4-FFF2-40B4-BE49-F238E27FC236}">
              <a16:creationId xmlns:a16="http://schemas.microsoft.com/office/drawing/2014/main" id="{ECFC881A-8224-D4E1-AC2B-F113FC49721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94" name="Text Box 34" hidden="1">
          <a:extLst>
            <a:ext uri="{FF2B5EF4-FFF2-40B4-BE49-F238E27FC236}">
              <a16:creationId xmlns:a16="http://schemas.microsoft.com/office/drawing/2014/main" id="{A95512E3-CA1A-7B83-E82E-E846E26D3257}"/>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93" name="Text Box 33" hidden="1">
          <a:extLst>
            <a:ext uri="{FF2B5EF4-FFF2-40B4-BE49-F238E27FC236}">
              <a16:creationId xmlns:a16="http://schemas.microsoft.com/office/drawing/2014/main" id="{8D01ACC3-DA51-4E7E-35A6-A307DA06228F}"/>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92" name="Text Box 32" hidden="1">
          <a:extLst>
            <a:ext uri="{FF2B5EF4-FFF2-40B4-BE49-F238E27FC236}">
              <a16:creationId xmlns:a16="http://schemas.microsoft.com/office/drawing/2014/main" id="{B3E3716D-5AFE-F955-6D4D-E2F7D2742585}"/>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791" name="Text Box 31" hidden="1">
          <a:extLst>
            <a:ext uri="{FF2B5EF4-FFF2-40B4-BE49-F238E27FC236}">
              <a16:creationId xmlns:a16="http://schemas.microsoft.com/office/drawing/2014/main" id="{16BE1C49-4922-3209-1F59-7E91E30914B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790" name="Text Box 30" hidden="1">
          <a:extLst>
            <a:ext uri="{FF2B5EF4-FFF2-40B4-BE49-F238E27FC236}">
              <a16:creationId xmlns:a16="http://schemas.microsoft.com/office/drawing/2014/main" id="{BE91FFD7-E2DB-F547-0BBE-F3773D869936}"/>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789" name="Text Box 29" hidden="1">
          <a:extLst>
            <a:ext uri="{FF2B5EF4-FFF2-40B4-BE49-F238E27FC236}">
              <a16:creationId xmlns:a16="http://schemas.microsoft.com/office/drawing/2014/main" id="{4B4CF67A-29E4-2C3E-8C18-0628FB7154D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788" name="Text Box 28" hidden="1">
          <a:extLst>
            <a:ext uri="{FF2B5EF4-FFF2-40B4-BE49-F238E27FC236}">
              <a16:creationId xmlns:a16="http://schemas.microsoft.com/office/drawing/2014/main" id="{7567E21E-F767-4D69-7410-484F60F758CE}"/>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787" name="Text Box 27" hidden="1">
          <a:extLst>
            <a:ext uri="{FF2B5EF4-FFF2-40B4-BE49-F238E27FC236}">
              <a16:creationId xmlns:a16="http://schemas.microsoft.com/office/drawing/2014/main" id="{675E3984-E4D0-957C-729F-8794E26FBEA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86" name="Text Box 26" hidden="1">
          <a:extLst>
            <a:ext uri="{FF2B5EF4-FFF2-40B4-BE49-F238E27FC236}">
              <a16:creationId xmlns:a16="http://schemas.microsoft.com/office/drawing/2014/main" id="{70B8B27E-0BD0-61F5-1C56-E5266AC793B2}"/>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785" name="Text Box 25" hidden="1">
          <a:extLst>
            <a:ext uri="{FF2B5EF4-FFF2-40B4-BE49-F238E27FC236}">
              <a16:creationId xmlns:a16="http://schemas.microsoft.com/office/drawing/2014/main" id="{E2F2E485-943D-568E-CEE8-0801B1B27062}"/>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784" name="Text Box 24" hidden="1">
          <a:extLst>
            <a:ext uri="{FF2B5EF4-FFF2-40B4-BE49-F238E27FC236}">
              <a16:creationId xmlns:a16="http://schemas.microsoft.com/office/drawing/2014/main" id="{45B7B390-3D7D-7C1C-541C-4A2671477C3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783" name="Text Box 23" hidden="1">
          <a:extLst>
            <a:ext uri="{FF2B5EF4-FFF2-40B4-BE49-F238E27FC236}">
              <a16:creationId xmlns:a16="http://schemas.microsoft.com/office/drawing/2014/main" id="{B0BCF35C-18D0-F523-7100-F4C64A063F0A}"/>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782" name="Text Box 22" hidden="1">
          <a:extLst>
            <a:ext uri="{FF2B5EF4-FFF2-40B4-BE49-F238E27FC236}">
              <a16:creationId xmlns:a16="http://schemas.microsoft.com/office/drawing/2014/main" id="{BA0A4168-0EC3-0521-A812-093E8DD0543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81" name="Text Box 21" hidden="1">
          <a:extLst>
            <a:ext uri="{FF2B5EF4-FFF2-40B4-BE49-F238E27FC236}">
              <a16:creationId xmlns:a16="http://schemas.microsoft.com/office/drawing/2014/main" id="{C3FE5D16-95D2-6883-D718-7902A104F3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80" name="Text Box 20" hidden="1">
          <a:extLst>
            <a:ext uri="{FF2B5EF4-FFF2-40B4-BE49-F238E27FC236}">
              <a16:creationId xmlns:a16="http://schemas.microsoft.com/office/drawing/2014/main" id="{7FBA0935-3957-360E-100D-E69413F62DC0}"/>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79" name="Text Box 19" hidden="1">
          <a:extLst>
            <a:ext uri="{FF2B5EF4-FFF2-40B4-BE49-F238E27FC236}">
              <a16:creationId xmlns:a16="http://schemas.microsoft.com/office/drawing/2014/main" id="{AB3CCF69-2326-63F9-79D4-49373BB2AEA3}"/>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778" name="Text Box 18" hidden="1">
          <a:extLst>
            <a:ext uri="{FF2B5EF4-FFF2-40B4-BE49-F238E27FC236}">
              <a16:creationId xmlns:a16="http://schemas.microsoft.com/office/drawing/2014/main" id="{CB07D0A9-62E6-1A8E-A56A-0F42100172CF}"/>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777" name="Text Box 17" hidden="1">
          <a:extLst>
            <a:ext uri="{FF2B5EF4-FFF2-40B4-BE49-F238E27FC236}">
              <a16:creationId xmlns:a16="http://schemas.microsoft.com/office/drawing/2014/main" id="{1756DB6F-BC83-0A9B-01A5-3E7167DBBA09}"/>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76" name="Text Box 16" hidden="1">
          <a:extLst>
            <a:ext uri="{FF2B5EF4-FFF2-40B4-BE49-F238E27FC236}">
              <a16:creationId xmlns:a16="http://schemas.microsoft.com/office/drawing/2014/main" id="{E154357C-2B57-3116-ABE8-BF78AB0138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75" name="Text Box 15" hidden="1">
          <a:extLst>
            <a:ext uri="{FF2B5EF4-FFF2-40B4-BE49-F238E27FC236}">
              <a16:creationId xmlns:a16="http://schemas.microsoft.com/office/drawing/2014/main" id="{08CCE737-7916-B7E1-A8CC-C3529B51EE0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74" name="Text Box 14" hidden="1">
          <a:extLst>
            <a:ext uri="{FF2B5EF4-FFF2-40B4-BE49-F238E27FC236}">
              <a16:creationId xmlns:a16="http://schemas.microsoft.com/office/drawing/2014/main" id="{16917201-D42F-ABED-B1B9-532FDE124E8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773" name="Text Box 13" hidden="1">
          <a:extLst>
            <a:ext uri="{FF2B5EF4-FFF2-40B4-BE49-F238E27FC236}">
              <a16:creationId xmlns:a16="http://schemas.microsoft.com/office/drawing/2014/main" id="{EEDC3ED1-F895-BC3F-4D5A-15F4B2C44BD1}"/>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772" name="Text Box 12" hidden="1">
          <a:extLst>
            <a:ext uri="{FF2B5EF4-FFF2-40B4-BE49-F238E27FC236}">
              <a16:creationId xmlns:a16="http://schemas.microsoft.com/office/drawing/2014/main" id="{B4B16BBC-87A3-53B7-90C8-C6901EE2192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771" name="Text Box 11" hidden="1">
          <a:extLst>
            <a:ext uri="{FF2B5EF4-FFF2-40B4-BE49-F238E27FC236}">
              <a16:creationId xmlns:a16="http://schemas.microsoft.com/office/drawing/2014/main" id="{BCFFE3A6-1F5E-5772-2A5F-55325DAE8C9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770" name="Text Box 10" hidden="1">
          <a:extLst>
            <a:ext uri="{FF2B5EF4-FFF2-40B4-BE49-F238E27FC236}">
              <a16:creationId xmlns:a16="http://schemas.microsoft.com/office/drawing/2014/main" id="{F99ACA9D-C4B6-B3EA-41A8-93DE1C2A1D26}"/>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769" name="Text Box 9" hidden="1">
          <a:extLst>
            <a:ext uri="{FF2B5EF4-FFF2-40B4-BE49-F238E27FC236}">
              <a16:creationId xmlns:a16="http://schemas.microsoft.com/office/drawing/2014/main" id="{8DF10D6B-7CAD-C4AB-0BD3-25DA029B4C9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68" name="Text Box 8" hidden="1">
          <a:extLst>
            <a:ext uri="{FF2B5EF4-FFF2-40B4-BE49-F238E27FC236}">
              <a16:creationId xmlns:a16="http://schemas.microsoft.com/office/drawing/2014/main" id="{4FCD7BB7-6E43-44C6-8CFC-9F0FD59854C9}"/>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767" name="Text Box 7" hidden="1">
          <a:extLst>
            <a:ext uri="{FF2B5EF4-FFF2-40B4-BE49-F238E27FC236}">
              <a16:creationId xmlns:a16="http://schemas.microsoft.com/office/drawing/2014/main" id="{A432D465-4FCC-2F87-05E1-69C98E2491BC}"/>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766" name="Text Box 6" hidden="1">
          <a:extLst>
            <a:ext uri="{FF2B5EF4-FFF2-40B4-BE49-F238E27FC236}">
              <a16:creationId xmlns:a16="http://schemas.microsoft.com/office/drawing/2014/main" id="{6D8A2B65-23BA-5542-5D28-3C75AC6A222A}"/>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765" name="Text Box 5" hidden="1">
          <a:extLst>
            <a:ext uri="{FF2B5EF4-FFF2-40B4-BE49-F238E27FC236}">
              <a16:creationId xmlns:a16="http://schemas.microsoft.com/office/drawing/2014/main" id="{791D9452-48DA-72E1-1241-FA3F0D849708}"/>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764" name="Text Box 4" hidden="1">
          <a:extLst>
            <a:ext uri="{FF2B5EF4-FFF2-40B4-BE49-F238E27FC236}">
              <a16:creationId xmlns:a16="http://schemas.microsoft.com/office/drawing/2014/main" id="{DA18D6E2-6B83-4879-7976-9419D4C88F7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63" name="Text Box 3" hidden="1">
          <a:extLst>
            <a:ext uri="{FF2B5EF4-FFF2-40B4-BE49-F238E27FC236}">
              <a16:creationId xmlns:a16="http://schemas.microsoft.com/office/drawing/2014/main" id="{32EC25D1-5A18-2F1D-4582-3368925B656C}"/>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62" name="Text Box 2" hidden="1">
          <a:extLst>
            <a:ext uri="{FF2B5EF4-FFF2-40B4-BE49-F238E27FC236}">
              <a16:creationId xmlns:a16="http://schemas.microsoft.com/office/drawing/2014/main" id="{08FF46CA-EF65-63B0-68EA-4A87434F58E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61" name="Text Box 1" hidden="1">
          <a:extLst>
            <a:ext uri="{FF2B5EF4-FFF2-40B4-BE49-F238E27FC236}">
              <a16:creationId xmlns:a16="http://schemas.microsoft.com/office/drawing/2014/main" id="{38D9F9B3-9E75-A49B-224D-BD71F8BA6521}"/>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14" name="Text Box 54" hidden="1">
          <a:extLst>
            <a:ext uri="{FF2B5EF4-FFF2-40B4-BE49-F238E27FC236}">
              <a16:creationId xmlns:a16="http://schemas.microsoft.com/office/drawing/2014/main" id="{DF4E1259-9E13-2893-54E4-ECB2C862FBA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13" name="Text Box 53" hidden="1">
          <a:extLst>
            <a:ext uri="{FF2B5EF4-FFF2-40B4-BE49-F238E27FC236}">
              <a16:creationId xmlns:a16="http://schemas.microsoft.com/office/drawing/2014/main" id="{64FE10EE-8ED4-99CD-E0A0-5C3FA8B0DA6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12" name="Text Box 52" hidden="1">
          <a:extLst>
            <a:ext uri="{FF2B5EF4-FFF2-40B4-BE49-F238E27FC236}">
              <a16:creationId xmlns:a16="http://schemas.microsoft.com/office/drawing/2014/main" id="{8595A315-7620-2551-BEBD-3E0AAF6D68D2}"/>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11" name="Text Box 51" hidden="1">
          <a:extLst>
            <a:ext uri="{FF2B5EF4-FFF2-40B4-BE49-F238E27FC236}">
              <a16:creationId xmlns:a16="http://schemas.microsoft.com/office/drawing/2014/main" id="{A33A20A1-6429-E9D1-787F-8BBBB448A8B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10" name="Text Box 50" hidden="1">
          <a:extLst>
            <a:ext uri="{FF2B5EF4-FFF2-40B4-BE49-F238E27FC236}">
              <a16:creationId xmlns:a16="http://schemas.microsoft.com/office/drawing/2014/main" id="{8CFD6D27-D417-EDF4-0CAF-47FCD4FEB752}"/>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09" name="Text Box 49" hidden="1">
          <a:extLst>
            <a:ext uri="{FF2B5EF4-FFF2-40B4-BE49-F238E27FC236}">
              <a16:creationId xmlns:a16="http://schemas.microsoft.com/office/drawing/2014/main" id="{DF5CEA45-3DE9-65E4-B8F5-7E27757F41C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08" name="Text Box 48" hidden="1">
          <a:extLst>
            <a:ext uri="{FF2B5EF4-FFF2-40B4-BE49-F238E27FC236}">
              <a16:creationId xmlns:a16="http://schemas.microsoft.com/office/drawing/2014/main" id="{F8545C7F-5BBB-90FE-D484-EFD00FC5D30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07" name="Text Box 47" hidden="1">
          <a:extLst>
            <a:ext uri="{FF2B5EF4-FFF2-40B4-BE49-F238E27FC236}">
              <a16:creationId xmlns:a16="http://schemas.microsoft.com/office/drawing/2014/main" id="{92DD7BC1-057A-101F-2F93-E679635EFFC0}"/>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06" name="Text Box 46" hidden="1">
          <a:extLst>
            <a:ext uri="{FF2B5EF4-FFF2-40B4-BE49-F238E27FC236}">
              <a16:creationId xmlns:a16="http://schemas.microsoft.com/office/drawing/2014/main" id="{B2579017-7FB3-5A9E-FA72-9AB199E13C8D}"/>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05" name="Text Box 45" hidden="1">
          <a:extLst>
            <a:ext uri="{FF2B5EF4-FFF2-40B4-BE49-F238E27FC236}">
              <a16:creationId xmlns:a16="http://schemas.microsoft.com/office/drawing/2014/main" id="{BA1CFF92-B0E0-CE4A-1E43-6590D0B9102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04" name="Text Box 44" hidden="1">
          <a:extLst>
            <a:ext uri="{FF2B5EF4-FFF2-40B4-BE49-F238E27FC236}">
              <a16:creationId xmlns:a16="http://schemas.microsoft.com/office/drawing/2014/main" id="{99D35677-4ACD-B619-F86D-FA09D18924FC}"/>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03" name="Text Box 43" hidden="1">
          <a:extLst>
            <a:ext uri="{FF2B5EF4-FFF2-40B4-BE49-F238E27FC236}">
              <a16:creationId xmlns:a16="http://schemas.microsoft.com/office/drawing/2014/main" id="{F35D0725-FA27-EA51-CBF2-780231D55848}"/>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02" name="Text Box 42" hidden="1">
          <a:extLst>
            <a:ext uri="{FF2B5EF4-FFF2-40B4-BE49-F238E27FC236}">
              <a16:creationId xmlns:a16="http://schemas.microsoft.com/office/drawing/2014/main" id="{AE3EC61B-CC32-9FDC-3ED9-A6A8872AF479}"/>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01" name="Text Box 41" hidden="1">
          <a:extLst>
            <a:ext uri="{FF2B5EF4-FFF2-40B4-BE49-F238E27FC236}">
              <a16:creationId xmlns:a16="http://schemas.microsoft.com/office/drawing/2014/main" id="{6C35BEFE-AED4-4A69-6FDF-BCD9352CF819}"/>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00" name="Text Box 40" hidden="1">
          <a:extLst>
            <a:ext uri="{FF2B5EF4-FFF2-40B4-BE49-F238E27FC236}">
              <a16:creationId xmlns:a16="http://schemas.microsoft.com/office/drawing/2014/main" id="{8B424B35-60D5-23DB-C48C-07639561DC32}"/>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99" name="Text Box 39" hidden="1">
          <a:extLst>
            <a:ext uri="{FF2B5EF4-FFF2-40B4-BE49-F238E27FC236}">
              <a16:creationId xmlns:a16="http://schemas.microsoft.com/office/drawing/2014/main" id="{BFC54BCC-52A0-9859-8467-21CC9250CF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98" name="Text Box 38" hidden="1">
          <a:extLst>
            <a:ext uri="{FF2B5EF4-FFF2-40B4-BE49-F238E27FC236}">
              <a16:creationId xmlns:a16="http://schemas.microsoft.com/office/drawing/2014/main" id="{C8F17C7C-7177-2351-D6E6-AF9FAF8FE49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97" name="Text Box 37" hidden="1">
          <a:extLst>
            <a:ext uri="{FF2B5EF4-FFF2-40B4-BE49-F238E27FC236}">
              <a16:creationId xmlns:a16="http://schemas.microsoft.com/office/drawing/2014/main" id="{61F7FC0D-3551-1250-7183-76E350F8491B}"/>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32" name="Text Box 72" hidden="1">
          <a:extLst>
            <a:ext uri="{FF2B5EF4-FFF2-40B4-BE49-F238E27FC236}">
              <a16:creationId xmlns:a16="http://schemas.microsoft.com/office/drawing/2014/main" id="{0FB42A1A-66AB-E895-CAC8-28F048047309}"/>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31" name="Text Box 71" hidden="1">
          <a:extLst>
            <a:ext uri="{FF2B5EF4-FFF2-40B4-BE49-F238E27FC236}">
              <a16:creationId xmlns:a16="http://schemas.microsoft.com/office/drawing/2014/main" id="{E797BDB8-C2E7-CD07-7630-B0A50CEDEEF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30" name="Text Box 70" hidden="1">
          <a:extLst>
            <a:ext uri="{FF2B5EF4-FFF2-40B4-BE49-F238E27FC236}">
              <a16:creationId xmlns:a16="http://schemas.microsoft.com/office/drawing/2014/main" id="{A13729DD-65DA-37B2-698F-46829450AAAF}"/>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29" name="Text Box 69" hidden="1">
          <a:extLst>
            <a:ext uri="{FF2B5EF4-FFF2-40B4-BE49-F238E27FC236}">
              <a16:creationId xmlns:a16="http://schemas.microsoft.com/office/drawing/2014/main" id="{10C6B44C-171E-216D-99DE-5B9E9C844036}"/>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28" name="Text Box 68" hidden="1">
          <a:extLst>
            <a:ext uri="{FF2B5EF4-FFF2-40B4-BE49-F238E27FC236}">
              <a16:creationId xmlns:a16="http://schemas.microsoft.com/office/drawing/2014/main" id="{D346A789-2DE4-AE76-82F9-5B207C96F0DF}"/>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27" name="Text Box 67" hidden="1">
          <a:extLst>
            <a:ext uri="{FF2B5EF4-FFF2-40B4-BE49-F238E27FC236}">
              <a16:creationId xmlns:a16="http://schemas.microsoft.com/office/drawing/2014/main" id="{0A79955F-93EE-3019-AB63-03D88A70C01A}"/>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26" name="Text Box 66" hidden="1">
          <a:extLst>
            <a:ext uri="{FF2B5EF4-FFF2-40B4-BE49-F238E27FC236}">
              <a16:creationId xmlns:a16="http://schemas.microsoft.com/office/drawing/2014/main" id="{CBA09E5E-13E3-9D6E-1882-A029CEE4EB5A}"/>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25" name="Text Box 65" hidden="1">
          <a:extLst>
            <a:ext uri="{FF2B5EF4-FFF2-40B4-BE49-F238E27FC236}">
              <a16:creationId xmlns:a16="http://schemas.microsoft.com/office/drawing/2014/main" id="{E2DFB43C-43CA-08CC-BA87-32149995EFBE}"/>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24" name="Text Box 64" hidden="1">
          <a:extLst>
            <a:ext uri="{FF2B5EF4-FFF2-40B4-BE49-F238E27FC236}">
              <a16:creationId xmlns:a16="http://schemas.microsoft.com/office/drawing/2014/main" id="{853D25EC-17CF-1EC8-B974-C6EDED736347}"/>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23" name="Text Box 63" hidden="1">
          <a:extLst>
            <a:ext uri="{FF2B5EF4-FFF2-40B4-BE49-F238E27FC236}">
              <a16:creationId xmlns:a16="http://schemas.microsoft.com/office/drawing/2014/main" id="{380B5D08-C837-83A8-61D2-20573941F25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22" name="Text Box 62" hidden="1">
          <a:extLst>
            <a:ext uri="{FF2B5EF4-FFF2-40B4-BE49-F238E27FC236}">
              <a16:creationId xmlns:a16="http://schemas.microsoft.com/office/drawing/2014/main" id="{DE1ECCF4-3129-3A4C-D060-679470B4986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21" name="Text Box 61" hidden="1">
          <a:extLst>
            <a:ext uri="{FF2B5EF4-FFF2-40B4-BE49-F238E27FC236}">
              <a16:creationId xmlns:a16="http://schemas.microsoft.com/office/drawing/2014/main" id="{483FEC49-7E26-E624-3575-BA4708E3435F}"/>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20" name="Text Box 60" hidden="1">
          <a:extLst>
            <a:ext uri="{FF2B5EF4-FFF2-40B4-BE49-F238E27FC236}">
              <a16:creationId xmlns:a16="http://schemas.microsoft.com/office/drawing/2014/main" id="{26A79ED8-B6B1-662F-3406-43FC6FF628CE}"/>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19" name="Text Box 59" hidden="1">
          <a:extLst>
            <a:ext uri="{FF2B5EF4-FFF2-40B4-BE49-F238E27FC236}">
              <a16:creationId xmlns:a16="http://schemas.microsoft.com/office/drawing/2014/main" id="{43DEDDD1-25E9-B3F8-3328-BDC9D0A255A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18" name="Text Box 58" hidden="1">
          <a:extLst>
            <a:ext uri="{FF2B5EF4-FFF2-40B4-BE49-F238E27FC236}">
              <a16:creationId xmlns:a16="http://schemas.microsoft.com/office/drawing/2014/main" id="{C6AFB107-E031-5AAD-DBE8-6CB3F25B8EB5}"/>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17" name="Text Box 57" hidden="1">
          <a:extLst>
            <a:ext uri="{FF2B5EF4-FFF2-40B4-BE49-F238E27FC236}">
              <a16:creationId xmlns:a16="http://schemas.microsoft.com/office/drawing/2014/main" id="{1C95F654-776F-C2BE-8C12-08130D87E6A1}"/>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16" name="Text Box 56" hidden="1">
          <a:extLst>
            <a:ext uri="{FF2B5EF4-FFF2-40B4-BE49-F238E27FC236}">
              <a16:creationId xmlns:a16="http://schemas.microsoft.com/office/drawing/2014/main" id="{1BE39442-43A6-0A90-70C9-C59B554B328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15" name="Text Box 55" hidden="1">
          <a:extLst>
            <a:ext uri="{FF2B5EF4-FFF2-40B4-BE49-F238E27FC236}">
              <a16:creationId xmlns:a16="http://schemas.microsoft.com/office/drawing/2014/main" id="{C6955F2D-EBA2-EEE8-2B01-1872FA798990}"/>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50" name="Text Box 90" hidden="1">
          <a:extLst>
            <a:ext uri="{FF2B5EF4-FFF2-40B4-BE49-F238E27FC236}">
              <a16:creationId xmlns:a16="http://schemas.microsoft.com/office/drawing/2014/main" id="{9FEB273C-F0EC-428F-F480-27BBD318DF9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49" name="Text Box 89" hidden="1">
          <a:extLst>
            <a:ext uri="{FF2B5EF4-FFF2-40B4-BE49-F238E27FC236}">
              <a16:creationId xmlns:a16="http://schemas.microsoft.com/office/drawing/2014/main" id="{DE1A51FD-1A95-6BA0-F132-E3D77BFF9069}"/>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48" name="Text Box 88" hidden="1">
          <a:extLst>
            <a:ext uri="{FF2B5EF4-FFF2-40B4-BE49-F238E27FC236}">
              <a16:creationId xmlns:a16="http://schemas.microsoft.com/office/drawing/2014/main" id="{31A1A8A7-C302-17C8-D208-A68AA6395681}"/>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47" name="Text Box 87" hidden="1">
          <a:extLst>
            <a:ext uri="{FF2B5EF4-FFF2-40B4-BE49-F238E27FC236}">
              <a16:creationId xmlns:a16="http://schemas.microsoft.com/office/drawing/2014/main" id="{4495F29D-627E-82AC-5D71-06B40065536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46" name="Text Box 86" hidden="1">
          <a:extLst>
            <a:ext uri="{FF2B5EF4-FFF2-40B4-BE49-F238E27FC236}">
              <a16:creationId xmlns:a16="http://schemas.microsoft.com/office/drawing/2014/main" id="{9F651967-0F76-921E-30D8-A73E06F3AFB2}"/>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45" name="Text Box 85" hidden="1">
          <a:extLst>
            <a:ext uri="{FF2B5EF4-FFF2-40B4-BE49-F238E27FC236}">
              <a16:creationId xmlns:a16="http://schemas.microsoft.com/office/drawing/2014/main" id="{10DCD79C-175D-50E9-01AF-7D825B4E78FA}"/>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44" name="Text Box 84" hidden="1">
          <a:extLst>
            <a:ext uri="{FF2B5EF4-FFF2-40B4-BE49-F238E27FC236}">
              <a16:creationId xmlns:a16="http://schemas.microsoft.com/office/drawing/2014/main" id="{54B2EB07-4630-EECA-A72B-B1BBA0E22128}"/>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43" name="Text Box 83" hidden="1">
          <a:extLst>
            <a:ext uri="{FF2B5EF4-FFF2-40B4-BE49-F238E27FC236}">
              <a16:creationId xmlns:a16="http://schemas.microsoft.com/office/drawing/2014/main" id="{62EECBA6-2D6D-D47D-3560-F1D7B5255E4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42" name="Text Box 82" hidden="1">
          <a:extLst>
            <a:ext uri="{FF2B5EF4-FFF2-40B4-BE49-F238E27FC236}">
              <a16:creationId xmlns:a16="http://schemas.microsoft.com/office/drawing/2014/main" id="{909C542A-B23B-4A05-F425-C607A5B36998}"/>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41" name="Text Box 81" hidden="1">
          <a:extLst>
            <a:ext uri="{FF2B5EF4-FFF2-40B4-BE49-F238E27FC236}">
              <a16:creationId xmlns:a16="http://schemas.microsoft.com/office/drawing/2014/main" id="{280EBFA3-3E08-A24C-A875-CE2BBEC7D6C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40" name="Text Box 80" hidden="1">
          <a:extLst>
            <a:ext uri="{FF2B5EF4-FFF2-40B4-BE49-F238E27FC236}">
              <a16:creationId xmlns:a16="http://schemas.microsoft.com/office/drawing/2014/main" id="{23A30279-27EC-D533-FBDC-D570283F839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39" name="Text Box 79" hidden="1">
          <a:extLst>
            <a:ext uri="{FF2B5EF4-FFF2-40B4-BE49-F238E27FC236}">
              <a16:creationId xmlns:a16="http://schemas.microsoft.com/office/drawing/2014/main" id="{527B0D37-913A-349D-4528-53951A43BD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38" name="Text Box 78" hidden="1">
          <a:extLst>
            <a:ext uri="{FF2B5EF4-FFF2-40B4-BE49-F238E27FC236}">
              <a16:creationId xmlns:a16="http://schemas.microsoft.com/office/drawing/2014/main" id="{5BC2688D-DD0F-4C56-54C4-DDFF405C9008}"/>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37" name="Text Box 77" hidden="1">
          <a:extLst>
            <a:ext uri="{FF2B5EF4-FFF2-40B4-BE49-F238E27FC236}">
              <a16:creationId xmlns:a16="http://schemas.microsoft.com/office/drawing/2014/main" id="{8E337A17-EC30-F74B-98D4-9F27BA552222}"/>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36" name="Text Box 76" hidden="1">
          <a:extLst>
            <a:ext uri="{FF2B5EF4-FFF2-40B4-BE49-F238E27FC236}">
              <a16:creationId xmlns:a16="http://schemas.microsoft.com/office/drawing/2014/main" id="{61BE5686-2AFA-5722-47DC-96E347213ADF}"/>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35" name="Text Box 75" hidden="1">
          <a:extLst>
            <a:ext uri="{FF2B5EF4-FFF2-40B4-BE49-F238E27FC236}">
              <a16:creationId xmlns:a16="http://schemas.microsoft.com/office/drawing/2014/main" id="{B3660A24-2EE5-B415-85BB-287B11AC4BB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34" name="Text Box 74" hidden="1">
          <a:extLst>
            <a:ext uri="{FF2B5EF4-FFF2-40B4-BE49-F238E27FC236}">
              <a16:creationId xmlns:a16="http://schemas.microsoft.com/office/drawing/2014/main" id="{7B176A7A-D725-E1BC-095B-085FEB83C3BF}"/>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33" name="Text Box 73" hidden="1">
          <a:extLst>
            <a:ext uri="{FF2B5EF4-FFF2-40B4-BE49-F238E27FC236}">
              <a16:creationId xmlns:a16="http://schemas.microsoft.com/office/drawing/2014/main" id="{0D11A201-012A-2A99-8A24-8A7F4912317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68" name="Text Box 108" hidden="1">
          <a:extLst>
            <a:ext uri="{FF2B5EF4-FFF2-40B4-BE49-F238E27FC236}">
              <a16:creationId xmlns:a16="http://schemas.microsoft.com/office/drawing/2014/main" id="{55B954A5-D1C8-9AF6-D9C5-75324A1ABD06}"/>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67" name="Text Box 107" hidden="1">
          <a:extLst>
            <a:ext uri="{FF2B5EF4-FFF2-40B4-BE49-F238E27FC236}">
              <a16:creationId xmlns:a16="http://schemas.microsoft.com/office/drawing/2014/main" id="{8D1B9AC1-38E4-05AC-3FF3-AFAF225757B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66" name="Text Box 106" hidden="1">
          <a:extLst>
            <a:ext uri="{FF2B5EF4-FFF2-40B4-BE49-F238E27FC236}">
              <a16:creationId xmlns:a16="http://schemas.microsoft.com/office/drawing/2014/main" id="{6C0C1208-3D0D-B545-4EE5-12EADABB8F0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65" name="Text Box 105" hidden="1">
          <a:extLst>
            <a:ext uri="{FF2B5EF4-FFF2-40B4-BE49-F238E27FC236}">
              <a16:creationId xmlns:a16="http://schemas.microsoft.com/office/drawing/2014/main" id="{EB121873-2287-A2DB-89E7-3FF66C737FC9}"/>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64" name="Text Box 104" hidden="1">
          <a:extLst>
            <a:ext uri="{FF2B5EF4-FFF2-40B4-BE49-F238E27FC236}">
              <a16:creationId xmlns:a16="http://schemas.microsoft.com/office/drawing/2014/main" id="{C2A6E14F-B3F5-CABE-1FBA-85F49CF059A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63" name="Text Box 103" hidden="1">
          <a:extLst>
            <a:ext uri="{FF2B5EF4-FFF2-40B4-BE49-F238E27FC236}">
              <a16:creationId xmlns:a16="http://schemas.microsoft.com/office/drawing/2014/main" id="{98809196-FE80-4A4C-71F1-7D11FD999C5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62" name="Text Box 102" hidden="1">
          <a:extLst>
            <a:ext uri="{FF2B5EF4-FFF2-40B4-BE49-F238E27FC236}">
              <a16:creationId xmlns:a16="http://schemas.microsoft.com/office/drawing/2014/main" id="{58EA3C78-7910-E91E-C5FF-F25E290D29B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61" name="Text Box 101" hidden="1">
          <a:extLst>
            <a:ext uri="{FF2B5EF4-FFF2-40B4-BE49-F238E27FC236}">
              <a16:creationId xmlns:a16="http://schemas.microsoft.com/office/drawing/2014/main" id="{10DF9DB6-3255-87C9-2C43-A0598C7E79B7}"/>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60" name="Text Box 100" hidden="1">
          <a:extLst>
            <a:ext uri="{FF2B5EF4-FFF2-40B4-BE49-F238E27FC236}">
              <a16:creationId xmlns:a16="http://schemas.microsoft.com/office/drawing/2014/main" id="{E833BCAC-615F-7B3E-D88D-808D57A63041}"/>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59" name="Text Box 99" hidden="1">
          <a:extLst>
            <a:ext uri="{FF2B5EF4-FFF2-40B4-BE49-F238E27FC236}">
              <a16:creationId xmlns:a16="http://schemas.microsoft.com/office/drawing/2014/main" id="{DECCB0A7-51A7-B72D-F542-C1A4582663E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58" name="Text Box 98" hidden="1">
          <a:extLst>
            <a:ext uri="{FF2B5EF4-FFF2-40B4-BE49-F238E27FC236}">
              <a16:creationId xmlns:a16="http://schemas.microsoft.com/office/drawing/2014/main" id="{BEE93D2C-1218-77C0-B325-ED257C7BCA91}"/>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57" name="Text Box 97" hidden="1">
          <a:extLst>
            <a:ext uri="{FF2B5EF4-FFF2-40B4-BE49-F238E27FC236}">
              <a16:creationId xmlns:a16="http://schemas.microsoft.com/office/drawing/2014/main" id="{3652439E-CA15-809A-AB25-805D6A28CCC7}"/>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56" name="Text Box 96" hidden="1">
          <a:extLst>
            <a:ext uri="{FF2B5EF4-FFF2-40B4-BE49-F238E27FC236}">
              <a16:creationId xmlns:a16="http://schemas.microsoft.com/office/drawing/2014/main" id="{18395B03-AB3B-78E1-65D5-E9D954799831}"/>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55" name="Text Box 95" hidden="1">
          <a:extLst>
            <a:ext uri="{FF2B5EF4-FFF2-40B4-BE49-F238E27FC236}">
              <a16:creationId xmlns:a16="http://schemas.microsoft.com/office/drawing/2014/main" id="{A597661F-908A-A610-ED5B-A2CF891326AF}"/>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54" name="Text Box 94" hidden="1">
          <a:extLst>
            <a:ext uri="{FF2B5EF4-FFF2-40B4-BE49-F238E27FC236}">
              <a16:creationId xmlns:a16="http://schemas.microsoft.com/office/drawing/2014/main" id="{858FAD4E-83A7-DAF9-7260-8B40E4EC6C9E}"/>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53" name="Text Box 93" hidden="1">
          <a:extLst>
            <a:ext uri="{FF2B5EF4-FFF2-40B4-BE49-F238E27FC236}">
              <a16:creationId xmlns:a16="http://schemas.microsoft.com/office/drawing/2014/main" id="{5073BEBF-A013-F941-F6F2-17E82BDB4E26}"/>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52" name="Text Box 92" hidden="1">
          <a:extLst>
            <a:ext uri="{FF2B5EF4-FFF2-40B4-BE49-F238E27FC236}">
              <a16:creationId xmlns:a16="http://schemas.microsoft.com/office/drawing/2014/main" id="{F269276D-DB13-80DB-A0C2-9A00BCC792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51" name="Text Box 91" hidden="1">
          <a:extLst>
            <a:ext uri="{FF2B5EF4-FFF2-40B4-BE49-F238E27FC236}">
              <a16:creationId xmlns:a16="http://schemas.microsoft.com/office/drawing/2014/main" id="{41D06F80-D88D-FE68-AE20-3287A3212B7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04" name="Text Box 144" hidden="1">
          <a:extLst>
            <a:ext uri="{FF2B5EF4-FFF2-40B4-BE49-F238E27FC236}">
              <a16:creationId xmlns:a16="http://schemas.microsoft.com/office/drawing/2014/main" id="{E5EC0A44-C03C-2171-4145-E2423E0F6B2E}"/>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03" name="Text Box 143" hidden="1">
          <a:extLst>
            <a:ext uri="{FF2B5EF4-FFF2-40B4-BE49-F238E27FC236}">
              <a16:creationId xmlns:a16="http://schemas.microsoft.com/office/drawing/2014/main" id="{A0C365DF-989C-D60E-7944-3D4225637E9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02" name="Text Box 142" hidden="1">
          <a:extLst>
            <a:ext uri="{FF2B5EF4-FFF2-40B4-BE49-F238E27FC236}">
              <a16:creationId xmlns:a16="http://schemas.microsoft.com/office/drawing/2014/main" id="{54E86B33-72DB-8839-0E45-A52621D23E3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01" name="Text Box 141" hidden="1">
          <a:extLst>
            <a:ext uri="{FF2B5EF4-FFF2-40B4-BE49-F238E27FC236}">
              <a16:creationId xmlns:a16="http://schemas.microsoft.com/office/drawing/2014/main" id="{4CF2D4CB-89EF-DBB8-1FD6-801A1FE42A3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00" name="Text Box 140" hidden="1">
          <a:extLst>
            <a:ext uri="{FF2B5EF4-FFF2-40B4-BE49-F238E27FC236}">
              <a16:creationId xmlns:a16="http://schemas.microsoft.com/office/drawing/2014/main" id="{52AF4C78-C216-4A20-0F06-BB6997B32787}"/>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99" name="Text Box 139" hidden="1">
          <a:extLst>
            <a:ext uri="{FF2B5EF4-FFF2-40B4-BE49-F238E27FC236}">
              <a16:creationId xmlns:a16="http://schemas.microsoft.com/office/drawing/2014/main" id="{8583316E-73C9-AAB6-DA4D-295B7EC1A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98" name="Text Box 138" hidden="1">
          <a:extLst>
            <a:ext uri="{FF2B5EF4-FFF2-40B4-BE49-F238E27FC236}">
              <a16:creationId xmlns:a16="http://schemas.microsoft.com/office/drawing/2014/main" id="{F8B11DD9-0F6F-6D48-7982-4CE78B86C23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97" name="Text Box 137" hidden="1">
          <a:extLst>
            <a:ext uri="{FF2B5EF4-FFF2-40B4-BE49-F238E27FC236}">
              <a16:creationId xmlns:a16="http://schemas.microsoft.com/office/drawing/2014/main" id="{ECFB81CA-BEAD-7E66-3FC1-074B1A02047F}"/>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96" name="Text Box 136" hidden="1">
          <a:extLst>
            <a:ext uri="{FF2B5EF4-FFF2-40B4-BE49-F238E27FC236}">
              <a16:creationId xmlns:a16="http://schemas.microsoft.com/office/drawing/2014/main" id="{7DCF58F6-7033-55EE-AFE3-F0207A44411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95" name="Text Box 135" hidden="1">
          <a:extLst>
            <a:ext uri="{FF2B5EF4-FFF2-40B4-BE49-F238E27FC236}">
              <a16:creationId xmlns:a16="http://schemas.microsoft.com/office/drawing/2014/main" id="{A61FF78C-AF06-6B67-90F5-346E76825AC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94" name="Text Box 134" hidden="1">
          <a:extLst>
            <a:ext uri="{FF2B5EF4-FFF2-40B4-BE49-F238E27FC236}">
              <a16:creationId xmlns:a16="http://schemas.microsoft.com/office/drawing/2014/main" id="{C054E130-4B42-C7B5-9AF3-012B03D24A35}"/>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93" name="Text Box 133" hidden="1">
          <a:extLst>
            <a:ext uri="{FF2B5EF4-FFF2-40B4-BE49-F238E27FC236}">
              <a16:creationId xmlns:a16="http://schemas.microsoft.com/office/drawing/2014/main" id="{B195FE82-66CF-A92D-5168-4A61587B14F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92" name="Text Box 132" hidden="1">
          <a:extLst>
            <a:ext uri="{FF2B5EF4-FFF2-40B4-BE49-F238E27FC236}">
              <a16:creationId xmlns:a16="http://schemas.microsoft.com/office/drawing/2014/main" id="{BE3117FF-97C9-1D33-CD8C-AC7C14273C51}"/>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91" name="Text Box 131" hidden="1">
          <a:extLst>
            <a:ext uri="{FF2B5EF4-FFF2-40B4-BE49-F238E27FC236}">
              <a16:creationId xmlns:a16="http://schemas.microsoft.com/office/drawing/2014/main" id="{A5DC8501-7AA6-E520-350A-003FCB17FB7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90" name="Text Box 130" hidden="1">
          <a:extLst>
            <a:ext uri="{FF2B5EF4-FFF2-40B4-BE49-F238E27FC236}">
              <a16:creationId xmlns:a16="http://schemas.microsoft.com/office/drawing/2014/main" id="{8B47E433-8EFA-5009-3B13-B5011EB9FD9E}"/>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89" name="Text Box 129" hidden="1">
          <a:extLst>
            <a:ext uri="{FF2B5EF4-FFF2-40B4-BE49-F238E27FC236}">
              <a16:creationId xmlns:a16="http://schemas.microsoft.com/office/drawing/2014/main" id="{EC35543E-FFCE-EFC9-AD21-6799AD563E4A}"/>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88" name="Text Box 128" hidden="1">
          <a:extLst>
            <a:ext uri="{FF2B5EF4-FFF2-40B4-BE49-F238E27FC236}">
              <a16:creationId xmlns:a16="http://schemas.microsoft.com/office/drawing/2014/main" id="{8849FA2B-A1CE-3A76-64D6-776E5E413E77}"/>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87" name="Text Box 127" hidden="1">
          <a:extLst>
            <a:ext uri="{FF2B5EF4-FFF2-40B4-BE49-F238E27FC236}">
              <a16:creationId xmlns:a16="http://schemas.microsoft.com/office/drawing/2014/main" id="{1EF8A7EA-0241-29F7-A27C-D247101A27C9}"/>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86" name="Text Box 126" hidden="1">
          <a:extLst>
            <a:ext uri="{FF2B5EF4-FFF2-40B4-BE49-F238E27FC236}">
              <a16:creationId xmlns:a16="http://schemas.microsoft.com/office/drawing/2014/main" id="{11A40B11-AB33-FFD8-35DA-732BB702645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85" name="Text Box 125" hidden="1">
          <a:extLst>
            <a:ext uri="{FF2B5EF4-FFF2-40B4-BE49-F238E27FC236}">
              <a16:creationId xmlns:a16="http://schemas.microsoft.com/office/drawing/2014/main" id="{9FC31A9F-6DE8-BE30-C831-44221ABC6611}"/>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84" name="Text Box 124" hidden="1">
          <a:extLst>
            <a:ext uri="{FF2B5EF4-FFF2-40B4-BE49-F238E27FC236}">
              <a16:creationId xmlns:a16="http://schemas.microsoft.com/office/drawing/2014/main" id="{3BFC5514-EA08-A866-4A4F-67E0F16E9D37}"/>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83" name="Text Box 123" hidden="1">
          <a:extLst>
            <a:ext uri="{FF2B5EF4-FFF2-40B4-BE49-F238E27FC236}">
              <a16:creationId xmlns:a16="http://schemas.microsoft.com/office/drawing/2014/main" id="{C9CB33E5-D3DE-B053-6A98-77629B099C0B}"/>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82" name="Text Box 122" hidden="1">
          <a:extLst>
            <a:ext uri="{FF2B5EF4-FFF2-40B4-BE49-F238E27FC236}">
              <a16:creationId xmlns:a16="http://schemas.microsoft.com/office/drawing/2014/main" id="{784E6994-FA68-5D80-3541-6D736E928A8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81" name="Text Box 121" hidden="1">
          <a:extLst>
            <a:ext uri="{FF2B5EF4-FFF2-40B4-BE49-F238E27FC236}">
              <a16:creationId xmlns:a16="http://schemas.microsoft.com/office/drawing/2014/main" id="{6ED91B3D-5F9F-5457-0C4D-7F9AEA162432}"/>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80" name="Text Box 120" hidden="1">
          <a:extLst>
            <a:ext uri="{FF2B5EF4-FFF2-40B4-BE49-F238E27FC236}">
              <a16:creationId xmlns:a16="http://schemas.microsoft.com/office/drawing/2014/main" id="{D4A50A11-F42D-8C75-9610-A366C371418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79" name="Text Box 119" hidden="1">
          <a:extLst>
            <a:ext uri="{FF2B5EF4-FFF2-40B4-BE49-F238E27FC236}">
              <a16:creationId xmlns:a16="http://schemas.microsoft.com/office/drawing/2014/main" id="{D01C1F70-DB77-D2BF-97D6-51577E35FEB0}"/>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78" name="Text Box 118" hidden="1">
          <a:extLst>
            <a:ext uri="{FF2B5EF4-FFF2-40B4-BE49-F238E27FC236}">
              <a16:creationId xmlns:a16="http://schemas.microsoft.com/office/drawing/2014/main" id="{F7B65222-0167-F24F-BAA3-40DEFE7E1F43}"/>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77" name="Text Box 117" hidden="1">
          <a:extLst>
            <a:ext uri="{FF2B5EF4-FFF2-40B4-BE49-F238E27FC236}">
              <a16:creationId xmlns:a16="http://schemas.microsoft.com/office/drawing/2014/main" id="{EBA745CB-7E5C-1D01-3EA4-7356F4A4D87E}"/>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76" name="Text Box 116" hidden="1">
          <a:extLst>
            <a:ext uri="{FF2B5EF4-FFF2-40B4-BE49-F238E27FC236}">
              <a16:creationId xmlns:a16="http://schemas.microsoft.com/office/drawing/2014/main" id="{4FC5D77A-A16A-9EF7-EA1F-FD5C76B71826}"/>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75" name="Text Box 115" hidden="1">
          <a:extLst>
            <a:ext uri="{FF2B5EF4-FFF2-40B4-BE49-F238E27FC236}">
              <a16:creationId xmlns:a16="http://schemas.microsoft.com/office/drawing/2014/main" id="{A6D6F9C7-67EA-C0D4-EB9D-8129A960A2EC}"/>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74" name="Text Box 114" hidden="1">
          <a:extLst>
            <a:ext uri="{FF2B5EF4-FFF2-40B4-BE49-F238E27FC236}">
              <a16:creationId xmlns:a16="http://schemas.microsoft.com/office/drawing/2014/main" id="{AF71F6AB-3806-B2FE-E63F-ECBED4C3639D}"/>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73" name="Text Box 113" hidden="1">
          <a:extLst>
            <a:ext uri="{FF2B5EF4-FFF2-40B4-BE49-F238E27FC236}">
              <a16:creationId xmlns:a16="http://schemas.microsoft.com/office/drawing/2014/main" id="{5443763E-51F0-363D-3E6A-5548952ED286}"/>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72" name="Text Box 112" hidden="1">
          <a:extLst>
            <a:ext uri="{FF2B5EF4-FFF2-40B4-BE49-F238E27FC236}">
              <a16:creationId xmlns:a16="http://schemas.microsoft.com/office/drawing/2014/main" id="{94C0DABD-B673-0B98-C5A0-FF722A1EEC8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71" name="Text Box 111" hidden="1">
          <a:extLst>
            <a:ext uri="{FF2B5EF4-FFF2-40B4-BE49-F238E27FC236}">
              <a16:creationId xmlns:a16="http://schemas.microsoft.com/office/drawing/2014/main" id="{05E95257-C15E-90F9-A643-85A280B4844D}"/>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70" name="Text Box 110" hidden="1">
          <a:extLst>
            <a:ext uri="{FF2B5EF4-FFF2-40B4-BE49-F238E27FC236}">
              <a16:creationId xmlns:a16="http://schemas.microsoft.com/office/drawing/2014/main" id="{369AF97E-9576-A26B-0630-16B6DB6E54E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69" name="Text Box 109" hidden="1">
          <a:extLst>
            <a:ext uri="{FF2B5EF4-FFF2-40B4-BE49-F238E27FC236}">
              <a16:creationId xmlns:a16="http://schemas.microsoft.com/office/drawing/2014/main" id="{21759A3F-1E29-1481-6D72-096634314BC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22" name="Text Box 162" hidden="1">
          <a:extLst>
            <a:ext uri="{FF2B5EF4-FFF2-40B4-BE49-F238E27FC236}">
              <a16:creationId xmlns:a16="http://schemas.microsoft.com/office/drawing/2014/main" id="{D588AC09-4751-223A-77C5-8DD9EAF6DB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21" name="Text Box 161" hidden="1">
          <a:extLst>
            <a:ext uri="{FF2B5EF4-FFF2-40B4-BE49-F238E27FC236}">
              <a16:creationId xmlns:a16="http://schemas.microsoft.com/office/drawing/2014/main" id="{592ACE5E-8FCD-BC54-554A-FDA721FDAF72}"/>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20" name="Text Box 160" hidden="1">
          <a:extLst>
            <a:ext uri="{FF2B5EF4-FFF2-40B4-BE49-F238E27FC236}">
              <a16:creationId xmlns:a16="http://schemas.microsoft.com/office/drawing/2014/main" id="{789AB1B3-73BD-840D-319D-FE07839C48D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19" name="Text Box 159" hidden="1">
          <a:extLst>
            <a:ext uri="{FF2B5EF4-FFF2-40B4-BE49-F238E27FC236}">
              <a16:creationId xmlns:a16="http://schemas.microsoft.com/office/drawing/2014/main" id="{B709DB7E-9367-E131-A998-A80FB660E26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18" name="Text Box 158" hidden="1">
          <a:extLst>
            <a:ext uri="{FF2B5EF4-FFF2-40B4-BE49-F238E27FC236}">
              <a16:creationId xmlns:a16="http://schemas.microsoft.com/office/drawing/2014/main" id="{4B6BCDB2-C3CA-C628-BB70-F3BDABE0CAE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17" name="Text Box 157" hidden="1">
          <a:extLst>
            <a:ext uri="{FF2B5EF4-FFF2-40B4-BE49-F238E27FC236}">
              <a16:creationId xmlns:a16="http://schemas.microsoft.com/office/drawing/2014/main" id="{D6DC3ED6-4CB3-979C-F2BC-96D9A7312F0D}"/>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16" name="Text Box 156" hidden="1">
          <a:extLst>
            <a:ext uri="{FF2B5EF4-FFF2-40B4-BE49-F238E27FC236}">
              <a16:creationId xmlns:a16="http://schemas.microsoft.com/office/drawing/2014/main" id="{82FFFCE3-ED28-7C26-D35C-249D75AC2629}"/>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15" name="Text Box 155" hidden="1">
          <a:extLst>
            <a:ext uri="{FF2B5EF4-FFF2-40B4-BE49-F238E27FC236}">
              <a16:creationId xmlns:a16="http://schemas.microsoft.com/office/drawing/2014/main" id="{955B7D26-5F89-6EE6-FDD6-F79EAACF7F46}"/>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14" name="Text Box 154" hidden="1">
          <a:extLst>
            <a:ext uri="{FF2B5EF4-FFF2-40B4-BE49-F238E27FC236}">
              <a16:creationId xmlns:a16="http://schemas.microsoft.com/office/drawing/2014/main" id="{DD92601A-B417-DC87-EA49-1EFD9ACC58F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13" name="Text Box 153" hidden="1">
          <a:extLst>
            <a:ext uri="{FF2B5EF4-FFF2-40B4-BE49-F238E27FC236}">
              <a16:creationId xmlns:a16="http://schemas.microsoft.com/office/drawing/2014/main" id="{40D04E43-0957-8AA1-4C34-BBC5EF07E24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12" name="Text Box 152" hidden="1">
          <a:extLst>
            <a:ext uri="{FF2B5EF4-FFF2-40B4-BE49-F238E27FC236}">
              <a16:creationId xmlns:a16="http://schemas.microsoft.com/office/drawing/2014/main" id="{D116C01C-0C9A-8E6D-502E-72C518FDAF87}"/>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11" name="Text Box 151" hidden="1">
          <a:extLst>
            <a:ext uri="{FF2B5EF4-FFF2-40B4-BE49-F238E27FC236}">
              <a16:creationId xmlns:a16="http://schemas.microsoft.com/office/drawing/2014/main" id="{6B694E4C-DCCE-F85F-B01A-8641A24062DE}"/>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10" name="Text Box 150" hidden="1">
          <a:extLst>
            <a:ext uri="{FF2B5EF4-FFF2-40B4-BE49-F238E27FC236}">
              <a16:creationId xmlns:a16="http://schemas.microsoft.com/office/drawing/2014/main" id="{AFA18855-34A5-3F4C-71EE-79D30A01C550}"/>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09" name="Text Box 149" hidden="1">
          <a:extLst>
            <a:ext uri="{FF2B5EF4-FFF2-40B4-BE49-F238E27FC236}">
              <a16:creationId xmlns:a16="http://schemas.microsoft.com/office/drawing/2014/main" id="{E5E0AC7A-6C1F-A5A8-84FA-B54171E42522}"/>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08" name="Text Box 148" hidden="1">
          <a:extLst>
            <a:ext uri="{FF2B5EF4-FFF2-40B4-BE49-F238E27FC236}">
              <a16:creationId xmlns:a16="http://schemas.microsoft.com/office/drawing/2014/main" id="{CF82399F-2E82-D8D5-CFB5-FF74D32206CF}"/>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07" name="Text Box 147" hidden="1">
          <a:extLst>
            <a:ext uri="{FF2B5EF4-FFF2-40B4-BE49-F238E27FC236}">
              <a16:creationId xmlns:a16="http://schemas.microsoft.com/office/drawing/2014/main" id="{700D3507-757D-7AEF-C5EE-16122F8704E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06" name="Text Box 146" hidden="1">
          <a:extLst>
            <a:ext uri="{FF2B5EF4-FFF2-40B4-BE49-F238E27FC236}">
              <a16:creationId xmlns:a16="http://schemas.microsoft.com/office/drawing/2014/main" id="{BD9A2D51-3856-934A-6015-4205DB85927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05" name="Text Box 145" hidden="1">
          <a:extLst>
            <a:ext uri="{FF2B5EF4-FFF2-40B4-BE49-F238E27FC236}">
              <a16:creationId xmlns:a16="http://schemas.microsoft.com/office/drawing/2014/main" id="{3C562E06-193F-358A-4E47-91C619D4564A}"/>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40" name="Text Box 180" hidden="1">
          <a:extLst>
            <a:ext uri="{FF2B5EF4-FFF2-40B4-BE49-F238E27FC236}">
              <a16:creationId xmlns:a16="http://schemas.microsoft.com/office/drawing/2014/main" id="{28EA635F-5A32-A4D2-1C0B-FD71DB6C1E5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39" name="Text Box 179" hidden="1">
          <a:extLst>
            <a:ext uri="{FF2B5EF4-FFF2-40B4-BE49-F238E27FC236}">
              <a16:creationId xmlns:a16="http://schemas.microsoft.com/office/drawing/2014/main" id="{6CBD67B2-56E5-43B3-7CCE-319DEC714873}"/>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38" name="Text Box 178" hidden="1">
          <a:extLst>
            <a:ext uri="{FF2B5EF4-FFF2-40B4-BE49-F238E27FC236}">
              <a16:creationId xmlns:a16="http://schemas.microsoft.com/office/drawing/2014/main" id="{2752CCDE-4AFD-C7DE-CC0A-07BF069B8D46}"/>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37" name="Text Box 177" hidden="1">
          <a:extLst>
            <a:ext uri="{FF2B5EF4-FFF2-40B4-BE49-F238E27FC236}">
              <a16:creationId xmlns:a16="http://schemas.microsoft.com/office/drawing/2014/main" id="{64C0CA45-FE5F-9C07-6E0B-1C7AA86F38A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36" name="Text Box 176" hidden="1">
          <a:extLst>
            <a:ext uri="{FF2B5EF4-FFF2-40B4-BE49-F238E27FC236}">
              <a16:creationId xmlns:a16="http://schemas.microsoft.com/office/drawing/2014/main" id="{31BEF7A3-295E-9588-7E28-FF1A87E648C4}"/>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35" name="Text Box 175" hidden="1">
          <a:extLst>
            <a:ext uri="{FF2B5EF4-FFF2-40B4-BE49-F238E27FC236}">
              <a16:creationId xmlns:a16="http://schemas.microsoft.com/office/drawing/2014/main" id="{2AA10193-A78E-825A-DAFC-BCF3B4E396C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34" name="Text Box 174" hidden="1">
          <a:extLst>
            <a:ext uri="{FF2B5EF4-FFF2-40B4-BE49-F238E27FC236}">
              <a16:creationId xmlns:a16="http://schemas.microsoft.com/office/drawing/2014/main" id="{F6C9482F-16E9-CDF5-9325-D2315E7F1802}"/>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33" name="Text Box 173" hidden="1">
          <a:extLst>
            <a:ext uri="{FF2B5EF4-FFF2-40B4-BE49-F238E27FC236}">
              <a16:creationId xmlns:a16="http://schemas.microsoft.com/office/drawing/2014/main" id="{0B07AF2F-1132-09D5-AF81-9156ED97E2F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32" name="Text Box 172" hidden="1">
          <a:extLst>
            <a:ext uri="{FF2B5EF4-FFF2-40B4-BE49-F238E27FC236}">
              <a16:creationId xmlns:a16="http://schemas.microsoft.com/office/drawing/2014/main" id="{61D4D838-9C5F-F9CF-8F00-23F4856CA9C5}"/>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31" name="Text Box 171" hidden="1">
          <a:extLst>
            <a:ext uri="{FF2B5EF4-FFF2-40B4-BE49-F238E27FC236}">
              <a16:creationId xmlns:a16="http://schemas.microsoft.com/office/drawing/2014/main" id="{5AAAE54D-4006-57D7-3A56-2C515FAA522F}"/>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30" name="Text Box 170" hidden="1">
          <a:extLst>
            <a:ext uri="{FF2B5EF4-FFF2-40B4-BE49-F238E27FC236}">
              <a16:creationId xmlns:a16="http://schemas.microsoft.com/office/drawing/2014/main" id="{FBC4E487-2049-D07B-3B53-A4BE9E8FCCB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29" name="Text Box 169" hidden="1">
          <a:extLst>
            <a:ext uri="{FF2B5EF4-FFF2-40B4-BE49-F238E27FC236}">
              <a16:creationId xmlns:a16="http://schemas.microsoft.com/office/drawing/2014/main" id="{D993DE9A-CF9D-5807-48CE-B960072516DA}"/>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28" name="Text Box 168" hidden="1">
          <a:extLst>
            <a:ext uri="{FF2B5EF4-FFF2-40B4-BE49-F238E27FC236}">
              <a16:creationId xmlns:a16="http://schemas.microsoft.com/office/drawing/2014/main" id="{9145D250-2B9C-CD8E-F916-E38B0395AC19}"/>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27" name="Text Box 167" hidden="1">
          <a:extLst>
            <a:ext uri="{FF2B5EF4-FFF2-40B4-BE49-F238E27FC236}">
              <a16:creationId xmlns:a16="http://schemas.microsoft.com/office/drawing/2014/main" id="{0A19F514-E1C8-ED6B-45A5-AFAA0C7EF6C1}"/>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26" name="Text Box 166" hidden="1">
          <a:extLst>
            <a:ext uri="{FF2B5EF4-FFF2-40B4-BE49-F238E27FC236}">
              <a16:creationId xmlns:a16="http://schemas.microsoft.com/office/drawing/2014/main" id="{B5BDBDA7-A8A8-7B4D-1106-A606969ACE78}"/>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25" name="Text Box 165" hidden="1">
          <a:extLst>
            <a:ext uri="{FF2B5EF4-FFF2-40B4-BE49-F238E27FC236}">
              <a16:creationId xmlns:a16="http://schemas.microsoft.com/office/drawing/2014/main" id="{A2E5BCA1-94CB-4B25-5491-904333FDD4B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24" name="Text Box 164" hidden="1">
          <a:extLst>
            <a:ext uri="{FF2B5EF4-FFF2-40B4-BE49-F238E27FC236}">
              <a16:creationId xmlns:a16="http://schemas.microsoft.com/office/drawing/2014/main" id="{3BC07E72-65F9-2077-1C98-383C6C566CA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23" name="Text Box 163" hidden="1">
          <a:extLst>
            <a:ext uri="{FF2B5EF4-FFF2-40B4-BE49-F238E27FC236}">
              <a16:creationId xmlns:a16="http://schemas.microsoft.com/office/drawing/2014/main" id="{7982D449-FBB1-62B9-EB71-E35C6F1A825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58" name="Text Box 198" hidden="1">
          <a:extLst>
            <a:ext uri="{FF2B5EF4-FFF2-40B4-BE49-F238E27FC236}">
              <a16:creationId xmlns:a16="http://schemas.microsoft.com/office/drawing/2014/main" id="{09864E50-F4BF-DB46-37D1-E85444B03A1C}"/>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57" name="Text Box 197" hidden="1">
          <a:extLst>
            <a:ext uri="{FF2B5EF4-FFF2-40B4-BE49-F238E27FC236}">
              <a16:creationId xmlns:a16="http://schemas.microsoft.com/office/drawing/2014/main" id="{044E7E1E-AF9A-601D-6B27-814644E606E0}"/>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56" name="Text Box 196" hidden="1">
          <a:extLst>
            <a:ext uri="{FF2B5EF4-FFF2-40B4-BE49-F238E27FC236}">
              <a16:creationId xmlns:a16="http://schemas.microsoft.com/office/drawing/2014/main" id="{C5EB96AE-5F9C-7835-54DE-D78FD645110E}"/>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55" name="Text Box 195" hidden="1">
          <a:extLst>
            <a:ext uri="{FF2B5EF4-FFF2-40B4-BE49-F238E27FC236}">
              <a16:creationId xmlns:a16="http://schemas.microsoft.com/office/drawing/2014/main" id="{D8E3D7BC-6386-E9A8-5639-FC5C6F5B884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54" name="Text Box 194" hidden="1">
          <a:extLst>
            <a:ext uri="{FF2B5EF4-FFF2-40B4-BE49-F238E27FC236}">
              <a16:creationId xmlns:a16="http://schemas.microsoft.com/office/drawing/2014/main" id="{89D0312C-87F8-6A2D-77E3-74D97F7290B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53" name="Text Box 193" hidden="1">
          <a:extLst>
            <a:ext uri="{FF2B5EF4-FFF2-40B4-BE49-F238E27FC236}">
              <a16:creationId xmlns:a16="http://schemas.microsoft.com/office/drawing/2014/main" id="{FBF12AED-8ABE-0A39-679C-642EA351DADC}"/>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52" name="Text Box 192" hidden="1">
          <a:extLst>
            <a:ext uri="{FF2B5EF4-FFF2-40B4-BE49-F238E27FC236}">
              <a16:creationId xmlns:a16="http://schemas.microsoft.com/office/drawing/2014/main" id="{0BF3C935-FD53-D0A0-5554-8E4C56A30F2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51" name="Text Box 191" hidden="1">
          <a:extLst>
            <a:ext uri="{FF2B5EF4-FFF2-40B4-BE49-F238E27FC236}">
              <a16:creationId xmlns:a16="http://schemas.microsoft.com/office/drawing/2014/main" id="{99E1AE6D-C4BA-1665-78AC-9E2A68D91AC2}"/>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50" name="Text Box 190" hidden="1">
          <a:extLst>
            <a:ext uri="{FF2B5EF4-FFF2-40B4-BE49-F238E27FC236}">
              <a16:creationId xmlns:a16="http://schemas.microsoft.com/office/drawing/2014/main" id="{D41D5622-C79F-5BDB-7579-88EFC89E4B74}"/>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49" name="Text Box 189" hidden="1">
          <a:extLst>
            <a:ext uri="{FF2B5EF4-FFF2-40B4-BE49-F238E27FC236}">
              <a16:creationId xmlns:a16="http://schemas.microsoft.com/office/drawing/2014/main" id="{139B93FE-6657-8983-14F4-F0A880E1086A}"/>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48" name="Text Box 188" hidden="1">
          <a:extLst>
            <a:ext uri="{FF2B5EF4-FFF2-40B4-BE49-F238E27FC236}">
              <a16:creationId xmlns:a16="http://schemas.microsoft.com/office/drawing/2014/main" id="{76CD80ED-F3B1-80B0-5DFB-D635030EF0B2}"/>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47" name="Text Box 187" hidden="1">
          <a:extLst>
            <a:ext uri="{FF2B5EF4-FFF2-40B4-BE49-F238E27FC236}">
              <a16:creationId xmlns:a16="http://schemas.microsoft.com/office/drawing/2014/main" id="{FA86C211-FB4D-243B-81A8-0C62F48D8A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46" name="Text Box 186" hidden="1">
          <a:extLst>
            <a:ext uri="{FF2B5EF4-FFF2-40B4-BE49-F238E27FC236}">
              <a16:creationId xmlns:a16="http://schemas.microsoft.com/office/drawing/2014/main" id="{33DA4B3B-2D6A-8F85-6D31-997E4F3C37E4}"/>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45" name="Text Box 185" hidden="1">
          <a:extLst>
            <a:ext uri="{FF2B5EF4-FFF2-40B4-BE49-F238E27FC236}">
              <a16:creationId xmlns:a16="http://schemas.microsoft.com/office/drawing/2014/main" id="{C5647AFC-1865-6BDD-7BD7-1C3312F50CF5}"/>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44" name="Text Box 184" hidden="1">
          <a:extLst>
            <a:ext uri="{FF2B5EF4-FFF2-40B4-BE49-F238E27FC236}">
              <a16:creationId xmlns:a16="http://schemas.microsoft.com/office/drawing/2014/main" id="{A3DCAC3A-2188-1B44-5FBE-CDF7A6A13AD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43" name="Text Box 183" hidden="1">
          <a:extLst>
            <a:ext uri="{FF2B5EF4-FFF2-40B4-BE49-F238E27FC236}">
              <a16:creationId xmlns:a16="http://schemas.microsoft.com/office/drawing/2014/main" id="{80B40D6B-1007-721D-D75C-C717902867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42" name="Text Box 182" hidden="1">
          <a:extLst>
            <a:ext uri="{FF2B5EF4-FFF2-40B4-BE49-F238E27FC236}">
              <a16:creationId xmlns:a16="http://schemas.microsoft.com/office/drawing/2014/main" id="{4390B42C-DF65-2168-1DDA-0EB692C88F1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41" name="Text Box 181" hidden="1">
          <a:extLst>
            <a:ext uri="{FF2B5EF4-FFF2-40B4-BE49-F238E27FC236}">
              <a16:creationId xmlns:a16="http://schemas.microsoft.com/office/drawing/2014/main" id="{1E43E3E9-494D-B03D-468A-749253A777B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76" name="Text Box 216" hidden="1">
          <a:extLst>
            <a:ext uri="{FF2B5EF4-FFF2-40B4-BE49-F238E27FC236}">
              <a16:creationId xmlns:a16="http://schemas.microsoft.com/office/drawing/2014/main" id="{CAF293F5-C13C-A445-5B94-6C61B7E8A24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75" name="Text Box 215" hidden="1">
          <a:extLst>
            <a:ext uri="{FF2B5EF4-FFF2-40B4-BE49-F238E27FC236}">
              <a16:creationId xmlns:a16="http://schemas.microsoft.com/office/drawing/2014/main" id="{C632ACE2-1974-5B19-757C-1BA25600C1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74" name="Text Box 214" hidden="1">
          <a:extLst>
            <a:ext uri="{FF2B5EF4-FFF2-40B4-BE49-F238E27FC236}">
              <a16:creationId xmlns:a16="http://schemas.microsoft.com/office/drawing/2014/main" id="{279481FB-65BD-1BCE-7613-58290262CD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73" name="Text Box 213" hidden="1">
          <a:extLst>
            <a:ext uri="{FF2B5EF4-FFF2-40B4-BE49-F238E27FC236}">
              <a16:creationId xmlns:a16="http://schemas.microsoft.com/office/drawing/2014/main" id="{39FF1584-1D80-F082-366F-1426B46BC198}"/>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72" name="Text Box 212" hidden="1">
          <a:extLst>
            <a:ext uri="{FF2B5EF4-FFF2-40B4-BE49-F238E27FC236}">
              <a16:creationId xmlns:a16="http://schemas.microsoft.com/office/drawing/2014/main" id="{CDF73FE8-B0B8-9512-FE8A-6FDED377CFD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71" name="Text Box 211" hidden="1">
          <a:extLst>
            <a:ext uri="{FF2B5EF4-FFF2-40B4-BE49-F238E27FC236}">
              <a16:creationId xmlns:a16="http://schemas.microsoft.com/office/drawing/2014/main" id="{3C0997A2-240B-CA18-90B4-2CA67E618B6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70" name="Text Box 210" hidden="1">
          <a:extLst>
            <a:ext uri="{FF2B5EF4-FFF2-40B4-BE49-F238E27FC236}">
              <a16:creationId xmlns:a16="http://schemas.microsoft.com/office/drawing/2014/main" id="{58AA5E60-57FF-F56A-E2A2-98B28002041B}"/>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69" name="Text Box 209" hidden="1">
          <a:extLst>
            <a:ext uri="{FF2B5EF4-FFF2-40B4-BE49-F238E27FC236}">
              <a16:creationId xmlns:a16="http://schemas.microsoft.com/office/drawing/2014/main" id="{F66DE21D-249F-1153-10D6-22C097DA57F1}"/>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68" name="Text Box 208" hidden="1">
          <a:extLst>
            <a:ext uri="{FF2B5EF4-FFF2-40B4-BE49-F238E27FC236}">
              <a16:creationId xmlns:a16="http://schemas.microsoft.com/office/drawing/2014/main" id="{FA57440F-2586-7D10-DFEC-1FDF49D8EB0C}"/>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67" name="Text Box 207" hidden="1">
          <a:extLst>
            <a:ext uri="{FF2B5EF4-FFF2-40B4-BE49-F238E27FC236}">
              <a16:creationId xmlns:a16="http://schemas.microsoft.com/office/drawing/2014/main" id="{C4117911-F48E-332C-73C0-F54273309F7C}"/>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66" name="Text Box 206" hidden="1">
          <a:extLst>
            <a:ext uri="{FF2B5EF4-FFF2-40B4-BE49-F238E27FC236}">
              <a16:creationId xmlns:a16="http://schemas.microsoft.com/office/drawing/2014/main" id="{79F7C8C4-2270-8781-1018-239CF5F078EB}"/>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65" name="Text Box 205" hidden="1">
          <a:extLst>
            <a:ext uri="{FF2B5EF4-FFF2-40B4-BE49-F238E27FC236}">
              <a16:creationId xmlns:a16="http://schemas.microsoft.com/office/drawing/2014/main" id="{ECCEFC9F-00DB-0D57-27F1-7C32485B8F5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64" name="Text Box 204" hidden="1">
          <a:extLst>
            <a:ext uri="{FF2B5EF4-FFF2-40B4-BE49-F238E27FC236}">
              <a16:creationId xmlns:a16="http://schemas.microsoft.com/office/drawing/2014/main" id="{D4335A28-940B-F409-AE3C-192492777D5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63" name="Text Box 203" hidden="1">
          <a:extLst>
            <a:ext uri="{FF2B5EF4-FFF2-40B4-BE49-F238E27FC236}">
              <a16:creationId xmlns:a16="http://schemas.microsoft.com/office/drawing/2014/main" id="{DE58FF3B-28EC-B078-7A92-02846E1E429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62" name="Text Box 202" hidden="1">
          <a:extLst>
            <a:ext uri="{FF2B5EF4-FFF2-40B4-BE49-F238E27FC236}">
              <a16:creationId xmlns:a16="http://schemas.microsoft.com/office/drawing/2014/main" id="{B2E58C5A-6B18-D469-5B40-46445B3F1B6C}"/>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61" name="Text Box 201" hidden="1">
          <a:extLst>
            <a:ext uri="{FF2B5EF4-FFF2-40B4-BE49-F238E27FC236}">
              <a16:creationId xmlns:a16="http://schemas.microsoft.com/office/drawing/2014/main" id="{BA94193E-86A0-3B38-5346-CF344983770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60" name="Text Box 200" hidden="1">
          <a:extLst>
            <a:ext uri="{FF2B5EF4-FFF2-40B4-BE49-F238E27FC236}">
              <a16:creationId xmlns:a16="http://schemas.microsoft.com/office/drawing/2014/main" id="{5FEEBD44-1233-A3A3-3A2F-6691A2D39F01}"/>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59" name="Text Box 199" hidden="1">
          <a:extLst>
            <a:ext uri="{FF2B5EF4-FFF2-40B4-BE49-F238E27FC236}">
              <a16:creationId xmlns:a16="http://schemas.microsoft.com/office/drawing/2014/main" id="{4D8C99D2-7AB1-03FE-78FB-AFDA32DC850D}"/>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4805" name="Text Box 21" hidden="1">
          <a:extLst>
            <a:ext uri="{FF2B5EF4-FFF2-40B4-BE49-F238E27FC236}">
              <a16:creationId xmlns:a16="http://schemas.microsoft.com/office/drawing/2014/main" id="{D65DA039-B302-0FFA-5830-2D7E7613276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4804" name="Text Box 20" hidden="1">
          <a:extLst>
            <a:ext uri="{FF2B5EF4-FFF2-40B4-BE49-F238E27FC236}">
              <a16:creationId xmlns:a16="http://schemas.microsoft.com/office/drawing/2014/main" id="{BF7454B9-8F07-519E-0FC7-CF9195301D1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03" name="Text Box 19" hidden="1">
          <a:extLst>
            <a:ext uri="{FF2B5EF4-FFF2-40B4-BE49-F238E27FC236}">
              <a16:creationId xmlns:a16="http://schemas.microsoft.com/office/drawing/2014/main" id="{415EFF81-291E-A2FB-8BA9-F1A513D9D59B}"/>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02" name="Text Box 18" hidden="1">
          <a:extLst>
            <a:ext uri="{FF2B5EF4-FFF2-40B4-BE49-F238E27FC236}">
              <a16:creationId xmlns:a16="http://schemas.microsoft.com/office/drawing/2014/main" id="{F44085C4-4735-C956-EE1E-421CCD082183}"/>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01" name="Text Box 17" hidden="1">
          <a:extLst>
            <a:ext uri="{FF2B5EF4-FFF2-40B4-BE49-F238E27FC236}">
              <a16:creationId xmlns:a16="http://schemas.microsoft.com/office/drawing/2014/main" id="{DA8759AC-56FC-D2C7-FCA0-1CF305C7D27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00" name="Text Box 16" hidden="1">
          <a:extLst>
            <a:ext uri="{FF2B5EF4-FFF2-40B4-BE49-F238E27FC236}">
              <a16:creationId xmlns:a16="http://schemas.microsoft.com/office/drawing/2014/main" id="{2EF7E31D-93B8-EF07-55EC-524D3C3C67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4799" name="Text Box 15" hidden="1">
          <a:extLst>
            <a:ext uri="{FF2B5EF4-FFF2-40B4-BE49-F238E27FC236}">
              <a16:creationId xmlns:a16="http://schemas.microsoft.com/office/drawing/2014/main" id="{D296347B-E488-8480-9459-C08249795E90}"/>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4798" name="Text Box 14" hidden="1">
          <a:extLst>
            <a:ext uri="{FF2B5EF4-FFF2-40B4-BE49-F238E27FC236}">
              <a16:creationId xmlns:a16="http://schemas.microsoft.com/office/drawing/2014/main" id="{CDE029A1-AC64-4864-3181-992E2A32A49D}"/>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4797" name="Text Box 13" hidden="1">
          <a:extLst>
            <a:ext uri="{FF2B5EF4-FFF2-40B4-BE49-F238E27FC236}">
              <a16:creationId xmlns:a16="http://schemas.microsoft.com/office/drawing/2014/main" id="{1120FB2D-FC75-BE1D-19B7-FF30046BF5AB}"/>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4796" name="Text Box 12" hidden="1">
          <a:extLst>
            <a:ext uri="{FF2B5EF4-FFF2-40B4-BE49-F238E27FC236}">
              <a16:creationId xmlns:a16="http://schemas.microsoft.com/office/drawing/2014/main" id="{E951FBA7-68FC-BAAD-5D19-FFA1B04FF5A2}"/>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795" name="Text Box 11" hidden="1">
          <a:extLst>
            <a:ext uri="{FF2B5EF4-FFF2-40B4-BE49-F238E27FC236}">
              <a16:creationId xmlns:a16="http://schemas.microsoft.com/office/drawing/2014/main" id="{82F93A6B-2748-8767-68E3-91598B6874F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4794" name="Text Box 10" hidden="1">
          <a:extLst>
            <a:ext uri="{FF2B5EF4-FFF2-40B4-BE49-F238E27FC236}">
              <a16:creationId xmlns:a16="http://schemas.microsoft.com/office/drawing/2014/main" id="{7553CAFD-DC66-648D-0B01-A8442D802E0F}"/>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4793" name="Text Box 9" hidden="1">
          <a:extLst>
            <a:ext uri="{FF2B5EF4-FFF2-40B4-BE49-F238E27FC236}">
              <a16:creationId xmlns:a16="http://schemas.microsoft.com/office/drawing/2014/main" id="{2944D17A-F6C8-6BA2-C3A4-94B25AEC1AC5}"/>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4792" name="Text Box 8" hidden="1">
          <a:extLst>
            <a:ext uri="{FF2B5EF4-FFF2-40B4-BE49-F238E27FC236}">
              <a16:creationId xmlns:a16="http://schemas.microsoft.com/office/drawing/2014/main" id="{B6CDB66F-8B7F-09C4-7E35-AC27DDCF77D7}"/>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4791" name="Text Box 7" hidden="1">
          <a:extLst>
            <a:ext uri="{FF2B5EF4-FFF2-40B4-BE49-F238E27FC236}">
              <a16:creationId xmlns:a16="http://schemas.microsoft.com/office/drawing/2014/main" id="{5B3B6EB9-7B3C-DF09-1700-15D2B705FD2A}"/>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790" name="Text Box 6" hidden="1">
          <a:extLst>
            <a:ext uri="{FF2B5EF4-FFF2-40B4-BE49-F238E27FC236}">
              <a16:creationId xmlns:a16="http://schemas.microsoft.com/office/drawing/2014/main" id="{E19A18B6-2E27-E601-AAB7-539B4C28A38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789" name="Text Box 5" hidden="1">
          <a:extLst>
            <a:ext uri="{FF2B5EF4-FFF2-40B4-BE49-F238E27FC236}">
              <a16:creationId xmlns:a16="http://schemas.microsoft.com/office/drawing/2014/main" id="{4898186E-20D1-424E-BFDD-19915F34943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4788" name="Text Box 4" hidden="1">
          <a:extLst>
            <a:ext uri="{FF2B5EF4-FFF2-40B4-BE49-F238E27FC236}">
              <a16:creationId xmlns:a16="http://schemas.microsoft.com/office/drawing/2014/main" id="{D3A9E122-7E8C-B91C-C19A-0D446ABC69F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787" name="Text Box 3" hidden="1">
          <a:extLst>
            <a:ext uri="{FF2B5EF4-FFF2-40B4-BE49-F238E27FC236}">
              <a16:creationId xmlns:a16="http://schemas.microsoft.com/office/drawing/2014/main" id="{E3C82D54-F9D0-5702-45E4-946730E909A5}"/>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786" name="Text Box 2" hidden="1">
          <a:extLst>
            <a:ext uri="{FF2B5EF4-FFF2-40B4-BE49-F238E27FC236}">
              <a16:creationId xmlns:a16="http://schemas.microsoft.com/office/drawing/2014/main" id="{C30F5D03-238A-10E4-7867-89B683D6CFEE}"/>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89</xdr:row>
      <xdr:rowOff>273661</xdr:rowOff>
    </xdr:from>
    <xdr:to>
      <xdr:col>32</xdr:col>
      <xdr:colOff>666750</xdr:colOff>
      <xdr:row>92</xdr:row>
      <xdr:rowOff>1451</xdr:rowOff>
    </xdr:to>
    <xdr:sp macro="" textlink="">
      <xdr:nvSpPr>
        <xdr:cNvPr id="374785" name="Text Box 1" hidden="1">
          <a:extLst>
            <a:ext uri="{FF2B5EF4-FFF2-40B4-BE49-F238E27FC236}">
              <a16:creationId xmlns:a16="http://schemas.microsoft.com/office/drawing/2014/main" id="{D520F19F-D0A3-4589-5979-85D288DB97D4}"/>
            </a:ext>
          </a:extLst>
        </xdr:cNvPr>
        <xdr:cNvSpPr txBox="1">
          <a:spLocks noChangeArrowheads="1"/>
        </xdr:cNvSpPr>
      </xdr:nvSpPr>
      <xdr:spPr bwMode="auto">
        <a:xfrm>
          <a:off x="28060650" y="2273300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26" name="Text Box 42" hidden="1">
          <a:extLst>
            <a:ext uri="{FF2B5EF4-FFF2-40B4-BE49-F238E27FC236}">
              <a16:creationId xmlns:a16="http://schemas.microsoft.com/office/drawing/2014/main" id="{069F241E-BE78-371A-7A3D-288078A871A1}"/>
            </a:ext>
          </a:extLst>
        </xdr:cNvPr>
        <xdr:cNvSpPr txBox="1">
          <a:spLocks noChangeArrowheads="1"/>
        </xdr:cNvSpPr>
      </xdr:nvSpPr>
      <xdr:spPr bwMode="auto">
        <a:xfrm>
          <a:off x="8985250" y="1765300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25" name="Text Box 41" hidden="1">
          <a:extLst>
            <a:ext uri="{FF2B5EF4-FFF2-40B4-BE49-F238E27FC236}">
              <a16:creationId xmlns:a16="http://schemas.microsoft.com/office/drawing/2014/main" id="{88B2BBA3-5EAC-D970-6D48-B066AEA310B5}"/>
            </a:ext>
          </a:extLst>
        </xdr:cNvPr>
        <xdr:cNvSpPr txBox="1">
          <a:spLocks noChangeArrowheads="1"/>
        </xdr:cNvSpPr>
      </xdr:nvSpPr>
      <xdr:spPr bwMode="auto">
        <a:xfrm>
          <a:off x="11315700" y="1765300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24" name="Text Box 40" hidden="1">
          <a:extLst>
            <a:ext uri="{FF2B5EF4-FFF2-40B4-BE49-F238E27FC236}">
              <a16:creationId xmlns:a16="http://schemas.microsoft.com/office/drawing/2014/main" id="{080D08AD-F092-CA08-ADCF-994FE1A308D2}"/>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23" name="Text Box 39" hidden="1">
          <a:extLst>
            <a:ext uri="{FF2B5EF4-FFF2-40B4-BE49-F238E27FC236}">
              <a16:creationId xmlns:a16="http://schemas.microsoft.com/office/drawing/2014/main" id="{C59AA6ED-B6BB-151E-E6F0-CD90E56297C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22" name="Text Box 38" hidden="1">
          <a:extLst>
            <a:ext uri="{FF2B5EF4-FFF2-40B4-BE49-F238E27FC236}">
              <a16:creationId xmlns:a16="http://schemas.microsoft.com/office/drawing/2014/main" id="{7DE3A499-365F-C75E-0AD7-F252A9AC2D4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21" name="Text Box 37" hidden="1">
          <a:extLst>
            <a:ext uri="{FF2B5EF4-FFF2-40B4-BE49-F238E27FC236}">
              <a16:creationId xmlns:a16="http://schemas.microsoft.com/office/drawing/2014/main" id="{61572CBC-A2DF-9C51-405A-37A00AC017E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20" name="Text Box 36" hidden="1">
          <a:extLst>
            <a:ext uri="{FF2B5EF4-FFF2-40B4-BE49-F238E27FC236}">
              <a16:creationId xmlns:a16="http://schemas.microsoft.com/office/drawing/2014/main" id="{5E69A355-8223-3C6C-EA3E-89EBAB239A6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65327</xdr:rowOff>
    </xdr:from>
    <xdr:to>
      <xdr:col>20</xdr:col>
      <xdr:colOff>647700</xdr:colOff>
      <xdr:row>68</xdr:row>
      <xdr:rowOff>40609</xdr:rowOff>
    </xdr:to>
    <xdr:sp macro="" textlink="">
      <xdr:nvSpPr>
        <xdr:cNvPr id="374819" name="Text Box 35" hidden="1">
          <a:extLst>
            <a:ext uri="{FF2B5EF4-FFF2-40B4-BE49-F238E27FC236}">
              <a16:creationId xmlns:a16="http://schemas.microsoft.com/office/drawing/2014/main" id="{BC9F75E4-C3EB-6F53-8710-94EDEF257845}"/>
            </a:ext>
          </a:extLst>
        </xdr:cNvPr>
        <xdr:cNvSpPr txBox="1">
          <a:spLocks noChangeArrowheads="1"/>
        </xdr:cNvSpPr>
      </xdr:nvSpPr>
      <xdr:spPr bwMode="auto">
        <a:xfrm>
          <a:off x="18935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65327</xdr:rowOff>
    </xdr:from>
    <xdr:to>
      <xdr:col>24</xdr:col>
      <xdr:colOff>647700</xdr:colOff>
      <xdr:row>68</xdr:row>
      <xdr:rowOff>40609</xdr:rowOff>
    </xdr:to>
    <xdr:sp macro="" textlink="">
      <xdr:nvSpPr>
        <xdr:cNvPr id="374818" name="Text Box 34" hidden="1">
          <a:extLst>
            <a:ext uri="{FF2B5EF4-FFF2-40B4-BE49-F238E27FC236}">
              <a16:creationId xmlns:a16="http://schemas.microsoft.com/office/drawing/2014/main" id="{4A226DA4-E647-575F-C6E2-0A57773D45E3}"/>
            </a:ext>
          </a:extLst>
        </xdr:cNvPr>
        <xdr:cNvSpPr txBox="1">
          <a:spLocks noChangeArrowheads="1"/>
        </xdr:cNvSpPr>
      </xdr:nvSpPr>
      <xdr:spPr bwMode="auto">
        <a:xfrm>
          <a:off x="21983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65327</xdr:rowOff>
    </xdr:from>
    <xdr:to>
      <xdr:col>28</xdr:col>
      <xdr:colOff>647700</xdr:colOff>
      <xdr:row>68</xdr:row>
      <xdr:rowOff>40609</xdr:rowOff>
    </xdr:to>
    <xdr:sp macro="" textlink="">
      <xdr:nvSpPr>
        <xdr:cNvPr id="374817" name="Text Box 33" hidden="1">
          <a:extLst>
            <a:ext uri="{FF2B5EF4-FFF2-40B4-BE49-F238E27FC236}">
              <a16:creationId xmlns:a16="http://schemas.microsoft.com/office/drawing/2014/main" id="{039CC9C2-0642-CD48-0DAF-C39D4BD9762D}"/>
            </a:ext>
          </a:extLst>
        </xdr:cNvPr>
        <xdr:cNvSpPr txBox="1">
          <a:spLocks noChangeArrowheads="1"/>
        </xdr:cNvSpPr>
      </xdr:nvSpPr>
      <xdr:spPr bwMode="auto">
        <a:xfrm>
          <a:off x="25031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16" name="Text Box 32" hidden="1">
          <a:extLst>
            <a:ext uri="{FF2B5EF4-FFF2-40B4-BE49-F238E27FC236}">
              <a16:creationId xmlns:a16="http://schemas.microsoft.com/office/drawing/2014/main" id="{CB149CAD-E592-8ADA-0483-FFE4FEAF5A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295438</xdr:rowOff>
    </xdr:from>
    <xdr:to>
      <xdr:col>21</xdr:col>
      <xdr:colOff>685800</xdr:colOff>
      <xdr:row>81</xdr:row>
      <xdr:rowOff>121551</xdr:rowOff>
    </xdr:to>
    <xdr:sp macro="" textlink="">
      <xdr:nvSpPr>
        <xdr:cNvPr id="374814" name="Text Box 30" hidden="1">
          <a:extLst>
            <a:ext uri="{FF2B5EF4-FFF2-40B4-BE49-F238E27FC236}">
              <a16:creationId xmlns:a16="http://schemas.microsoft.com/office/drawing/2014/main" id="{3BB8AEDC-5E7F-C1C1-E0A7-F21C8BBD49ED}"/>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295438</xdr:rowOff>
    </xdr:from>
    <xdr:to>
      <xdr:col>25</xdr:col>
      <xdr:colOff>685800</xdr:colOff>
      <xdr:row>81</xdr:row>
      <xdr:rowOff>121551</xdr:rowOff>
    </xdr:to>
    <xdr:sp macro="" textlink="">
      <xdr:nvSpPr>
        <xdr:cNvPr id="374813" name="Text Box 29" hidden="1">
          <a:extLst>
            <a:ext uri="{FF2B5EF4-FFF2-40B4-BE49-F238E27FC236}">
              <a16:creationId xmlns:a16="http://schemas.microsoft.com/office/drawing/2014/main" id="{70DC6B99-D148-A093-4AF8-F786B0D38D3F}"/>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295438</xdr:rowOff>
    </xdr:from>
    <xdr:to>
      <xdr:col>29</xdr:col>
      <xdr:colOff>685800</xdr:colOff>
      <xdr:row>81</xdr:row>
      <xdr:rowOff>121551</xdr:rowOff>
    </xdr:to>
    <xdr:sp macro="" textlink="">
      <xdr:nvSpPr>
        <xdr:cNvPr id="374812" name="Text Box 28" hidden="1">
          <a:extLst>
            <a:ext uri="{FF2B5EF4-FFF2-40B4-BE49-F238E27FC236}">
              <a16:creationId xmlns:a16="http://schemas.microsoft.com/office/drawing/2014/main" id="{A7CBBF42-2B6B-497A-21F3-3E984FE7F3D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11" name="Text Box 27" hidden="1">
          <a:extLst>
            <a:ext uri="{FF2B5EF4-FFF2-40B4-BE49-F238E27FC236}">
              <a16:creationId xmlns:a16="http://schemas.microsoft.com/office/drawing/2014/main" id="{1599EE51-0CAB-3394-0F0D-8BC11AF6EDA8}"/>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10" name="Text Box 26" hidden="1">
          <a:extLst>
            <a:ext uri="{FF2B5EF4-FFF2-40B4-BE49-F238E27FC236}">
              <a16:creationId xmlns:a16="http://schemas.microsoft.com/office/drawing/2014/main" id="{2F696569-BA0C-79CF-F701-215A52271FB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09" name="Text Box 25" hidden="1">
          <a:extLst>
            <a:ext uri="{FF2B5EF4-FFF2-40B4-BE49-F238E27FC236}">
              <a16:creationId xmlns:a16="http://schemas.microsoft.com/office/drawing/2014/main" id="{4F6D2EEC-B312-8FD7-BACA-B757E51CF54C}"/>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08" name="Text Box 24" hidden="1">
          <a:extLst>
            <a:ext uri="{FF2B5EF4-FFF2-40B4-BE49-F238E27FC236}">
              <a16:creationId xmlns:a16="http://schemas.microsoft.com/office/drawing/2014/main" id="{CB844AD6-BE6E-2115-72F6-792C5168178F}"/>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07" name="Text Box 23" hidden="1">
          <a:extLst>
            <a:ext uri="{FF2B5EF4-FFF2-40B4-BE49-F238E27FC236}">
              <a16:creationId xmlns:a16="http://schemas.microsoft.com/office/drawing/2014/main" id="{438B19A2-7B7D-D429-B8FD-6D73EE34C31B}"/>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06" name="Text Box 22" hidden="1">
          <a:extLst>
            <a:ext uri="{FF2B5EF4-FFF2-40B4-BE49-F238E27FC236}">
              <a16:creationId xmlns:a16="http://schemas.microsoft.com/office/drawing/2014/main" id="{B6171A16-8921-E8B0-02B0-C69778F790EC}"/>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46" name="Text Box 62" hidden="1">
          <a:extLst>
            <a:ext uri="{FF2B5EF4-FFF2-40B4-BE49-F238E27FC236}">
              <a16:creationId xmlns:a16="http://schemas.microsoft.com/office/drawing/2014/main" id="{23C5101D-1382-9098-A570-BDE24CA42160}"/>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45" name="Text Box 61" hidden="1">
          <a:extLst>
            <a:ext uri="{FF2B5EF4-FFF2-40B4-BE49-F238E27FC236}">
              <a16:creationId xmlns:a16="http://schemas.microsoft.com/office/drawing/2014/main" id="{A107EDCA-BEAE-007B-7FAD-A3F8D60AD423}"/>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44" name="Text Box 60" hidden="1">
          <a:extLst>
            <a:ext uri="{FF2B5EF4-FFF2-40B4-BE49-F238E27FC236}">
              <a16:creationId xmlns:a16="http://schemas.microsoft.com/office/drawing/2014/main" id="{92D4466D-623E-6C0B-7D85-EB2519E677B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43" name="Text Box 59" hidden="1">
          <a:extLst>
            <a:ext uri="{FF2B5EF4-FFF2-40B4-BE49-F238E27FC236}">
              <a16:creationId xmlns:a16="http://schemas.microsoft.com/office/drawing/2014/main" id="{7B9CE400-F05D-9AC9-724B-DABE0964317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42" name="Text Box 58" hidden="1">
          <a:extLst>
            <a:ext uri="{FF2B5EF4-FFF2-40B4-BE49-F238E27FC236}">
              <a16:creationId xmlns:a16="http://schemas.microsoft.com/office/drawing/2014/main" id="{E34BB25E-D747-2135-AA12-06474BA08CA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41" name="Text Box 57" hidden="1">
          <a:extLst>
            <a:ext uri="{FF2B5EF4-FFF2-40B4-BE49-F238E27FC236}">
              <a16:creationId xmlns:a16="http://schemas.microsoft.com/office/drawing/2014/main" id="{E0555F6B-7F0B-0F37-F18A-9EDEB18D14E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40" name="Text Box 56" hidden="1">
          <a:extLst>
            <a:ext uri="{FF2B5EF4-FFF2-40B4-BE49-F238E27FC236}">
              <a16:creationId xmlns:a16="http://schemas.microsoft.com/office/drawing/2014/main" id="{587CEB47-FA87-7F03-D0CF-FAF9647C73F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39" name="Text Box 55" hidden="1">
          <a:extLst>
            <a:ext uri="{FF2B5EF4-FFF2-40B4-BE49-F238E27FC236}">
              <a16:creationId xmlns:a16="http://schemas.microsoft.com/office/drawing/2014/main" id="{C3917B74-38AA-625F-85D5-7F7E4CA59975}"/>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38" name="Text Box 54" hidden="1">
          <a:extLst>
            <a:ext uri="{FF2B5EF4-FFF2-40B4-BE49-F238E27FC236}">
              <a16:creationId xmlns:a16="http://schemas.microsoft.com/office/drawing/2014/main" id="{4E19CAF5-D52A-2F3B-C778-7C1BB66887F5}"/>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37" name="Text Box 53" hidden="1">
          <a:extLst>
            <a:ext uri="{FF2B5EF4-FFF2-40B4-BE49-F238E27FC236}">
              <a16:creationId xmlns:a16="http://schemas.microsoft.com/office/drawing/2014/main" id="{A8D1BFFC-9CBB-4257-9733-1E2D09FD5CE0}"/>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36" name="Text Box 52" hidden="1">
          <a:extLst>
            <a:ext uri="{FF2B5EF4-FFF2-40B4-BE49-F238E27FC236}">
              <a16:creationId xmlns:a16="http://schemas.microsoft.com/office/drawing/2014/main" id="{7A09CA06-57D8-E5E1-19E9-0F615D8CC6CD}"/>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35" name="Text Box 51" hidden="1">
          <a:extLst>
            <a:ext uri="{FF2B5EF4-FFF2-40B4-BE49-F238E27FC236}">
              <a16:creationId xmlns:a16="http://schemas.microsoft.com/office/drawing/2014/main" id="{BC4A66CF-B65F-6C52-F88B-3E9DFE317CA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34" name="Text Box 50" hidden="1">
          <a:extLst>
            <a:ext uri="{FF2B5EF4-FFF2-40B4-BE49-F238E27FC236}">
              <a16:creationId xmlns:a16="http://schemas.microsoft.com/office/drawing/2014/main" id="{5911529D-C4E1-382D-2F7A-E3A6769732D4}"/>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33" name="Text Box 49" hidden="1">
          <a:extLst>
            <a:ext uri="{FF2B5EF4-FFF2-40B4-BE49-F238E27FC236}">
              <a16:creationId xmlns:a16="http://schemas.microsoft.com/office/drawing/2014/main" id="{88502723-8147-0ED2-16BB-C72BD4BAE788}"/>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32" name="Text Box 48" hidden="1">
          <a:extLst>
            <a:ext uri="{FF2B5EF4-FFF2-40B4-BE49-F238E27FC236}">
              <a16:creationId xmlns:a16="http://schemas.microsoft.com/office/drawing/2014/main" id="{46C69787-E50D-551D-7A74-D10530B0B739}"/>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31" name="Text Box 47" hidden="1">
          <a:extLst>
            <a:ext uri="{FF2B5EF4-FFF2-40B4-BE49-F238E27FC236}">
              <a16:creationId xmlns:a16="http://schemas.microsoft.com/office/drawing/2014/main" id="{F91CEBE5-D5F9-4A14-F8E0-DEDCA1626DF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30" name="Text Box 46" hidden="1">
          <a:extLst>
            <a:ext uri="{FF2B5EF4-FFF2-40B4-BE49-F238E27FC236}">
              <a16:creationId xmlns:a16="http://schemas.microsoft.com/office/drawing/2014/main" id="{51316446-4DB8-CA8A-C346-15665D185350}"/>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29" name="Text Box 45" hidden="1">
          <a:extLst>
            <a:ext uri="{FF2B5EF4-FFF2-40B4-BE49-F238E27FC236}">
              <a16:creationId xmlns:a16="http://schemas.microsoft.com/office/drawing/2014/main" id="{7D74E205-6583-4F0F-E52E-F51535F619A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28" name="Text Box 44" hidden="1">
          <a:extLst>
            <a:ext uri="{FF2B5EF4-FFF2-40B4-BE49-F238E27FC236}">
              <a16:creationId xmlns:a16="http://schemas.microsoft.com/office/drawing/2014/main" id="{205901A7-CD40-A9B5-408C-F5A6CFC1EBDD}"/>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27" name="Text Box 43" hidden="1">
          <a:extLst>
            <a:ext uri="{FF2B5EF4-FFF2-40B4-BE49-F238E27FC236}">
              <a16:creationId xmlns:a16="http://schemas.microsoft.com/office/drawing/2014/main" id="{07DF5002-8EE9-DA0E-E733-A54E3FFE8F3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66" name="Text Box 82" hidden="1">
          <a:extLst>
            <a:ext uri="{FF2B5EF4-FFF2-40B4-BE49-F238E27FC236}">
              <a16:creationId xmlns:a16="http://schemas.microsoft.com/office/drawing/2014/main" id="{F5723246-1DC4-0405-1461-E3C73CDA1501}"/>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65" name="Text Box 81" hidden="1">
          <a:extLst>
            <a:ext uri="{FF2B5EF4-FFF2-40B4-BE49-F238E27FC236}">
              <a16:creationId xmlns:a16="http://schemas.microsoft.com/office/drawing/2014/main" id="{7EED76A6-F7B7-CAEF-EF22-D899B42972B0}"/>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64" name="Text Box 80" hidden="1">
          <a:extLst>
            <a:ext uri="{FF2B5EF4-FFF2-40B4-BE49-F238E27FC236}">
              <a16:creationId xmlns:a16="http://schemas.microsoft.com/office/drawing/2014/main" id="{37D9D9F0-E734-7C56-DE45-C9C916109344}"/>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63" name="Text Box 79" hidden="1">
          <a:extLst>
            <a:ext uri="{FF2B5EF4-FFF2-40B4-BE49-F238E27FC236}">
              <a16:creationId xmlns:a16="http://schemas.microsoft.com/office/drawing/2014/main" id="{7206E464-96FB-6F49-C7FE-9C8039E1ED77}"/>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62" name="Text Box 78" hidden="1">
          <a:extLst>
            <a:ext uri="{FF2B5EF4-FFF2-40B4-BE49-F238E27FC236}">
              <a16:creationId xmlns:a16="http://schemas.microsoft.com/office/drawing/2014/main" id="{7CF6CD27-7A03-2B77-614C-6D5B8948ED5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61" name="Text Box 77" hidden="1">
          <a:extLst>
            <a:ext uri="{FF2B5EF4-FFF2-40B4-BE49-F238E27FC236}">
              <a16:creationId xmlns:a16="http://schemas.microsoft.com/office/drawing/2014/main" id="{7E6FBEB0-BEF5-9A5B-CF20-687B3CF9255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60" name="Text Box 76" hidden="1">
          <a:extLst>
            <a:ext uri="{FF2B5EF4-FFF2-40B4-BE49-F238E27FC236}">
              <a16:creationId xmlns:a16="http://schemas.microsoft.com/office/drawing/2014/main" id="{805FEB7F-6627-81A9-4C47-5F35498A3690}"/>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59" name="Text Box 75" hidden="1">
          <a:extLst>
            <a:ext uri="{FF2B5EF4-FFF2-40B4-BE49-F238E27FC236}">
              <a16:creationId xmlns:a16="http://schemas.microsoft.com/office/drawing/2014/main" id="{714769E5-AFA3-D051-BC1C-DD1E0C3043D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58" name="Text Box 74" hidden="1">
          <a:extLst>
            <a:ext uri="{FF2B5EF4-FFF2-40B4-BE49-F238E27FC236}">
              <a16:creationId xmlns:a16="http://schemas.microsoft.com/office/drawing/2014/main" id="{CD297252-A696-5A96-28E9-1C9BE01BE63A}"/>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57" name="Text Box 73" hidden="1">
          <a:extLst>
            <a:ext uri="{FF2B5EF4-FFF2-40B4-BE49-F238E27FC236}">
              <a16:creationId xmlns:a16="http://schemas.microsoft.com/office/drawing/2014/main" id="{6DDDAF38-6EEF-FCB2-A94B-3D09CA3C649F}"/>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56" name="Text Box 72" hidden="1">
          <a:extLst>
            <a:ext uri="{FF2B5EF4-FFF2-40B4-BE49-F238E27FC236}">
              <a16:creationId xmlns:a16="http://schemas.microsoft.com/office/drawing/2014/main" id="{631F5CDF-4A9F-0871-9E82-72DE631725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55" name="Text Box 71" hidden="1">
          <a:extLst>
            <a:ext uri="{FF2B5EF4-FFF2-40B4-BE49-F238E27FC236}">
              <a16:creationId xmlns:a16="http://schemas.microsoft.com/office/drawing/2014/main" id="{E4ECEFAD-D9DB-448F-B73B-3D3756387687}"/>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54" name="Text Box 70" hidden="1">
          <a:extLst>
            <a:ext uri="{FF2B5EF4-FFF2-40B4-BE49-F238E27FC236}">
              <a16:creationId xmlns:a16="http://schemas.microsoft.com/office/drawing/2014/main" id="{77E1A82B-34F7-868C-9B95-FE752C912607}"/>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53" name="Text Box 69" hidden="1">
          <a:extLst>
            <a:ext uri="{FF2B5EF4-FFF2-40B4-BE49-F238E27FC236}">
              <a16:creationId xmlns:a16="http://schemas.microsoft.com/office/drawing/2014/main" id="{E4FE3B4D-7086-6163-F2EA-7FE50FE881B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52" name="Text Box 68" hidden="1">
          <a:extLst>
            <a:ext uri="{FF2B5EF4-FFF2-40B4-BE49-F238E27FC236}">
              <a16:creationId xmlns:a16="http://schemas.microsoft.com/office/drawing/2014/main" id="{B519D37B-6DE4-9851-8C6E-3DF70A9C832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51" name="Text Box 67" hidden="1">
          <a:extLst>
            <a:ext uri="{FF2B5EF4-FFF2-40B4-BE49-F238E27FC236}">
              <a16:creationId xmlns:a16="http://schemas.microsoft.com/office/drawing/2014/main" id="{75575C0A-7AED-6577-0EE3-AFA64E387EC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50" name="Text Box 66" hidden="1">
          <a:extLst>
            <a:ext uri="{FF2B5EF4-FFF2-40B4-BE49-F238E27FC236}">
              <a16:creationId xmlns:a16="http://schemas.microsoft.com/office/drawing/2014/main" id="{3E5AEA02-0658-D7F7-5863-256DBEBDE009}"/>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49" name="Text Box 65" hidden="1">
          <a:extLst>
            <a:ext uri="{FF2B5EF4-FFF2-40B4-BE49-F238E27FC236}">
              <a16:creationId xmlns:a16="http://schemas.microsoft.com/office/drawing/2014/main" id="{6D9AE6AC-FEE3-16F2-FF05-09187A58A370}"/>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48" name="Text Box 64" hidden="1">
          <a:extLst>
            <a:ext uri="{FF2B5EF4-FFF2-40B4-BE49-F238E27FC236}">
              <a16:creationId xmlns:a16="http://schemas.microsoft.com/office/drawing/2014/main" id="{5F041B3E-34BE-D7BA-D1C8-EADD4DD8D0E4}"/>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47" name="Text Box 63" hidden="1">
          <a:extLst>
            <a:ext uri="{FF2B5EF4-FFF2-40B4-BE49-F238E27FC236}">
              <a16:creationId xmlns:a16="http://schemas.microsoft.com/office/drawing/2014/main" id="{3F184BCD-E09D-850C-C0FE-0742547CAF16}"/>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86" name="Text Box 102" hidden="1">
          <a:extLst>
            <a:ext uri="{FF2B5EF4-FFF2-40B4-BE49-F238E27FC236}">
              <a16:creationId xmlns:a16="http://schemas.microsoft.com/office/drawing/2014/main" id="{A5AC60AE-7A0D-6416-0243-15E0DB3D090D}"/>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85" name="Text Box 101" hidden="1">
          <a:extLst>
            <a:ext uri="{FF2B5EF4-FFF2-40B4-BE49-F238E27FC236}">
              <a16:creationId xmlns:a16="http://schemas.microsoft.com/office/drawing/2014/main" id="{5048A7F5-67A2-F3F9-E895-C7DE46A0C706}"/>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84" name="Text Box 100" hidden="1">
          <a:extLst>
            <a:ext uri="{FF2B5EF4-FFF2-40B4-BE49-F238E27FC236}">
              <a16:creationId xmlns:a16="http://schemas.microsoft.com/office/drawing/2014/main" id="{4D443D04-E861-DD40-6C6D-755D00AB60BA}"/>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83" name="Text Box 99" hidden="1">
          <a:extLst>
            <a:ext uri="{FF2B5EF4-FFF2-40B4-BE49-F238E27FC236}">
              <a16:creationId xmlns:a16="http://schemas.microsoft.com/office/drawing/2014/main" id="{B413CF32-9A42-F33B-C88C-F173D6CCF6B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82" name="Text Box 98" hidden="1">
          <a:extLst>
            <a:ext uri="{FF2B5EF4-FFF2-40B4-BE49-F238E27FC236}">
              <a16:creationId xmlns:a16="http://schemas.microsoft.com/office/drawing/2014/main" id="{72F2CB9F-21ED-98CD-CB2D-1761AD8FE47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81" name="Text Box 97" hidden="1">
          <a:extLst>
            <a:ext uri="{FF2B5EF4-FFF2-40B4-BE49-F238E27FC236}">
              <a16:creationId xmlns:a16="http://schemas.microsoft.com/office/drawing/2014/main" id="{1A63122E-CF98-0F27-4D5A-3804CED61F56}"/>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80" name="Text Box 96" hidden="1">
          <a:extLst>
            <a:ext uri="{FF2B5EF4-FFF2-40B4-BE49-F238E27FC236}">
              <a16:creationId xmlns:a16="http://schemas.microsoft.com/office/drawing/2014/main" id="{D7D51696-7BC9-5C8E-6802-28BF67765A58}"/>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79" name="Text Box 95" hidden="1">
          <a:extLst>
            <a:ext uri="{FF2B5EF4-FFF2-40B4-BE49-F238E27FC236}">
              <a16:creationId xmlns:a16="http://schemas.microsoft.com/office/drawing/2014/main" id="{C54F5C92-A02E-F55D-1CD1-367EC0097047}"/>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78" name="Text Box 94" hidden="1">
          <a:extLst>
            <a:ext uri="{FF2B5EF4-FFF2-40B4-BE49-F238E27FC236}">
              <a16:creationId xmlns:a16="http://schemas.microsoft.com/office/drawing/2014/main" id="{16A324A1-7CEF-324C-2676-3CA9F89EC938}"/>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77" name="Text Box 93" hidden="1">
          <a:extLst>
            <a:ext uri="{FF2B5EF4-FFF2-40B4-BE49-F238E27FC236}">
              <a16:creationId xmlns:a16="http://schemas.microsoft.com/office/drawing/2014/main" id="{93196219-6862-212D-2547-4691C0893971}"/>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76" name="Text Box 92" hidden="1">
          <a:extLst>
            <a:ext uri="{FF2B5EF4-FFF2-40B4-BE49-F238E27FC236}">
              <a16:creationId xmlns:a16="http://schemas.microsoft.com/office/drawing/2014/main" id="{39A246A2-05D4-4317-AB8A-8AC433A982E0}"/>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75" name="Text Box 91" hidden="1">
          <a:extLst>
            <a:ext uri="{FF2B5EF4-FFF2-40B4-BE49-F238E27FC236}">
              <a16:creationId xmlns:a16="http://schemas.microsoft.com/office/drawing/2014/main" id="{9D42B74C-1301-E222-B759-74915011447A}"/>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74" name="Text Box 90" hidden="1">
          <a:extLst>
            <a:ext uri="{FF2B5EF4-FFF2-40B4-BE49-F238E27FC236}">
              <a16:creationId xmlns:a16="http://schemas.microsoft.com/office/drawing/2014/main" id="{7BED38DA-695B-D2C2-6E01-CC50BBA47E3C}"/>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73" name="Text Box 89" hidden="1">
          <a:extLst>
            <a:ext uri="{FF2B5EF4-FFF2-40B4-BE49-F238E27FC236}">
              <a16:creationId xmlns:a16="http://schemas.microsoft.com/office/drawing/2014/main" id="{48DF529C-D9B0-B96F-F384-01F527594BE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72" name="Text Box 88" hidden="1">
          <a:extLst>
            <a:ext uri="{FF2B5EF4-FFF2-40B4-BE49-F238E27FC236}">
              <a16:creationId xmlns:a16="http://schemas.microsoft.com/office/drawing/2014/main" id="{08FCE361-D096-1509-4C85-B6852F6A7BE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71" name="Text Box 87" hidden="1">
          <a:extLst>
            <a:ext uri="{FF2B5EF4-FFF2-40B4-BE49-F238E27FC236}">
              <a16:creationId xmlns:a16="http://schemas.microsoft.com/office/drawing/2014/main" id="{C629E45E-2983-ED7A-3B2F-EAACFAAFE9D0}"/>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70" name="Text Box 86" hidden="1">
          <a:extLst>
            <a:ext uri="{FF2B5EF4-FFF2-40B4-BE49-F238E27FC236}">
              <a16:creationId xmlns:a16="http://schemas.microsoft.com/office/drawing/2014/main" id="{CC1FCF9B-36A2-962F-FDF0-C35E476E28C7}"/>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69" name="Text Box 85" hidden="1">
          <a:extLst>
            <a:ext uri="{FF2B5EF4-FFF2-40B4-BE49-F238E27FC236}">
              <a16:creationId xmlns:a16="http://schemas.microsoft.com/office/drawing/2014/main" id="{9535C28F-51C8-8E24-FAA4-626E07790D96}"/>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68" name="Text Box 84" hidden="1">
          <a:extLst>
            <a:ext uri="{FF2B5EF4-FFF2-40B4-BE49-F238E27FC236}">
              <a16:creationId xmlns:a16="http://schemas.microsoft.com/office/drawing/2014/main" id="{FC985603-474D-6E47-D471-DB6BA9F873EA}"/>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67" name="Text Box 83" hidden="1">
          <a:extLst>
            <a:ext uri="{FF2B5EF4-FFF2-40B4-BE49-F238E27FC236}">
              <a16:creationId xmlns:a16="http://schemas.microsoft.com/office/drawing/2014/main" id="{456F0537-A980-1E73-6F3E-43A7D274E7E3}"/>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06" name="Text Box 122" hidden="1">
          <a:extLst>
            <a:ext uri="{FF2B5EF4-FFF2-40B4-BE49-F238E27FC236}">
              <a16:creationId xmlns:a16="http://schemas.microsoft.com/office/drawing/2014/main" id="{3CA31961-1417-D869-596B-B7F54C68D022}"/>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05" name="Text Box 121" hidden="1">
          <a:extLst>
            <a:ext uri="{FF2B5EF4-FFF2-40B4-BE49-F238E27FC236}">
              <a16:creationId xmlns:a16="http://schemas.microsoft.com/office/drawing/2014/main" id="{D241B278-FA52-EBD2-7867-0FFA876B1C8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04" name="Text Box 120" hidden="1">
          <a:extLst>
            <a:ext uri="{FF2B5EF4-FFF2-40B4-BE49-F238E27FC236}">
              <a16:creationId xmlns:a16="http://schemas.microsoft.com/office/drawing/2014/main" id="{BA30CB0E-7A9B-0043-4B80-FD1AA521AB6D}"/>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03" name="Text Box 119" hidden="1">
          <a:extLst>
            <a:ext uri="{FF2B5EF4-FFF2-40B4-BE49-F238E27FC236}">
              <a16:creationId xmlns:a16="http://schemas.microsoft.com/office/drawing/2014/main" id="{D5C7BF10-6ECA-7182-440E-F2B1EDE56358}"/>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02" name="Text Box 118" hidden="1">
          <a:extLst>
            <a:ext uri="{FF2B5EF4-FFF2-40B4-BE49-F238E27FC236}">
              <a16:creationId xmlns:a16="http://schemas.microsoft.com/office/drawing/2014/main" id="{F16638DF-C2C4-0352-7DAA-AEDFFF766DB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901" name="Text Box 117" hidden="1">
          <a:extLst>
            <a:ext uri="{FF2B5EF4-FFF2-40B4-BE49-F238E27FC236}">
              <a16:creationId xmlns:a16="http://schemas.microsoft.com/office/drawing/2014/main" id="{8B230C5F-962A-2BDC-0CC1-A273672EE54D}"/>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900" name="Text Box 116" hidden="1">
          <a:extLst>
            <a:ext uri="{FF2B5EF4-FFF2-40B4-BE49-F238E27FC236}">
              <a16:creationId xmlns:a16="http://schemas.microsoft.com/office/drawing/2014/main" id="{E313EE09-0704-2F0D-6310-F1E62B62C0B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99" name="Text Box 115" hidden="1">
          <a:extLst>
            <a:ext uri="{FF2B5EF4-FFF2-40B4-BE49-F238E27FC236}">
              <a16:creationId xmlns:a16="http://schemas.microsoft.com/office/drawing/2014/main" id="{5CD3D833-1F86-2034-3DFB-8ADFB3E3CD26}"/>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98" name="Text Box 114" hidden="1">
          <a:extLst>
            <a:ext uri="{FF2B5EF4-FFF2-40B4-BE49-F238E27FC236}">
              <a16:creationId xmlns:a16="http://schemas.microsoft.com/office/drawing/2014/main" id="{BF42D59D-9158-94A0-F47E-F6714D3190A2}"/>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97" name="Text Box 113" hidden="1">
          <a:extLst>
            <a:ext uri="{FF2B5EF4-FFF2-40B4-BE49-F238E27FC236}">
              <a16:creationId xmlns:a16="http://schemas.microsoft.com/office/drawing/2014/main" id="{6690A07B-1BF3-09DF-E797-BABB32108D94}"/>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96" name="Text Box 112" hidden="1">
          <a:extLst>
            <a:ext uri="{FF2B5EF4-FFF2-40B4-BE49-F238E27FC236}">
              <a16:creationId xmlns:a16="http://schemas.microsoft.com/office/drawing/2014/main" id="{BF4CEA5E-5318-93AA-07E4-8714285A231F}"/>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95" name="Text Box 111" hidden="1">
          <a:extLst>
            <a:ext uri="{FF2B5EF4-FFF2-40B4-BE49-F238E27FC236}">
              <a16:creationId xmlns:a16="http://schemas.microsoft.com/office/drawing/2014/main" id="{00B898B1-8EEB-7A3B-12D4-7DFC9105FDC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94" name="Text Box 110" hidden="1">
          <a:extLst>
            <a:ext uri="{FF2B5EF4-FFF2-40B4-BE49-F238E27FC236}">
              <a16:creationId xmlns:a16="http://schemas.microsoft.com/office/drawing/2014/main" id="{494E8DC3-5C4B-8D77-6866-98139CCEE5DF}"/>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93" name="Text Box 109" hidden="1">
          <a:extLst>
            <a:ext uri="{FF2B5EF4-FFF2-40B4-BE49-F238E27FC236}">
              <a16:creationId xmlns:a16="http://schemas.microsoft.com/office/drawing/2014/main" id="{B4DBDB87-67A0-F606-CD6C-0FCF5B00570B}"/>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92" name="Text Box 108" hidden="1">
          <a:extLst>
            <a:ext uri="{FF2B5EF4-FFF2-40B4-BE49-F238E27FC236}">
              <a16:creationId xmlns:a16="http://schemas.microsoft.com/office/drawing/2014/main" id="{15E7D573-0E9B-09D3-6297-1251D551855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91" name="Text Box 107" hidden="1">
          <a:extLst>
            <a:ext uri="{FF2B5EF4-FFF2-40B4-BE49-F238E27FC236}">
              <a16:creationId xmlns:a16="http://schemas.microsoft.com/office/drawing/2014/main" id="{0136F6D4-DFA9-69A6-2D1C-51770C10995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90" name="Text Box 106" hidden="1">
          <a:extLst>
            <a:ext uri="{FF2B5EF4-FFF2-40B4-BE49-F238E27FC236}">
              <a16:creationId xmlns:a16="http://schemas.microsoft.com/office/drawing/2014/main" id="{5B2BD9CB-CA6D-C9B2-99B8-10D0AB8A33C8}"/>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89" name="Text Box 105" hidden="1">
          <a:extLst>
            <a:ext uri="{FF2B5EF4-FFF2-40B4-BE49-F238E27FC236}">
              <a16:creationId xmlns:a16="http://schemas.microsoft.com/office/drawing/2014/main" id="{2D4F33C7-8AF6-5AA4-8BF5-B1FB42653982}"/>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88" name="Text Box 104" hidden="1">
          <a:extLst>
            <a:ext uri="{FF2B5EF4-FFF2-40B4-BE49-F238E27FC236}">
              <a16:creationId xmlns:a16="http://schemas.microsoft.com/office/drawing/2014/main" id="{F562C039-5308-A5AF-A69F-A9D309F52DA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87" name="Text Box 103" hidden="1">
          <a:extLst>
            <a:ext uri="{FF2B5EF4-FFF2-40B4-BE49-F238E27FC236}">
              <a16:creationId xmlns:a16="http://schemas.microsoft.com/office/drawing/2014/main" id="{A7711729-24BE-7821-077A-5DC5FAF078F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26" name="Text Box 142" hidden="1">
          <a:extLst>
            <a:ext uri="{FF2B5EF4-FFF2-40B4-BE49-F238E27FC236}">
              <a16:creationId xmlns:a16="http://schemas.microsoft.com/office/drawing/2014/main" id="{44CBEB54-94E7-D176-530E-33046E0EFEAA}"/>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25" name="Text Box 141" hidden="1">
          <a:extLst>
            <a:ext uri="{FF2B5EF4-FFF2-40B4-BE49-F238E27FC236}">
              <a16:creationId xmlns:a16="http://schemas.microsoft.com/office/drawing/2014/main" id="{DA867F36-B0DD-B955-60C9-B85F5E9979C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24" name="Text Box 140" hidden="1">
          <a:extLst>
            <a:ext uri="{FF2B5EF4-FFF2-40B4-BE49-F238E27FC236}">
              <a16:creationId xmlns:a16="http://schemas.microsoft.com/office/drawing/2014/main" id="{DA22E1CE-44D2-A3FB-C121-7297F756A479}"/>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23" name="Text Box 139" hidden="1">
          <a:extLst>
            <a:ext uri="{FF2B5EF4-FFF2-40B4-BE49-F238E27FC236}">
              <a16:creationId xmlns:a16="http://schemas.microsoft.com/office/drawing/2014/main" id="{A1E55287-D9F6-0231-6C4C-A0503604C4DC}"/>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22" name="Text Box 138" hidden="1">
          <a:extLst>
            <a:ext uri="{FF2B5EF4-FFF2-40B4-BE49-F238E27FC236}">
              <a16:creationId xmlns:a16="http://schemas.microsoft.com/office/drawing/2014/main" id="{BC53C7C5-1A23-C1F3-FA5C-6B074DA57A6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921" name="Text Box 137" hidden="1">
          <a:extLst>
            <a:ext uri="{FF2B5EF4-FFF2-40B4-BE49-F238E27FC236}">
              <a16:creationId xmlns:a16="http://schemas.microsoft.com/office/drawing/2014/main" id="{14A9F053-8E96-BE20-EBF5-5645FB98A6C8}"/>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920" name="Text Box 136" hidden="1">
          <a:extLst>
            <a:ext uri="{FF2B5EF4-FFF2-40B4-BE49-F238E27FC236}">
              <a16:creationId xmlns:a16="http://schemas.microsoft.com/office/drawing/2014/main" id="{C55E3C02-9AFB-6A84-D41C-234DCD8CD37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919" name="Text Box 135" hidden="1">
          <a:extLst>
            <a:ext uri="{FF2B5EF4-FFF2-40B4-BE49-F238E27FC236}">
              <a16:creationId xmlns:a16="http://schemas.microsoft.com/office/drawing/2014/main" id="{84D963D4-19DB-0E74-BAC3-81A2DB78DDF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918" name="Text Box 134" hidden="1">
          <a:extLst>
            <a:ext uri="{FF2B5EF4-FFF2-40B4-BE49-F238E27FC236}">
              <a16:creationId xmlns:a16="http://schemas.microsoft.com/office/drawing/2014/main" id="{D5DB868C-9447-0B67-0E6C-25DFE648D467}"/>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917" name="Text Box 133" hidden="1">
          <a:extLst>
            <a:ext uri="{FF2B5EF4-FFF2-40B4-BE49-F238E27FC236}">
              <a16:creationId xmlns:a16="http://schemas.microsoft.com/office/drawing/2014/main" id="{19C590AE-8FBE-AA49-B07F-B59EDA109BC2}"/>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916" name="Text Box 132" hidden="1">
          <a:extLst>
            <a:ext uri="{FF2B5EF4-FFF2-40B4-BE49-F238E27FC236}">
              <a16:creationId xmlns:a16="http://schemas.microsoft.com/office/drawing/2014/main" id="{11C25214-701A-CB0D-790E-6E96E8E41A8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915" name="Text Box 131" hidden="1">
          <a:extLst>
            <a:ext uri="{FF2B5EF4-FFF2-40B4-BE49-F238E27FC236}">
              <a16:creationId xmlns:a16="http://schemas.microsoft.com/office/drawing/2014/main" id="{872FECBC-09FA-7AC1-6F5A-BDCA863844A8}"/>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914" name="Text Box 130" hidden="1">
          <a:extLst>
            <a:ext uri="{FF2B5EF4-FFF2-40B4-BE49-F238E27FC236}">
              <a16:creationId xmlns:a16="http://schemas.microsoft.com/office/drawing/2014/main" id="{E906E474-255E-89DD-64D1-AEDE66CF1182}"/>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913" name="Text Box 129" hidden="1">
          <a:extLst>
            <a:ext uri="{FF2B5EF4-FFF2-40B4-BE49-F238E27FC236}">
              <a16:creationId xmlns:a16="http://schemas.microsoft.com/office/drawing/2014/main" id="{CFEEA6C7-2DC4-05CE-0541-26589B6B2AE5}"/>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912" name="Text Box 128" hidden="1">
          <a:extLst>
            <a:ext uri="{FF2B5EF4-FFF2-40B4-BE49-F238E27FC236}">
              <a16:creationId xmlns:a16="http://schemas.microsoft.com/office/drawing/2014/main" id="{3E92EEF5-5BB4-CB63-72FA-EE9C9DE8A47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911" name="Text Box 127" hidden="1">
          <a:extLst>
            <a:ext uri="{FF2B5EF4-FFF2-40B4-BE49-F238E27FC236}">
              <a16:creationId xmlns:a16="http://schemas.microsoft.com/office/drawing/2014/main" id="{D2C34B1F-1827-9798-151D-348FBCC1D8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910" name="Text Box 126" hidden="1">
          <a:extLst>
            <a:ext uri="{FF2B5EF4-FFF2-40B4-BE49-F238E27FC236}">
              <a16:creationId xmlns:a16="http://schemas.microsoft.com/office/drawing/2014/main" id="{D959D2F7-D239-F7DD-D729-16CC8C5EF7E3}"/>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909" name="Text Box 125" hidden="1">
          <a:extLst>
            <a:ext uri="{FF2B5EF4-FFF2-40B4-BE49-F238E27FC236}">
              <a16:creationId xmlns:a16="http://schemas.microsoft.com/office/drawing/2014/main" id="{D6915854-6D2F-E916-0A70-1D3CADD80A07}"/>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908" name="Text Box 124" hidden="1">
          <a:extLst>
            <a:ext uri="{FF2B5EF4-FFF2-40B4-BE49-F238E27FC236}">
              <a16:creationId xmlns:a16="http://schemas.microsoft.com/office/drawing/2014/main" id="{F8439B05-D575-4180-3D28-93A7E6740A2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907" name="Text Box 123" hidden="1">
          <a:extLst>
            <a:ext uri="{FF2B5EF4-FFF2-40B4-BE49-F238E27FC236}">
              <a16:creationId xmlns:a16="http://schemas.microsoft.com/office/drawing/2014/main" id="{0102F9C9-EA73-46F5-EECA-7FAD8BEDD81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374946" name="Text Box 162" hidden="1">
          <a:extLst>
            <a:ext uri="{FF2B5EF4-FFF2-40B4-BE49-F238E27FC236}">
              <a16:creationId xmlns:a16="http://schemas.microsoft.com/office/drawing/2014/main" id="{EB78DF62-692E-ABE1-8B96-BC276551B75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374945" name="Text Box 161" hidden="1">
          <a:extLst>
            <a:ext uri="{FF2B5EF4-FFF2-40B4-BE49-F238E27FC236}">
              <a16:creationId xmlns:a16="http://schemas.microsoft.com/office/drawing/2014/main" id="{F4EA5BDC-6C1F-5D98-BE53-6FEE62001A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20</xdr:col>
      <xdr:colOff>533400</xdr:colOff>
      <xdr:row>54</xdr:row>
      <xdr:rowOff>144556</xdr:rowOff>
    </xdr:to>
    <xdr:sp macro="" textlink="">
      <xdr:nvSpPr>
        <xdr:cNvPr id="374944" name="Text Box 160" hidden="1">
          <a:extLst>
            <a:ext uri="{FF2B5EF4-FFF2-40B4-BE49-F238E27FC236}">
              <a16:creationId xmlns:a16="http://schemas.microsoft.com/office/drawing/2014/main" id="{6317CE78-F14A-71BA-3657-89D03ABC403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20</xdr:col>
      <xdr:colOff>533400</xdr:colOff>
      <xdr:row>53</xdr:row>
      <xdr:rowOff>144556</xdr:rowOff>
    </xdr:to>
    <xdr:sp macro="" textlink="">
      <xdr:nvSpPr>
        <xdr:cNvPr id="374943" name="Text Box 159" hidden="1">
          <a:extLst>
            <a:ext uri="{FF2B5EF4-FFF2-40B4-BE49-F238E27FC236}">
              <a16:creationId xmlns:a16="http://schemas.microsoft.com/office/drawing/2014/main" id="{9D1995B8-89BE-C063-1463-78D125A0823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153458</xdr:rowOff>
    </xdr:to>
    <xdr:sp macro="" textlink="">
      <xdr:nvSpPr>
        <xdr:cNvPr id="374942" name="Text Box 158" hidden="1">
          <a:extLst>
            <a:ext uri="{FF2B5EF4-FFF2-40B4-BE49-F238E27FC236}">
              <a16:creationId xmlns:a16="http://schemas.microsoft.com/office/drawing/2014/main" id="{08F1BF41-7D1E-3D41-CD8F-C42C7693F67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6350</xdr:colOff>
      <xdr:row>53</xdr:row>
      <xdr:rowOff>304800</xdr:rowOff>
    </xdr:to>
    <xdr:sp macro="" textlink="">
      <xdr:nvSpPr>
        <xdr:cNvPr id="374941" name="Text Box 157" hidden="1">
          <a:extLst>
            <a:ext uri="{FF2B5EF4-FFF2-40B4-BE49-F238E27FC236}">
              <a16:creationId xmlns:a16="http://schemas.microsoft.com/office/drawing/2014/main" id="{F6BEF187-A3AE-6A19-77F7-71E3E0C7CBD5}"/>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6350</xdr:colOff>
      <xdr:row>177</xdr:row>
      <xdr:rowOff>66813</xdr:rowOff>
    </xdr:to>
    <xdr:sp macro="" textlink="">
      <xdr:nvSpPr>
        <xdr:cNvPr id="374940" name="Text Box 156" hidden="1">
          <a:extLst>
            <a:ext uri="{FF2B5EF4-FFF2-40B4-BE49-F238E27FC236}">
              <a16:creationId xmlns:a16="http://schemas.microsoft.com/office/drawing/2014/main" id="{B79BF3C7-9E26-A50F-6DD0-CE19C3CBCB3B}"/>
            </a:ext>
          </a:extLst>
        </xdr:cNvPr>
        <xdr:cNvSpPr txBox="1">
          <a:spLocks noChangeArrowheads="1"/>
        </xdr:cNvSpPr>
      </xdr:nvSpPr>
      <xdr:spPr bwMode="auto">
        <a:xfrm>
          <a:off x="4229100" y="37084000"/>
          <a:ext cx="5372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86</xdr:row>
      <xdr:rowOff>37377</xdr:rowOff>
    </xdr:to>
    <xdr:sp macro="" textlink="">
      <xdr:nvSpPr>
        <xdr:cNvPr id="374939" name="Text Box 155" hidden="1">
          <a:extLst>
            <a:ext uri="{FF2B5EF4-FFF2-40B4-BE49-F238E27FC236}">
              <a16:creationId xmlns:a16="http://schemas.microsoft.com/office/drawing/2014/main" id="{6F69FC81-CE1C-6110-5432-328E53653432}"/>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86</xdr:row>
      <xdr:rowOff>37377</xdr:rowOff>
    </xdr:to>
    <xdr:sp macro="" textlink="">
      <xdr:nvSpPr>
        <xdr:cNvPr id="374938" name="Text Box 154" hidden="1">
          <a:extLst>
            <a:ext uri="{FF2B5EF4-FFF2-40B4-BE49-F238E27FC236}">
              <a16:creationId xmlns:a16="http://schemas.microsoft.com/office/drawing/2014/main" id="{5EAF143C-EEEF-94FA-7738-18C51C6B0BD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86</xdr:row>
      <xdr:rowOff>37377</xdr:rowOff>
    </xdr:to>
    <xdr:sp macro="" textlink="">
      <xdr:nvSpPr>
        <xdr:cNvPr id="374937" name="Text Box 153" hidden="1">
          <a:extLst>
            <a:ext uri="{FF2B5EF4-FFF2-40B4-BE49-F238E27FC236}">
              <a16:creationId xmlns:a16="http://schemas.microsoft.com/office/drawing/2014/main" id="{F8FE01C8-B061-C81F-E136-9C6472B04FA6}"/>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10583</xdr:colOff>
      <xdr:row>35</xdr:row>
      <xdr:rowOff>15875</xdr:rowOff>
    </xdr:to>
    <xdr:sp macro="" textlink="">
      <xdr:nvSpPr>
        <xdr:cNvPr id="374936" name="Text Box 152" hidden="1">
          <a:extLst>
            <a:ext uri="{FF2B5EF4-FFF2-40B4-BE49-F238E27FC236}">
              <a16:creationId xmlns:a16="http://schemas.microsoft.com/office/drawing/2014/main" id="{AFBA61A8-7B14-3A99-CE5B-1BC8EA037A7F}"/>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374932" name="Text Box 148" hidden="1">
          <a:extLst>
            <a:ext uri="{FF2B5EF4-FFF2-40B4-BE49-F238E27FC236}">
              <a16:creationId xmlns:a16="http://schemas.microsoft.com/office/drawing/2014/main" id="{18C3842F-80DF-B6B8-B1DA-452CF6C9649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51</xdr:row>
      <xdr:rowOff>159808</xdr:rowOff>
    </xdr:to>
    <xdr:sp macro="" textlink="">
      <xdr:nvSpPr>
        <xdr:cNvPr id="374931" name="Text Box 147" hidden="1">
          <a:extLst>
            <a:ext uri="{FF2B5EF4-FFF2-40B4-BE49-F238E27FC236}">
              <a16:creationId xmlns:a16="http://schemas.microsoft.com/office/drawing/2014/main" id="{E95E93DF-B4C1-AD82-57E4-D857300E3381}"/>
            </a:ext>
          </a:extLst>
        </xdr:cNvPr>
        <xdr:cNvSpPr txBox="1">
          <a:spLocks noChangeArrowheads="1"/>
        </xdr:cNvSpPr>
      </xdr:nvSpPr>
      <xdr:spPr bwMode="auto">
        <a:xfrm>
          <a:off x="21964650" y="6610350"/>
          <a:ext cx="4362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28</xdr:col>
      <xdr:colOff>57150</xdr:colOff>
      <xdr:row>65</xdr:row>
      <xdr:rowOff>325262</xdr:rowOff>
    </xdr:to>
    <xdr:sp macro="" textlink="">
      <xdr:nvSpPr>
        <xdr:cNvPr id="374930" name="Text Box 146" hidden="1">
          <a:extLst>
            <a:ext uri="{FF2B5EF4-FFF2-40B4-BE49-F238E27FC236}">
              <a16:creationId xmlns:a16="http://schemas.microsoft.com/office/drawing/2014/main" id="{63572BC3-AA89-A3B0-8138-7488BC817250}"/>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374929" name="Text Box 145" hidden="1">
          <a:extLst>
            <a:ext uri="{FF2B5EF4-FFF2-40B4-BE49-F238E27FC236}">
              <a16:creationId xmlns:a16="http://schemas.microsoft.com/office/drawing/2014/main" id="{7043E90F-3074-B477-E242-6A53DC8497C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153458</xdr:rowOff>
    </xdr:to>
    <xdr:sp macro="" textlink="">
      <xdr:nvSpPr>
        <xdr:cNvPr id="374928" name="Text Box 144" hidden="1">
          <a:extLst>
            <a:ext uri="{FF2B5EF4-FFF2-40B4-BE49-F238E27FC236}">
              <a16:creationId xmlns:a16="http://schemas.microsoft.com/office/drawing/2014/main" id="{3DFFC2D3-2F7F-E695-249C-3E8D470CF997}"/>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36</xdr:col>
      <xdr:colOff>666750</xdr:colOff>
      <xdr:row>81</xdr:row>
      <xdr:rowOff>83451</xdr:rowOff>
    </xdr:to>
    <xdr:sp macro="" textlink="">
      <xdr:nvSpPr>
        <xdr:cNvPr id="374927" name="Text Box 143" hidden="1">
          <a:extLst>
            <a:ext uri="{FF2B5EF4-FFF2-40B4-BE49-F238E27FC236}">
              <a16:creationId xmlns:a16="http://schemas.microsoft.com/office/drawing/2014/main" id="{9879786B-342A-5C29-7F05-59445628C062}"/>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33" name="Text Box 1041" hidden="1">
          <a:extLst>
            <a:ext uri="{FF2B5EF4-FFF2-40B4-BE49-F238E27FC236}">
              <a16:creationId xmlns:a16="http://schemas.microsoft.com/office/drawing/2014/main" id="{CF2A2C38-0025-3C8F-186D-37C62147DC86}"/>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32" name="Text Box 1040" hidden="1">
          <a:extLst>
            <a:ext uri="{FF2B5EF4-FFF2-40B4-BE49-F238E27FC236}">
              <a16:creationId xmlns:a16="http://schemas.microsoft.com/office/drawing/2014/main" id="{CD5BCB99-8C4D-EF01-5951-967062F19F6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418831" name="Text Box 1039" hidden="1">
          <a:extLst>
            <a:ext uri="{FF2B5EF4-FFF2-40B4-BE49-F238E27FC236}">
              <a16:creationId xmlns:a16="http://schemas.microsoft.com/office/drawing/2014/main" id="{9E9ACEC7-BA5B-01B9-A538-C4C0030F50C0}"/>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418830" name="Text Box 1038" hidden="1">
          <a:extLst>
            <a:ext uri="{FF2B5EF4-FFF2-40B4-BE49-F238E27FC236}">
              <a16:creationId xmlns:a16="http://schemas.microsoft.com/office/drawing/2014/main" id="{1E4B013E-3123-38E8-CA4F-02284B78C4A7}"/>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418829" name="Text Box 1037" hidden="1">
          <a:extLst>
            <a:ext uri="{FF2B5EF4-FFF2-40B4-BE49-F238E27FC236}">
              <a16:creationId xmlns:a16="http://schemas.microsoft.com/office/drawing/2014/main" id="{DA5AEFCC-337B-82A3-1D55-89E454398D40}"/>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418828" name="Text Box 1036" hidden="1">
          <a:extLst>
            <a:ext uri="{FF2B5EF4-FFF2-40B4-BE49-F238E27FC236}">
              <a16:creationId xmlns:a16="http://schemas.microsoft.com/office/drawing/2014/main" id="{97F45F63-FC45-C760-CBF1-6365F00AF615}"/>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1727</xdr:colOff>
      <xdr:row>177</xdr:row>
      <xdr:rowOff>66813</xdr:rowOff>
    </xdr:to>
    <xdr:sp macro="" textlink="">
      <xdr:nvSpPr>
        <xdr:cNvPr id="418827" name="Text Box 1035" hidden="1">
          <a:extLst>
            <a:ext uri="{FF2B5EF4-FFF2-40B4-BE49-F238E27FC236}">
              <a16:creationId xmlns:a16="http://schemas.microsoft.com/office/drawing/2014/main" id="{722E659B-36E0-A3CC-AB8E-D0FFCB0E56F2}"/>
            </a:ext>
          </a:extLst>
        </xdr:cNvPr>
        <xdr:cNvSpPr txBox="1">
          <a:spLocks noChangeArrowheads="1"/>
        </xdr:cNvSpPr>
      </xdr:nvSpPr>
      <xdr:spPr bwMode="auto">
        <a:xfrm>
          <a:off x="4229100" y="37090350"/>
          <a:ext cx="53721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418826" name="Text Box 1034" hidden="1">
          <a:extLst>
            <a:ext uri="{FF2B5EF4-FFF2-40B4-BE49-F238E27FC236}">
              <a16:creationId xmlns:a16="http://schemas.microsoft.com/office/drawing/2014/main" id="{3088F395-38D9-432F-F970-A520DFC2063B}"/>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418825" name="Text Box 1033" hidden="1">
          <a:extLst>
            <a:ext uri="{FF2B5EF4-FFF2-40B4-BE49-F238E27FC236}">
              <a16:creationId xmlns:a16="http://schemas.microsoft.com/office/drawing/2014/main" id="{0FC4F0EE-23C0-887E-B00F-942F1D04242B}"/>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418824" name="Text Box 1032" hidden="1">
          <a:extLst>
            <a:ext uri="{FF2B5EF4-FFF2-40B4-BE49-F238E27FC236}">
              <a16:creationId xmlns:a16="http://schemas.microsoft.com/office/drawing/2014/main" id="{C95437BC-ACE2-D6DB-7E24-7FB8CB577489}"/>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23" name="Text Box 1031" hidden="1">
          <a:extLst>
            <a:ext uri="{FF2B5EF4-FFF2-40B4-BE49-F238E27FC236}">
              <a16:creationId xmlns:a16="http://schemas.microsoft.com/office/drawing/2014/main" id="{3AE564A0-962A-4139-67A9-69ABF8A33F57}"/>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22" name="Text Box 1030" hidden="1">
          <a:extLst>
            <a:ext uri="{FF2B5EF4-FFF2-40B4-BE49-F238E27FC236}">
              <a16:creationId xmlns:a16="http://schemas.microsoft.com/office/drawing/2014/main" id="{A32D1DB1-602B-0D1A-E353-18ED6E56B72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339725</xdr:rowOff>
    </xdr:from>
    <xdr:to>
      <xdr:col>28</xdr:col>
      <xdr:colOff>647700</xdr:colOff>
      <xdr:row>51</xdr:row>
      <xdr:rowOff>158750</xdr:rowOff>
    </xdr:to>
    <xdr:sp macro="" textlink="">
      <xdr:nvSpPr>
        <xdr:cNvPr id="418821" name="Text Box 1029" hidden="1">
          <a:extLst>
            <a:ext uri="{FF2B5EF4-FFF2-40B4-BE49-F238E27FC236}">
              <a16:creationId xmlns:a16="http://schemas.microsoft.com/office/drawing/2014/main" id="{00C145FA-35E2-D958-DCAD-E00FC7BE7346}"/>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325262</xdr:rowOff>
    </xdr:to>
    <xdr:sp macro="" textlink="">
      <xdr:nvSpPr>
        <xdr:cNvPr id="418820" name="Text Box 1028" hidden="1">
          <a:extLst>
            <a:ext uri="{FF2B5EF4-FFF2-40B4-BE49-F238E27FC236}">
              <a16:creationId xmlns:a16="http://schemas.microsoft.com/office/drawing/2014/main" id="{8F524D5C-0EC9-C68B-62AB-AC7EB4DB7E79}"/>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19" name="Text Box 1027" hidden="1">
          <a:extLst>
            <a:ext uri="{FF2B5EF4-FFF2-40B4-BE49-F238E27FC236}">
              <a16:creationId xmlns:a16="http://schemas.microsoft.com/office/drawing/2014/main" id="{FAACB9D8-7EB0-AD84-FFDE-C4BB7631AC7D}"/>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418818" name="Text Box 1026" hidden="1">
          <a:extLst>
            <a:ext uri="{FF2B5EF4-FFF2-40B4-BE49-F238E27FC236}">
              <a16:creationId xmlns:a16="http://schemas.microsoft.com/office/drawing/2014/main" id="{93753828-6442-069E-F96C-5E48E18992FF}"/>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218701</xdr:rowOff>
    </xdr:from>
    <xdr:to>
      <xdr:col>36</xdr:col>
      <xdr:colOff>673100</xdr:colOff>
      <xdr:row>81</xdr:row>
      <xdr:rowOff>83451</xdr:rowOff>
    </xdr:to>
    <xdr:sp macro="" textlink="">
      <xdr:nvSpPr>
        <xdr:cNvPr id="418817" name="Text Box 1025" hidden="1">
          <a:extLst>
            <a:ext uri="{FF2B5EF4-FFF2-40B4-BE49-F238E27FC236}">
              <a16:creationId xmlns:a16="http://schemas.microsoft.com/office/drawing/2014/main" id="{12C1A11C-6F57-1284-71DF-E88C7E21BE1D}"/>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374963" name="Text Box 179" hidden="1">
          <a:extLst>
            <a:ext uri="{FF2B5EF4-FFF2-40B4-BE49-F238E27FC236}">
              <a16:creationId xmlns:a16="http://schemas.microsoft.com/office/drawing/2014/main" id="{80A0520F-38CD-5747-154C-E1C80D58402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374962" name="Text Box 178" hidden="1">
          <a:extLst>
            <a:ext uri="{FF2B5EF4-FFF2-40B4-BE49-F238E27FC236}">
              <a16:creationId xmlns:a16="http://schemas.microsoft.com/office/drawing/2014/main" id="{9D00B07C-B464-9C1E-F3AA-D0093E519ECA}"/>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374961" name="Text Box 177" hidden="1">
          <a:extLst>
            <a:ext uri="{FF2B5EF4-FFF2-40B4-BE49-F238E27FC236}">
              <a16:creationId xmlns:a16="http://schemas.microsoft.com/office/drawing/2014/main" id="{D83FF855-6350-F8BA-41C3-E6514BBDB929}"/>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374960" name="Text Box 176" hidden="1">
          <a:extLst>
            <a:ext uri="{FF2B5EF4-FFF2-40B4-BE49-F238E27FC236}">
              <a16:creationId xmlns:a16="http://schemas.microsoft.com/office/drawing/2014/main" id="{053AFF49-0723-9572-FD43-CA9401BAC2F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374959" name="Text Box 175" hidden="1">
          <a:extLst>
            <a:ext uri="{FF2B5EF4-FFF2-40B4-BE49-F238E27FC236}">
              <a16:creationId xmlns:a16="http://schemas.microsoft.com/office/drawing/2014/main" id="{11F430C1-40B8-41F1-355B-382D8968D34C}"/>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374958" name="Text Box 174" hidden="1">
          <a:extLst>
            <a:ext uri="{FF2B5EF4-FFF2-40B4-BE49-F238E27FC236}">
              <a16:creationId xmlns:a16="http://schemas.microsoft.com/office/drawing/2014/main" id="{C06BC14D-3803-EA0E-9516-508FD77A82F6}"/>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1727</xdr:colOff>
      <xdr:row>177</xdr:row>
      <xdr:rowOff>66813</xdr:rowOff>
    </xdr:to>
    <xdr:sp macro="" textlink="">
      <xdr:nvSpPr>
        <xdr:cNvPr id="374957" name="Text Box 173" hidden="1">
          <a:extLst>
            <a:ext uri="{FF2B5EF4-FFF2-40B4-BE49-F238E27FC236}">
              <a16:creationId xmlns:a16="http://schemas.microsoft.com/office/drawing/2014/main" id="{691A170E-5220-F086-B247-7DD69DEF92A6}"/>
            </a:ext>
          </a:extLst>
        </xdr:cNvPr>
        <xdr:cNvSpPr txBox="1">
          <a:spLocks noChangeArrowheads="1"/>
        </xdr:cNvSpPr>
      </xdr:nvSpPr>
      <xdr:spPr bwMode="auto">
        <a:xfrm>
          <a:off x="4229100" y="37090350"/>
          <a:ext cx="53721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374956" name="Text Box 172" hidden="1">
          <a:extLst>
            <a:ext uri="{FF2B5EF4-FFF2-40B4-BE49-F238E27FC236}">
              <a16:creationId xmlns:a16="http://schemas.microsoft.com/office/drawing/2014/main" id="{28A860B0-B1BB-4AA4-B24B-2A433831F66B}"/>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374955" name="Text Box 171" hidden="1">
          <a:extLst>
            <a:ext uri="{FF2B5EF4-FFF2-40B4-BE49-F238E27FC236}">
              <a16:creationId xmlns:a16="http://schemas.microsoft.com/office/drawing/2014/main" id="{A04461F3-D417-A665-7858-8137F657439B}"/>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374954" name="Text Box 170" hidden="1">
          <a:extLst>
            <a:ext uri="{FF2B5EF4-FFF2-40B4-BE49-F238E27FC236}">
              <a16:creationId xmlns:a16="http://schemas.microsoft.com/office/drawing/2014/main" id="{13254D05-4AC1-98BA-3A87-3906C346CD9E}"/>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374953" name="Text Box 169" hidden="1">
          <a:extLst>
            <a:ext uri="{FF2B5EF4-FFF2-40B4-BE49-F238E27FC236}">
              <a16:creationId xmlns:a16="http://schemas.microsoft.com/office/drawing/2014/main" id="{2A18D3E5-F799-C629-A0E5-7B62AF5A9100}"/>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374952" name="Text Box 168" hidden="1">
          <a:extLst>
            <a:ext uri="{FF2B5EF4-FFF2-40B4-BE49-F238E27FC236}">
              <a16:creationId xmlns:a16="http://schemas.microsoft.com/office/drawing/2014/main" id="{508F549C-8B37-58AB-A23E-B47294F599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339725</xdr:rowOff>
    </xdr:from>
    <xdr:to>
      <xdr:col>28</xdr:col>
      <xdr:colOff>647700</xdr:colOff>
      <xdr:row>51</xdr:row>
      <xdr:rowOff>158750</xdr:rowOff>
    </xdr:to>
    <xdr:sp macro="" textlink="">
      <xdr:nvSpPr>
        <xdr:cNvPr id="374951" name="Text Box 167" hidden="1">
          <a:extLst>
            <a:ext uri="{FF2B5EF4-FFF2-40B4-BE49-F238E27FC236}">
              <a16:creationId xmlns:a16="http://schemas.microsoft.com/office/drawing/2014/main" id="{D6BC26FE-38EE-C613-6752-5ADA8EEA7196}"/>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325262</xdr:rowOff>
    </xdr:to>
    <xdr:sp macro="" textlink="">
      <xdr:nvSpPr>
        <xdr:cNvPr id="374950" name="Text Box 166" hidden="1">
          <a:extLst>
            <a:ext uri="{FF2B5EF4-FFF2-40B4-BE49-F238E27FC236}">
              <a16:creationId xmlns:a16="http://schemas.microsoft.com/office/drawing/2014/main" id="{FBF84AF9-AC8C-615E-A973-AF0E1141451A}"/>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374949" name="Text Box 165" hidden="1">
          <a:extLst>
            <a:ext uri="{FF2B5EF4-FFF2-40B4-BE49-F238E27FC236}">
              <a16:creationId xmlns:a16="http://schemas.microsoft.com/office/drawing/2014/main" id="{AB091777-8D81-BA42-D488-5426E30D447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374948" name="Text Box 164" hidden="1">
          <a:extLst>
            <a:ext uri="{FF2B5EF4-FFF2-40B4-BE49-F238E27FC236}">
              <a16:creationId xmlns:a16="http://schemas.microsoft.com/office/drawing/2014/main" id="{84A8F4B4-266A-1B5D-8E47-DC14AE5AADF1}"/>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218701</xdr:rowOff>
    </xdr:from>
    <xdr:to>
      <xdr:col>36</xdr:col>
      <xdr:colOff>673100</xdr:colOff>
      <xdr:row>81</xdr:row>
      <xdr:rowOff>83451</xdr:rowOff>
    </xdr:to>
    <xdr:sp macro="" textlink="">
      <xdr:nvSpPr>
        <xdr:cNvPr id="374947" name="Text Box 163" hidden="1">
          <a:extLst>
            <a:ext uri="{FF2B5EF4-FFF2-40B4-BE49-F238E27FC236}">
              <a16:creationId xmlns:a16="http://schemas.microsoft.com/office/drawing/2014/main" id="{46B860AA-A022-62F3-C150-B68A3104891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50" name="Text Box 34" hidden="1">
          <a:extLst>
            <a:ext uri="{FF2B5EF4-FFF2-40B4-BE49-F238E27FC236}">
              <a16:creationId xmlns:a16="http://schemas.microsoft.com/office/drawing/2014/main" id="{6093CEF9-C4E8-C654-F1F8-E6F54555D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49" name="Text Box 33" hidden="1">
          <a:extLst>
            <a:ext uri="{FF2B5EF4-FFF2-40B4-BE49-F238E27FC236}">
              <a16:creationId xmlns:a16="http://schemas.microsoft.com/office/drawing/2014/main" id="{1D906125-3B48-690D-895E-9A08EADA3A0E}"/>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418848" name="Text Box 32" hidden="1">
          <a:extLst>
            <a:ext uri="{FF2B5EF4-FFF2-40B4-BE49-F238E27FC236}">
              <a16:creationId xmlns:a16="http://schemas.microsoft.com/office/drawing/2014/main" id="{6AC0ABCE-BF13-DF38-86E0-91EDAC70895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418847" name="Text Box 31" hidden="1">
          <a:extLst>
            <a:ext uri="{FF2B5EF4-FFF2-40B4-BE49-F238E27FC236}">
              <a16:creationId xmlns:a16="http://schemas.microsoft.com/office/drawing/2014/main" id="{9132AE2E-91BA-4B37-E00A-852562AC51E7}"/>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46" name="Text Box 30" hidden="1">
          <a:extLst>
            <a:ext uri="{FF2B5EF4-FFF2-40B4-BE49-F238E27FC236}">
              <a16:creationId xmlns:a16="http://schemas.microsoft.com/office/drawing/2014/main" id="{97885BFB-3A8B-03EA-8BBC-B6A59A7BF72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45" name="Text Box 29" hidden="1">
          <a:extLst>
            <a:ext uri="{FF2B5EF4-FFF2-40B4-BE49-F238E27FC236}">
              <a16:creationId xmlns:a16="http://schemas.microsoft.com/office/drawing/2014/main" id="{FC42EFD4-9A97-12E0-67B9-86369D49C9C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6</xdr:col>
      <xdr:colOff>0</xdr:colOff>
      <xdr:row>177</xdr:row>
      <xdr:rowOff>66813</xdr:rowOff>
    </xdr:to>
    <xdr:sp macro="" textlink="">
      <xdr:nvSpPr>
        <xdr:cNvPr id="418844" name="Text Box 28" hidden="1">
          <a:extLst>
            <a:ext uri="{FF2B5EF4-FFF2-40B4-BE49-F238E27FC236}">
              <a16:creationId xmlns:a16="http://schemas.microsoft.com/office/drawing/2014/main" id="{F823A7D4-4854-A129-0766-08F15D1F67D4}"/>
            </a:ext>
          </a:extLst>
        </xdr:cNvPr>
        <xdr:cNvSpPr txBox="1">
          <a:spLocks noChangeArrowheads="1"/>
        </xdr:cNvSpPr>
      </xdr:nvSpPr>
      <xdr:spPr bwMode="auto">
        <a:xfrm>
          <a:off x="4229100" y="37084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43" name="Text Box 27" hidden="1">
          <a:extLst>
            <a:ext uri="{FF2B5EF4-FFF2-40B4-BE49-F238E27FC236}">
              <a16:creationId xmlns:a16="http://schemas.microsoft.com/office/drawing/2014/main" id="{F8F2F8F1-5EDB-F993-48B0-3B198266FC29}"/>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42" name="Text Box 26" hidden="1">
          <a:extLst>
            <a:ext uri="{FF2B5EF4-FFF2-40B4-BE49-F238E27FC236}">
              <a16:creationId xmlns:a16="http://schemas.microsoft.com/office/drawing/2014/main" id="{C28FA67C-60DA-5CBD-A0F4-0369B748D53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41" name="Text Box 25" hidden="1">
          <a:extLst>
            <a:ext uri="{FF2B5EF4-FFF2-40B4-BE49-F238E27FC236}">
              <a16:creationId xmlns:a16="http://schemas.microsoft.com/office/drawing/2014/main" id="{5778337D-E855-889F-C460-B1C87F221D44}"/>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40" name="Text Box 24" hidden="1">
          <a:extLst>
            <a:ext uri="{FF2B5EF4-FFF2-40B4-BE49-F238E27FC236}">
              <a16:creationId xmlns:a16="http://schemas.microsoft.com/office/drawing/2014/main" id="{82ED5A82-932D-5F6E-06CF-27E9BE21E05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39" name="Text Box 23" hidden="1">
          <a:extLst>
            <a:ext uri="{FF2B5EF4-FFF2-40B4-BE49-F238E27FC236}">
              <a16:creationId xmlns:a16="http://schemas.microsoft.com/office/drawing/2014/main" id="{3FFE36A2-1CEE-8414-8008-44FC8CEDC3D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38" name="Text Box 22" hidden="1">
          <a:extLst>
            <a:ext uri="{FF2B5EF4-FFF2-40B4-BE49-F238E27FC236}">
              <a16:creationId xmlns:a16="http://schemas.microsoft.com/office/drawing/2014/main" id="{815954CE-05F9-2CC2-95EA-AD5AAE5F4A5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37" name="Text Box 21" hidden="1">
          <a:extLst>
            <a:ext uri="{FF2B5EF4-FFF2-40B4-BE49-F238E27FC236}">
              <a16:creationId xmlns:a16="http://schemas.microsoft.com/office/drawing/2014/main" id="{CC32223C-3375-2CEC-B224-3FFE20C913B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36" name="Text Box 20" hidden="1">
          <a:extLst>
            <a:ext uri="{FF2B5EF4-FFF2-40B4-BE49-F238E27FC236}">
              <a16:creationId xmlns:a16="http://schemas.microsoft.com/office/drawing/2014/main" id="{B10BC828-75AC-E3D9-4CF2-81BA0B44636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35" name="Text Box 19" hidden="1">
          <a:extLst>
            <a:ext uri="{FF2B5EF4-FFF2-40B4-BE49-F238E27FC236}">
              <a16:creationId xmlns:a16="http://schemas.microsoft.com/office/drawing/2014/main" id="{404C0AC2-D43A-9D54-3959-B9D23F34F53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36</xdr:col>
      <xdr:colOff>666750</xdr:colOff>
      <xdr:row>81</xdr:row>
      <xdr:rowOff>83451</xdr:rowOff>
    </xdr:to>
    <xdr:sp macro="" textlink="">
      <xdr:nvSpPr>
        <xdr:cNvPr id="418834" name="Text Box 18" hidden="1">
          <a:extLst>
            <a:ext uri="{FF2B5EF4-FFF2-40B4-BE49-F238E27FC236}">
              <a16:creationId xmlns:a16="http://schemas.microsoft.com/office/drawing/2014/main" id="{4A3D3C2E-E399-4EB7-2976-BA1E7D601124}"/>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2F5DF1A7-D00A-41C2-911C-AC55D8DECB5D}"/>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67" name="Text Box 51" hidden="1">
          <a:extLst>
            <a:ext uri="{FF2B5EF4-FFF2-40B4-BE49-F238E27FC236}">
              <a16:creationId xmlns:a16="http://schemas.microsoft.com/office/drawing/2014/main" id="{06068F16-4B15-4F0B-C301-A273A8BF0F9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66" name="Text Box 50" hidden="1">
          <a:extLst>
            <a:ext uri="{FF2B5EF4-FFF2-40B4-BE49-F238E27FC236}">
              <a16:creationId xmlns:a16="http://schemas.microsoft.com/office/drawing/2014/main" id="{6759C4D6-2251-F3A3-C3A4-B407E4107B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65" name="Text Box 49" hidden="1">
          <a:extLst>
            <a:ext uri="{FF2B5EF4-FFF2-40B4-BE49-F238E27FC236}">
              <a16:creationId xmlns:a16="http://schemas.microsoft.com/office/drawing/2014/main" id="{722D8CF1-AB0A-4B27-5C1C-EAC952752EE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64" name="Text Box 48" hidden="1">
          <a:extLst>
            <a:ext uri="{FF2B5EF4-FFF2-40B4-BE49-F238E27FC236}">
              <a16:creationId xmlns:a16="http://schemas.microsoft.com/office/drawing/2014/main" id="{2335CEEC-A537-8F5E-978C-C31345F54D51}"/>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63" name="Text Box 47" hidden="1">
          <a:extLst>
            <a:ext uri="{FF2B5EF4-FFF2-40B4-BE49-F238E27FC236}">
              <a16:creationId xmlns:a16="http://schemas.microsoft.com/office/drawing/2014/main" id="{AC9325D0-5967-E3E6-A83B-44830F2FD60F}"/>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62" name="Text Box 46" hidden="1">
          <a:extLst>
            <a:ext uri="{FF2B5EF4-FFF2-40B4-BE49-F238E27FC236}">
              <a16:creationId xmlns:a16="http://schemas.microsoft.com/office/drawing/2014/main" id="{C5D75D09-4AEF-8617-189D-8188B9C69BD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61" name="Text Box 45" hidden="1">
          <a:extLst>
            <a:ext uri="{FF2B5EF4-FFF2-40B4-BE49-F238E27FC236}">
              <a16:creationId xmlns:a16="http://schemas.microsoft.com/office/drawing/2014/main" id="{0BC2E3F0-42CA-68B5-2AA6-E95E95530908}"/>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60" name="Text Box 44" hidden="1">
          <a:extLst>
            <a:ext uri="{FF2B5EF4-FFF2-40B4-BE49-F238E27FC236}">
              <a16:creationId xmlns:a16="http://schemas.microsoft.com/office/drawing/2014/main" id="{261DC8F7-59CD-CFAC-C8CB-9CB0AEAF6F2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59" name="Text Box 43" hidden="1">
          <a:extLst>
            <a:ext uri="{FF2B5EF4-FFF2-40B4-BE49-F238E27FC236}">
              <a16:creationId xmlns:a16="http://schemas.microsoft.com/office/drawing/2014/main" id="{1A2B7733-9E61-B358-B95B-0CDB81E00E1C}"/>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58" name="Text Box 42" hidden="1">
          <a:extLst>
            <a:ext uri="{FF2B5EF4-FFF2-40B4-BE49-F238E27FC236}">
              <a16:creationId xmlns:a16="http://schemas.microsoft.com/office/drawing/2014/main" id="{5AB0D2FA-4F63-8104-6E77-48B1AC144A47}"/>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57" name="Text Box 41" hidden="1">
          <a:extLst>
            <a:ext uri="{FF2B5EF4-FFF2-40B4-BE49-F238E27FC236}">
              <a16:creationId xmlns:a16="http://schemas.microsoft.com/office/drawing/2014/main" id="{DCDAB9CB-B57F-DBA0-1BB1-5118C255F7C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56" name="Text Box 40" hidden="1">
          <a:extLst>
            <a:ext uri="{FF2B5EF4-FFF2-40B4-BE49-F238E27FC236}">
              <a16:creationId xmlns:a16="http://schemas.microsoft.com/office/drawing/2014/main" id="{E0579622-6B13-9F55-3541-CC3F329692E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55" name="Text Box 39" hidden="1">
          <a:extLst>
            <a:ext uri="{FF2B5EF4-FFF2-40B4-BE49-F238E27FC236}">
              <a16:creationId xmlns:a16="http://schemas.microsoft.com/office/drawing/2014/main" id="{4AAFBC8C-FF1A-4852-8D3F-F229FF05087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54" name="Text Box 38" hidden="1">
          <a:extLst>
            <a:ext uri="{FF2B5EF4-FFF2-40B4-BE49-F238E27FC236}">
              <a16:creationId xmlns:a16="http://schemas.microsoft.com/office/drawing/2014/main" id="{3D01DA58-4C8B-B6EA-A53C-FFB1418126AE}"/>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53" name="Text Box 37" hidden="1">
          <a:extLst>
            <a:ext uri="{FF2B5EF4-FFF2-40B4-BE49-F238E27FC236}">
              <a16:creationId xmlns:a16="http://schemas.microsoft.com/office/drawing/2014/main" id="{0B64437F-3111-A225-3503-83CBFBEDD3F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52" name="Text Box 36" hidden="1">
          <a:extLst>
            <a:ext uri="{FF2B5EF4-FFF2-40B4-BE49-F238E27FC236}">
              <a16:creationId xmlns:a16="http://schemas.microsoft.com/office/drawing/2014/main" id="{48140E46-141B-CF64-9268-3E98BD49F02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83" name="Text Box 67" hidden="1">
          <a:extLst>
            <a:ext uri="{FF2B5EF4-FFF2-40B4-BE49-F238E27FC236}">
              <a16:creationId xmlns:a16="http://schemas.microsoft.com/office/drawing/2014/main" id="{F49EA9B8-0154-1D68-EC41-1528A85B8E4A}"/>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82" name="Text Box 66" hidden="1">
          <a:extLst>
            <a:ext uri="{FF2B5EF4-FFF2-40B4-BE49-F238E27FC236}">
              <a16:creationId xmlns:a16="http://schemas.microsoft.com/office/drawing/2014/main" id="{72851463-1411-72FC-6C7E-27ED927FE6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81" name="Text Box 65" hidden="1">
          <a:extLst>
            <a:ext uri="{FF2B5EF4-FFF2-40B4-BE49-F238E27FC236}">
              <a16:creationId xmlns:a16="http://schemas.microsoft.com/office/drawing/2014/main" id="{E8260169-84F5-F390-1723-8CD0F84275A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80" name="Text Box 64" hidden="1">
          <a:extLst>
            <a:ext uri="{FF2B5EF4-FFF2-40B4-BE49-F238E27FC236}">
              <a16:creationId xmlns:a16="http://schemas.microsoft.com/office/drawing/2014/main" id="{9731A4A6-9FA1-09DA-ECCE-F442A7F152C9}"/>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79" name="Text Box 63" hidden="1">
          <a:extLst>
            <a:ext uri="{FF2B5EF4-FFF2-40B4-BE49-F238E27FC236}">
              <a16:creationId xmlns:a16="http://schemas.microsoft.com/office/drawing/2014/main" id="{7E7F6371-BE08-278C-2ABB-15756014805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78" name="Text Box 62" hidden="1">
          <a:extLst>
            <a:ext uri="{FF2B5EF4-FFF2-40B4-BE49-F238E27FC236}">
              <a16:creationId xmlns:a16="http://schemas.microsoft.com/office/drawing/2014/main" id="{0851B9F6-B19B-5C4A-4508-323D0B706032}"/>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77" name="Text Box 61" hidden="1">
          <a:extLst>
            <a:ext uri="{FF2B5EF4-FFF2-40B4-BE49-F238E27FC236}">
              <a16:creationId xmlns:a16="http://schemas.microsoft.com/office/drawing/2014/main" id="{53C01C23-4F6F-31BC-1A71-21DE9DB76171}"/>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76" name="Text Box 60" hidden="1">
          <a:extLst>
            <a:ext uri="{FF2B5EF4-FFF2-40B4-BE49-F238E27FC236}">
              <a16:creationId xmlns:a16="http://schemas.microsoft.com/office/drawing/2014/main" id="{B2A4BBA8-4097-7FFB-B0F5-3C9DCFD2D077}"/>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75" name="Text Box 59" hidden="1">
          <a:extLst>
            <a:ext uri="{FF2B5EF4-FFF2-40B4-BE49-F238E27FC236}">
              <a16:creationId xmlns:a16="http://schemas.microsoft.com/office/drawing/2014/main" id="{D13D1E01-3D6C-1FD7-F446-B805C45AF98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74" name="Text Box 58" hidden="1">
          <a:extLst>
            <a:ext uri="{FF2B5EF4-FFF2-40B4-BE49-F238E27FC236}">
              <a16:creationId xmlns:a16="http://schemas.microsoft.com/office/drawing/2014/main" id="{11ABB37C-AE49-CC44-7FAA-CB4A56395E2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73" name="Text Box 57" hidden="1">
          <a:extLst>
            <a:ext uri="{FF2B5EF4-FFF2-40B4-BE49-F238E27FC236}">
              <a16:creationId xmlns:a16="http://schemas.microsoft.com/office/drawing/2014/main" id="{D50B0716-AA7A-5343-AE66-D11384E30F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72" name="Text Box 56" hidden="1">
          <a:extLst>
            <a:ext uri="{FF2B5EF4-FFF2-40B4-BE49-F238E27FC236}">
              <a16:creationId xmlns:a16="http://schemas.microsoft.com/office/drawing/2014/main" id="{04A65990-640B-8D90-9C96-8F36398549D2}"/>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71" name="Text Box 55" hidden="1">
          <a:extLst>
            <a:ext uri="{FF2B5EF4-FFF2-40B4-BE49-F238E27FC236}">
              <a16:creationId xmlns:a16="http://schemas.microsoft.com/office/drawing/2014/main" id="{41D7F1EA-BEA8-514B-CF0E-51D49FC898AA}"/>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70" name="Text Box 54" hidden="1">
          <a:extLst>
            <a:ext uri="{FF2B5EF4-FFF2-40B4-BE49-F238E27FC236}">
              <a16:creationId xmlns:a16="http://schemas.microsoft.com/office/drawing/2014/main" id="{8229FB0C-8C04-D790-276F-84245841425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69" name="Text Box 53" hidden="1">
          <a:extLst>
            <a:ext uri="{FF2B5EF4-FFF2-40B4-BE49-F238E27FC236}">
              <a16:creationId xmlns:a16="http://schemas.microsoft.com/office/drawing/2014/main" id="{D374F798-7C6F-CBD2-92EC-EB66AD5B7C8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68" name="Text Box 52" hidden="1">
          <a:extLst>
            <a:ext uri="{FF2B5EF4-FFF2-40B4-BE49-F238E27FC236}">
              <a16:creationId xmlns:a16="http://schemas.microsoft.com/office/drawing/2014/main" id="{CCCFB9EE-A48B-F9F2-57E9-2D85ED2FE58B}"/>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15" name="Text Box 99" hidden="1">
          <a:extLst>
            <a:ext uri="{FF2B5EF4-FFF2-40B4-BE49-F238E27FC236}">
              <a16:creationId xmlns:a16="http://schemas.microsoft.com/office/drawing/2014/main" id="{AC8532E1-E597-7A70-F25B-0C3CBCB0A6B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14" name="Text Box 98" hidden="1">
          <a:extLst>
            <a:ext uri="{FF2B5EF4-FFF2-40B4-BE49-F238E27FC236}">
              <a16:creationId xmlns:a16="http://schemas.microsoft.com/office/drawing/2014/main" id="{6C9924A8-59DF-1B06-13D7-412A63318A9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13" name="Text Box 97" hidden="1">
          <a:extLst>
            <a:ext uri="{FF2B5EF4-FFF2-40B4-BE49-F238E27FC236}">
              <a16:creationId xmlns:a16="http://schemas.microsoft.com/office/drawing/2014/main" id="{6A6B1CB2-992B-D3D6-DD29-DF513FBFF581}"/>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12" name="Text Box 96" hidden="1">
          <a:extLst>
            <a:ext uri="{FF2B5EF4-FFF2-40B4-BE49-F238E27FC236}">
              <a16:creationId xmlns:a16="http://schemas.microsoft.com/office/drawing/2014/main" id="{4F2F0DD1-9B9D-8CF0-446A-BCB740F3D3F2}"/>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11" name="Text Box 95" hidden="1">
          <a:extLst>
            <a:ext uri="{FF2B5EF4-FFF2-40B4-BE49-F238E27FC236}">
              <a16:creationId xmlns:a16="http://schemas.microsoft.com/office/drawing/2014/main" id="{16E21658-EDEF-F247-FC9D-E00DCFBEECE0}"/>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10" name="Text Box 94" hidden="1">
          <a:extLst>
            <a:ext uri="{FF2B5EF4-FFF2-40B4-BE49-F238E27FC236}">
              <a16:creationId xmlns:a16="http://schemas.microsoft.com/office/drawing/2014/main" id="{C5C1EA7D-0185-97C9-941E-197B6CC67429}"/>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09" name="Text Box 93" hidden="1">
          <a:extLst>
            <a:ext uri="{FF2B5EF4-FFF2-40B4-BE49-F238E27FC236}">
              <a16:creationId xmlns:a16="http://schemas.microsoft.com/office/drawing/2014/main" id="{75939D4B-5C0A-21B9-ACB5-73B825090C53}"/>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08" name="Text Box 92" hidden="1">
          <a:extLst>
            <a:ext uri="{FF2B5EF4-FFF2-40B4-BE49-F238E27FC236}">
              <a16:creationId xmlns:a16="http://schemas.microsoft.com/office/drawing/2014/main" id="{2C905456-125C-DF86-6BBA-ACBF403C9A92}"/>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07" name="Text Box 91" hidden="1">
          <a:extLst>
            <a:ext uri="{FF2B5EF4-FFF2-40B4-BE49-F238E27FC236}">
              <a16:creationId xmlns:a16="http://schemas.microsoft.com/office/drawing/2014/main" id="{F162DE2B-E11B-41AF-76BB-DE9142340D48}"/>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06" name="Text Box 90" hidden="1">
          <a:extLst>
            <a:ext uri="{FF2B5EF4-FFF2-40B4-BE49-F238E27FC236}">
              <a16:creationId xmlns:a16="http://schemas.microsoft.com/office/drawing/2014/main" id="{1F5F9281-213B-1BE6-8355-8177D33F8E69}"/>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05" name="Text Box 89" hidden="1">
          <a:extLst>
            <a:ext uri="{FF2B5EF4-FFF2-40B4-BE49-F238E27FC236}">
              <a16:creationId xmlns:a16="http://schemas.microsoft.com/office/drawing/2014/main" id="{21925BB5-2BEA-5A02-68D3-2D20443175CC}"/>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04" name="Text Box 88" hidden="1">
          <a:extLst>
            <a:ext uri="{FF2B5EF4-FFF2-40B4-BE49-F238E27FC236}">
              <a16:creationId xmlns:a16="http://schemas.microsoft.com/office/drawing/2014/main" id="{68FAD72E-D483-AA55-3D04-68813CA6EE0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03" name="Text Box 87" hidden="1">
          <a:extLst>
            <a:ext uri="{FF2B5EF4-FFF2-40B4-BE49-F238E27FC236}">
              <a16:creationId xmlns:a16="http://schemas.microsoft.com/office/drawing/2014/main" id="{D201884B-A286-AC79-76AF-1A826616400F}"/>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02" name="Text Box 86" hidden="1">
          <a:extLst>
            <a:ext uri="{FF2B5EF4-FFF2-40B4-BE49-F238E27FC236}">
              <a16:creationId xmlns:a16="http://schemas.microsoft.com/office/drawing/2014/main" id="{415E7026-38D1-00A1-9F97-A2F1A3EE6295}"/>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01" name="Text Box 85" hidden="1">
          <a:extLst>
            <a:ext uri="{FF2B5EF4-FFF2-40B4-BE49-F238E27FC236}">
              <a16:creationId xmlns:a16="http://schemas.microsoft.com/office/drawing/2014/main" id="{425A359A-C6E4-1082-5674-A9637E848E57}"/>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00" name="Text Box 84" hidden="1">
          <a:extLst>
            <a:ext uri="{FF2B5EF4-FFF2-40B4-BE49-F238E27FC236}">
              <a16:creationId xmlns:a16="http://schemas.microsoft.com/office/drawing/2014/main" id="{D7074D9D-BDBD-71CA-D81B-4B87757B2338}"/>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99" name="Text Box 83" hidden="1">
          <a:extLst>
            <a:ext uri="{FF2B5EF4-FFF2-40B4-BE49-F238E27FC236}">
              <a16:creationId xmlns:a16="http://schemas.microsoft.com/office/drawing/2014/main" id="{E2273C85-0C32-3B4D-825F-C716A760AD21}"/>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98" name="Text Box 82" hidden="1">
          <a:extLst>
            <a:ext uri="{FF2B5EF4-FFF2-40B4-BE49-F238E27FC236}">
              <a16:creationId xmlns:a16="http://schemas.microsoft.com/office/drawing/2014/main" id="{FC8208C0-AB00-F729-CD67-173F94EAE01D}"/>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97" name="Text Box 81" hidden="1">
          <a:extLst>
            <a:ext uri="{FF2B5EF4-FFF2-40B4-BE49-F238E27FC236}">
              <a16:creationId xmlns:a16="http://schemas.microsoft.com/office/drawing/2014/main" id="{D8EE70E9-4D0A-0F63-9C9C-FD58411A6BF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96" name="Text Box 80" hidden="1">
          <a:extLst>
            <a:ext uri="{FF2B5EF4-FFF2-40B4-BE49-F238E27FC236}">
              <a16:creationId xmlns:a16="http://schemas.microsoft.com/office/drawing/2014/main" id="{E4451607-3114-CC72-6BF3-1EA8380CB63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95" name="Text Box 79" hidden="1">
          <a:extLst>
            <a:ext uri="{FF2B5EF4-FFF2-40B4-BE49-F238E27FC236}">
              <a16:creationId xmlns:a16="http://schemas.microsoft.com/office/drawing/2014/main" id="{C99A0953-FB9B-9FC0-E1A6-7353FCC3BE0C}"/>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94" name="Text Box 78" hidden="1">
          <a:extLst>
            <a:ext uri="{FF2B5EF4-FFF2-40B4-BE49-F238E27FC236}">
              <a16:creationId xmlns:a16="http://schemas.microsoft.com/office/drawing/2014/main" id="{ACFABB42-88F1-BCAF-6C3F-111D6C286351}"/>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93" name="Text Box 77" hidden="1">
          <a:extLst>
            <a:ext uri="{FF2B5EF4-FFF2-40B4-BE49-F238E27FC236}">
              <a16:creationId xmlns:a16="http://schemas.microsoft.com/office/drawing/2014/main" id="{E54CA2DD-C463-8B5C-5315-888E28C0AA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92" name="Text Box 76" hidden="1">
          <a:extLst>
            <a:ext uri="{FF2B5EF4-FFF2-40B4-BE49-F238E27FC236}">
              <a16:creationId xmlns:a16="http://schemas.microsoft.com/office/drawing/2014/main" id="{CD5EC519-1B4D-BEE4-1998-1C9DF0BC605F}"/>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91" name="Text Box 75" hidden="1">
          <a:extLst>
            <a:ext uri="{FF2B5EF4-FFF2-40B4-BE49-F238E27FC236}">
              <a16:creationId xmlns:a16="http://schemas.microsoft.com/office/drawing/2014/main" id="{8BB4AAA6-9BBE-ECC8-EED9-651498F9311D}"/>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90" name="Text Box 74" hidden="1">
          <a:extLst>
            <a:ext uri="{FF2B5EF4-FFF2-40B4-BE49-F238E27FC236}">
              <a16:creationId xmlns:a16="http://schemas.microsoft.com/office/drawing/2014/main" id="{68CEB463-8790-351D-DF1D-62521FAF9AC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89" name="Text Box 73" hidden="1">
          <a:extLst>
            <a:ext uri="{FF2B5EF4-FFF2-40B4-BE49-F238E27FC236}">
              <a16:creationId xmlns:a16="http://schemas.microsoft.com/office/drawing/2014/main" id="{079A85D6-CF33-EEAC-8509-280DEEECE22D}"/>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88" name="Text Box 72" hidden="1">
          <a:extLst>
            <a:ext uri="{FF2B5EF4-FFF2-40B4-BE49-F238E27FC236}">
              <a16:creationId xmlns:a16="http://schemas.microsoft.com/office/drawing/2014/main" id="{9E7CAA10-77E4-C3CB-4100-4AA073CAE657}"/>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87" name="Text Box 71" hidden="1">
          <a:extLst>
            <a:ext uri="{FF2B5EF4-FFF2-40B4-BE49-F238E27FC236}">
              <a16:creationId xmlns:a16="http://schemas.microsoft.com/office/drawing/2014/main" id="{54AB6186-5379-7A3D-6F02-B03A6C0158A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86" name="Text Box 70" hidden="1">
          <a:extLst>
            <a:ext uri="{FF2B5EF4-FFF2-40B4-BE49-F238E27FC236}">
              <a16:creationId xmlns:a16="http://schemas.microsoft.com/office/drawing/2014/main" id="{0EDFAF3F-2B40-CE62-29EA-299C20CEC7C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85" name="Text Box 69" hidden="1">
          <a:extLst>
            <a:ext uri="{FF2B5EF4-FFF2-40B4-BE49-F238E27FC236}">
              <a16:creationId xmlns:a16="http://schemas.microsoft.com/office/drawing/2014/main" id="{851D6C49-8A7A-36C9-8360-1A0683B14FC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84" name="Text Box 68" hidden="1">
          <a:extLst>
            <a:ext uri="{FF2B5EF4-FFF2-40B4-BE49-F238E27FC236}">
              <a16:creationId xmlns:a16="http://schemas.microsoft.com/office/drawing/2014/main" id="{079612C3-3823-AF90-B51C-39C1A6C75659}"/>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31" name="Text Box 115" hidden="1">
          <a:extLst>
            <a:ext uri="{FF2B5EF4-FFF2-40B4-BE49-F238E27FC236}">
              <a16:creationId xmlns:a16="http://schemas.microsoft.com/office/drawing/2014/main" id="{282D1524-06DC-65B9-7E46-C499BE477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30" name="Text Box 114" hidden="1">
          <a:extLst>
            <a:ext uri="{FF2B5EF4-FFF2-40B4-BE49-F238E27FC236}">
              <a16:creationId xmlns:a16="http://schemas.microsoft.com/office/drawing/2014/main" id="{28A25273-F0EA-D098-5FBE-B36F5C4FE122}"/>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29" name="Text Box 113" hidden="1">
          <a:extLst>
            <a:ext uri="{FF2B5EF4-FFF2-40B4-BE49-F238E27FC236}">
              <a16:creationId xmlns:a16="http://schemas.microsoft.com/office/drawing/2014/main" id="{31DF0FD5-F4A8-1842-0918-F1EF2F2BF47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28" name="Text Box 112" hidden="1">
          <a:extLst>
            <a:ext uri="{FF2B5EF4-FFF2-40B4-BE49-F238E27FC236}">
              <a16:creationId xmlns:a16="http://schemas.microsoft.com/office/drawing/2014/main" id="{8127FB9D-B045-33F1-E8DC-23D69D7A60B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27" name="Text Box 111" hidden="1">
          <a:extLst>
            <a:ext uri="{FF2B5EF4-FFF2-40B4-BE49-F238E27FC236}">
              <a16:creationId xmlns:a16="http://schemas.microsoft.com/office/drawing/2014/main" id="{B602E0FF-68D1-5FE3-F3E6-D054C9F8A4B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26" name="Text Box 110" hidden="1">
          <a:extLst>
            <a:ext uri="{FF2B5EF4-FFF2-40B4-BE49-F238E27FC236}">
              <a16:creationId xmlns:a16="http://schemas.microsoft.com/office/drawing/2014/main" id="{3DF2117C-69B4-2942-F0B5-250CFBBE86F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25" name="Text Box 109" hidden="1">
          <a:extLst>
            <a:ext uri="{FF2B5EF4-FFF2-40B4-BE49-F238E27FC236}">
              <a16:creationId xmlns:a16="http://schemas.microsoft.com/office/drawing/2014/main" id="{C62DC06B-33EC-7FFA-BD12-E9769CDD37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24" name="Text Box 108" hidden="1">
          <a:extLst>
            <a:ext uri="{FF2B5EF4-FFF2-40B4-BE49-F238E27FC236}">
              <a16:creationId xmlns:a16="http://schemas.microsoft.com/office/drawing/2014/main" id="{A7853419-CCAB-23F3-F645-256924B13372}"/>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23" name="Text Box 107" hidden="1">
          <a:extLst>
            <a:ext uri="{FF2B5EF4-FFF2-40B4-BE49-F238E27FC236}">
              <a16:creationId xmlns:a16="http://schemas.microsoft.com/office/drawing/2014/main" id="{A93B4F17-64F6-AD00-3C5F-6BDAD1B58E4A}"/>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22" name="Text Box 106" hidden="1">
          <a:extLst>
            <a:ext uri="{FF2B5EF4-FFF2-40B4-BE49-F238E27FC236}">
              <a16:creationId xmlns:a16="http://schemas.microsoft.com/office/drawing/2014/main" id="{D8DBA232-6F57-E88A-6B96-FF482E937EB1}"/>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21" name="Text Box 105" hidden="1">
          <a:extLst>
            <a:ext uri="{FF2B5EF4-FFF2-40B4-BE49-F238E27FC236}">
              <a16:creationId xmlns:a16="http://schemas.microsoft.com/office/drawing/2014/main" id="{C3A1378D-90A9-7C9C-4480-0EE5A48A37A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20" name="Text Box 104" hidden="1">
          <a:extLst>
            <a:ext uri="{FF2B5EF4-FFF2-40B4-BE49-F238E27FC236}">
              <a16:creationId xmlns:a16="http://schemas.microsoft.com/office/drawing/2014/main" id="{1B769AA1-0623-DF7B-4665-FD9DDF9AEE26}"/>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19" name="Text Box 103" hidden="1">
          <a:extLst>
            <a:ext uri="{FF2B5EF4-FFF2-40B4-BE49-F238E27FC236}">
              <a16:creationId xmlns:a16="http://schemas.microsoft.com/office/drawing/2014/main" id="{732059AE-AD36-34F9-4429-58FAA1AE24C6}"/>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18" name="Text Box 102" hidden="1">
          <a:extLst>
            <a:ext uri="{FF2B5EF4-FFF2-40B4-BE49-F238E27FC236}">
              <a16:creationId xmlns:a16="http://schemas.microsoft.com/office/drawing/2014/main" id="{17EAD066-576F-0655-5125-E14BF484AC3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17" name="Text Box 101" hidden="1">
          <a:extLst>
            <a:ext uri="{FF2B5EF4-FFF2-40B4-BE49-F238E27FC236}">
              <a16:creationId xmlns:a16="http://schemas.microsoft.com/office/drawing/2014/main" id="{34D54676-A0F2-A84D-5D67-846B415C22C8}"/>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16" name="Text Box 100" hidden="1">
          <a:extLst>
            <a:ext uri="{FF2B5EF4-FFF2-40B4-BE49-F238E27FC236}">
              <a16:creationId xmlns:a16="http://schemas.microsoft.com/office/drawing/2014/main" id="{10696858-A8B7-2BFE-D664-EA1260C5FF5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47" name="Text Box 131" hidden="1">
          <a:extLst>
            <a:ext uri="{FF2B5EF4-FFF2-40B4-BE49-F238E27FC236}">
              <a16:creationId xmlns:a16="http://schemas.microsoft.com/office/drawing/2014/main" id="{773FCD19-BE9F-DD44-0991-9FA04297B12F}"/>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46" name="Text Box 130" hidden="1">
          <a:extLst>
            <a:ext uri="{FF2B5EF4-FFF2-40B4-BE49-F238E27FC236}">
              <a16:creationId xmlns:a16="http://schemas.microsoft.com/office/drawing/2014/main" id="{FDE71AEA-5012-7D37-AA14-2BE8F1F7D184}"/>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45" name="Text Box 129" hidden="1">
          <a:extLst>
            <a:ext uri="{FF2B5EF4-FFF2-40B4-BE49-F238E27FC236}">
              <a16:creationId xmlns:a16="http://schemas.microsoft.com/office/drawing/2014/main" id="{9BD4C0C9-8962-47B3-7E5F-9EEC70F594F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44" name="Text Box 128" hidden="1">
          <a:extLst>
            <a:ext uri="{FF2B5EF4-FFF2-40B4-BE49-F238E27FC236}">
              <a16:creationId xmlns:a16="http://schemas.microsoft.com/office/drawing/2014/main" id="{BA6042DB-98D6-1CDC-6129-BF72227D19F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43" name="Text Box 127" hidden="1">
          <a:extLst>
            <a:ext uri="{FF2B5EF4-FFF2-40B4-BE49-F238E27FC236}">
              <a16:creationId xmlns:a16="http://schemas.microsoft.com/office/drawing/2014/main" id="{375BD58C-7829-20B7-12A5-ADA89490DCB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42" name="Text Box 126" hidden="1">
          <a:extLst>
            <a:ext uri="{FF2B5EF4-FFF2-40B4-BE49-F238E27FC236}">
              <a16:creationId xmlns:a16="http://schemas.microsoft.com/office/drawing/2014/main" id="{7EA68682-1613-2807-68E1-5ED161DF22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41" name="Text Box 125" hidden="1">
          <a:extLst>
            <a:ext uri="{FF2B5EF4-FFF2-40B4-BE49-F238E27FC236}">
              <a16:creationId xmlns:a16="http://schemas.microsoft.com/office/drawing/2014/main" id="{537FD348-2165-8FCC-5C9A-C4E722B79F33}"/>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40" name="Text Box 124" hidden="1">
          <a:extLst>
            <a:ext uri="{FF2B5EF4-FFF2-40B4-BE49-F238E27FC236}">
              <a16:creationId xmlns:a16="http://schemas.microsoft.com/office/drawing/2014/main" id="{A0DABC3E-E54A-5805-E17D-19772E17EC48}"/>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39" name="Text Box 123" hidden="1">
          <a:extLst>
            <a:ext uri="{FF2B5EF4-FFF2-40B4-BE49-F238E27FC236}">
              <a16:creationId xmlns:a16="http://schemas.microsoft.com/office/drawing/2014/main" id="{7EB73D10-2A34-F5EE-98DA-115162A142C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38" name="Text Box 122" hidden="1">
          <a:extLst>
            <a:ext uri="{FF2B5EF4-FFF2-40B4-BE49-F238E27FC236}">
              <a16:creationId xmlns:a16="http://schemas.microsoft.com/office/drawing/2014/main" id="{0345734E-2248-BA04-34F1-5E8451B76F5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37" name="Text Box 121" hidden="1">
          <a:extLst>
            <a:ext uri="{FF2B5EF4-FFF2-40B4-BE49-F238E27FC236}">
              <a16:creationId xmlns:a16="http://schemas.microsoft.com/office/drawing/2014/main" id="{CDA0E918-9C18-13B2-4222-BD4D730A9CA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36" name="Text Box 120" hidden="1">
          <a:extLst>
            <a:ext uri="{FF2B5EF4-FFF2-40B4-BE49-F238E27FC236}">
              <a16:creationId xmlns:a16="http://schemas.microsoft.com/office/drawing/2014/main" id="{0A31A56A-DBFA-5B79-826A-791DAE006D1E}"/>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35" name="Text Box 119" hidden="1">
          <a:extLst>
            <a:ext uri="{FF2B5EF4-FFF2-40B4-BE49-F238E27FC236}">
              <a16:creationId xmlns:a16="http://schemas.microsoft.com/office/drawing/2014/main" id="{9890BA47-E0A0-6DEE-50AF-917905D8369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34" name="Text Box 118" hidden="1">
          <a:extLst>
            <a:ext uri="{FF2B5EF4-FFF2-40B4-BE49-F238E27FC236}">
              <a16:creationId xmlns:a16="http://schemas.microsoft.com/office/drawing/2014/main" id="{55FD8C0F-8CC5-BE09-2127-E3A32BFFA07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33" name="Text Box 117" hidden="1">
          <a:extLst>
            <a:ext uri="{FF2B5EF4-FFF2-40B4-BE49-F238E27FC236}">
              <a16:creationId xmlns:a16="http://schemas.microsoft.com/office/drawing/2014/main" id="{0E146E83-0B4A-32D8-A624-2405D3596B3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32" name="Text Box 116" hidden="1">
          <a:extLst>
            <a:ext uri="{FF2B5EF4-FFF2-40B4-BE49-F238E27FC236}">
              <a16:creationId xmlns:a16="http://schemas.microsoft.com/office/drawing/2014/main" id="{FD140C71-6D6E-AE9D-741A-86D7D0F3841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47901</xdr:rowOff>
    </xdr:from>
    <xdr:to>
      <xdr:col>11</xdr:col>
      <xdr:colOff>228600</xdr:colOff>
      <xdr:row>92</xdr:row>
      <xdr:rowOff>314877</xdr:rowOff>
    </xdr:to>
    <xdr:sp macro="" textlink="">
      <xdr:nvSpPr>
        <xdr:cNvPr id="418963" name="Text Box 147" hidden="1">
          <a:extLst>
            <a:ext uri="{FF2B5EF4-FFF2-40B4-BE49-F238E27FC236}">
              <a16:creationId xmlns:a16="http://schemas.microsoft.com/office/drawing/2014/main" id="{C6E8C4BA-B003-8FE8-0A48-746E1209247A}"/>
            </a:ext>
          </a:extLst>
        </xdr:cNvPr>
        <xdr:cNvSpPr txBox="1">
          <a:spLocks noChangeArrowheads="1"/>
        </xdr:cNvSpPr>
      </xdr:nvSpPr>
      <xdr:spPr bwMode="auto">
        <a:xfrm>
          <a:off x="8985250" y="17976850"/>
          <a:ext cx="396875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47901</xdr:rowOff>
    </xdr:from>
    <xdr:to>
      <xdr:col>14</xdr:col>
      <xdr:colOff>190500</xdr:colOff>
      <xdr:row>92</xdr:row>
      <xdr:rowOff>314877</xdr:rowOff>
    </xdr:to>
    <xdr:sp macro="" textlink="">
      <xdr:nvSpPr>
        <xdr:cNvPr id="418962" name="Text Box 146" hidden="1">
          <a:extLst>
            <a:ext uri="{FF2B5EF4-FFF2-40B4-BE49-F238E27FC236}">
              <a16:creationId xmlns:a16="http://schemas.microsoft.com/office/drawing/2014/main" id="{0AC08AC6-F747-74E2-FBDB-95F6CA9325EA}"/>
            </a:ext>
          </a:extLst>
        </xdr:cNvPr>
        <xdr:cNvSpPr txBox="1">
          <a:spLocks noChangeArrowheads="1"/>
        </xdr:cNvSpPr>
      </xdr:nvSpPr>
      <xdr:spPr bwMode="auto">
        <a:xfrm>
          <a:off x="11315700" y="17976850"/>
          <a:ext cx="388620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323850</xdr:rowOff>
    </xdr:to>
    <xdr:sp macro="" textlink="">
      <xdr:nvSpPr>
        <xdr:cNvPr id="418961" name="Text Box 145" hidden="1">
          <a:extLst>
            <a:ext uri="{FF2B5EF4-FFF2-40B4-BE49-F238E27FC236}">
              <a16:creationId xmlns:a16="http://schemas.microsoft.com/office/drawing/2014/main" id="{7638CAC6-C8C7-0225-92F7-03B881CC5744}"/>
            </a:ext>
          </a:extLst>
        </xdr:cNvPr>
        <xdr:cNvSpPr txBox="1">
          <a:spLocks noChangeArrowheads="1"/>
        </xdr:cNvSpPr>
      </xdr:nvSpPr>
      <xdr:spPr bwMode="auto">
        <a:xfrm>
          <a:off x="16497300" y="7569200"/>
          <a:ext cx="36195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133350</xdr:rowOff>
    </xdr:to>
    <xdr:sp macro="" textlink="">
      <xdr:nvSpPr>
        <xdr:cNvPr id="418960" name="Text Box 144" hidden="1">
          <a:extLst>
            <a:ext uri="{FF2B5EF4-FFF2-40B4-BE49-F238E27FC236}">
              <a16:creationId xmlns:a16="http://schemas.microsoft.com/office/drawing/2014/main" id="{53824534-DC3D-A622-DF28-B0B6C697E1C1}"/>
            </a:ext>
          </a:extLst>
        </xdr:cNvPr>
        <xdr:cNvSpPr txBox="1">
          <a:spLocks noChangeArrowheads="1"/>
        </xdr:cNvSpPr>
      </xdr:nvSpPr>
      <xdr:spPr bwMode="auto">
        <a:xfrm>
          <a:off x="16497300" y="7175500"/>
          <a:ext cx="36195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59" name="Text Box 143" hidden="1">
          <a:extLst>
            <a:ext uri="{FF2B5EF4-FFF2-40B4-BE49-F238E27FC236}">
              <a16:creationId xmlns:a16="http://schemas.microsoft.com/office/drawing/2014/main" id="{CC89732F-CE7C-C65F-7641-289CD079F203}"/>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114300</xdr:rowOff>
    </xdr:to>
    <xdr:sp macro="" textlink="">
      <xdr:nvSpPr>
        <xdr:cNvPr id="418958" name="Text Box 142" hidden="1">
          <a:extLst>
            <a:ext uri="{FF2B5EF4-FFF2-40B4-BE49-F238E27FC236}">
              <a16:creationId xmlns:a16="http://schemas.microsoft.com/office/drawing/2014/main" id="{7538B3CB-84B3-73E7-7E70-C4E4689AE0CD}"/>
            </a:ext>
          </a:extLst>
        </xdr:cNvPr>
        <xdr:cNvSpPr txBox="1">
          <a:spLocks noChangeArrowheads="1"/>
        </xdr:cNvSpPr>
      </xdr:nvSpPr>
      <xdr:spPr bwMode="auto">
        <a:xfrm>
          <a:off x="4229100" y="7569200"/>
          <a:ext cx="4641850" cy="447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76338</xdr:rowOff>
    </xdr:from>
    <xdr:to>
      <xdr:col>6</xdr:col>
      <xdr:colOff>0</xdr:colOff>
      <xdr:row>180</xdr:row>
      <xdr:rowOff>143013</xdr:rowOff>
    </xdr:to>
    <xdr:sp macro="" textlink="">
      <xdr:nvSpPr>
        <xdr:cNvPr id="418957" name="Text Box 141" hidden="1">
          <a:extLst>
            <a:ext uri="{FF2B5EF4-FFF2-40B4-BE49-F238E27FC236}">
              <a16:creationId xmlns:a16="http://schemas.microsoft.com/office/drawing/2014/main" id="{D08DA418-1345-D15C-82F0-B66FCE7F8428}"/>
            </a:ext>
          </a:extLst>
        </xdr:cNvPr>
        <xdr:cNvSpPr txBox="1">
          <a:spLocks noChangeArrowheads="1"/>
        </xdr:cNvSpPr>
      </xdr:nvSpPr>
      <xdr:spPr bwMode="auto">
        <a:xfrm>
          <a:off x="4229100" y="37719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48039</xdr:rowOff>
    </xdr:from>
    <xdr:to>
      <xdr:col>24</xdr:col>
      <xdr:colOff>647700</xdr:colOff>
      <xdr:row>86</xdr:row>
      <xdr:rowOff>106983</xdr:rowOff>
    </xdr:to>
    <xdr:sp macro="" textlink="">
      <xdr:nvSpPr>
        <xdr:cNvPr id="418956" name="Text Box 140" hidden="1">
          <a:extLst>
            <a:ext uri="{FF2B5EF4-FFF2-40B4-BE49-F238E27FC236}">
              <a16:creationId xmlns:a16="http://schemas.microsoft.com/office/drawing/2014/main" id="{07827F31-0293-6309-5C4C-75CA2920D2DA}"/>
            </a:ext>
          </a:extLst>
        </xdr:cNvPr>
        <xdr:cNvSpPr txBox="1">
          <a:spLocks noChangeArrowheads="1"/>
        </xdr:cNvSpPr>
      </xdr:nvSpPr>
      <xdr:spPr bwMode="auto">
        <a:xfrm>
          <a:off x="18935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48039</xdr:rowOff>
    </xdr:from>
    <xdr:to>
      <xdr:col>28</xdr:col>
      <xdr:colOff>647700</xdr:colOff>
      <xdr:row>86</xdr:row>
      <xdr:rowOff>106983</xdr:rowOff>
    </xdr:to>
    <xdr:sp macro="" textlink="">
      <xdr:nvSpPr>
        <xdr:cNvPr id="418955" name="Text Box 139" hidden="1">
          <a:extLst>
            <a:ext uri="{FF2B5EF4-FFF2-40B4-BE49-F238E27FC236}">
              <a16:creationId xmlns:a16="http://schemas.microsoft.com/office/drawing/2014/main" id="{26066DEF-6E77-AFD3-4321-EA7F27DE0B0F}"/>
            </a:ext>
          </a:extLst>
        </xdr:cNvPr>
        <xdr:cNvSpPr txBox="1">
          <a:spLocks noChangeArrowheads="1"/>
        </xdr:cNvSpPr>
      </xdr:nvSpPr>
      <xdr:spPr bwMode="auto">
        <a:xfrm>
          <a:off x="21983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48039</xdr:rowOff>
    </xdr:from>
    <xdr:to>
      <xdr:col>32</xdr:col>
      <xdr:colOff>647700</xdr:colOff>
      <xdr:row>86</xdr:row>
      <xdr:rowOff>106983</xdr:rowOff>
    </xdr:to>
    <xdr:sp macro="" textlink="">
      <xdr:nvSpPr>
        <xdr:cNvPr id="418954" name="Text Box 138" hidden="1">
          <a:extLst>
            <a:ext uri="{FF2B5EF4-FFF2-40B4-BE49-F238E27FC236}">
              <a16:creationId xmlns:a16="http://schemas.microsoft.com/office/drawing/2014/main" id="{0E212C9D-D81A-D55C-A84E-40B781444EAC}"/>
            </a:ext>
          </a:extLst>
        </xdr:cNvPr>
        <xdr:cNvSpPr txBox="1">
          <a:spLocks noChangeArrowheads="1"/>
        </xdr:cNvSpPr>
      </xdr:nvSpPr>
      <xdr:spPr bwMode="auto">
        <a:xfrm>
          <a:off x="25031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53" name="Text Box 137" hidden="1">
          <a:extLst>
            <a:ext uri="{FF2B5EF4-FFF2-40B4-BE49-F238E27FC236}">
              <a16:creationId xmlns:a16="http://schemas.microsoft.com/office/drawing/2014/main" id="{F17132C3-80E9-8760-7892-3E00662245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133350</xdr:rowOff>
    </xdr:to>
    <xdr:sp macro="" textlink="">
      <xdr:nvSpPr>
        <xdr:cNvPr id="418952" name="Text Box 136" hidden="1">
          <a:extLst>
            <a:ext uri="{FF2B5EF4-FFF2-40B4-BE49-F238E27FC236}">
              <a16:creationId xmlns:a16="http://schemas.microsoft.com/office/drawing/2014/main" id="{EE053D1C-2AC9-1EAC-9E36-10E72AC30658}"/>
            </a:ext>
          </a:extLst>
        </xdr:cNvPr>
        <xdr:cNvSpPr txBox="1">
          <a:spLocks noChangeArrowheads="1"/>
        </xdr:cNvSpPr>
      </xdr:nvSpPr>
      <xdr:spPr bwMode="auto">
        <a:xfrm>
          <a:off x="20459700" y="7175500"/>
          <a:ext cx="43053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51" name="Text Box 135" hidden="1">
          <a:extLst>
            <a:ext uri="{FF2B5EF4-FFF2-40B4-BE49-F238E27FC236}">
              <a16:creationId xmlns:a16="http://schemas.microsoft.com/office/drawing/2014/main" id="{42B0700A-EF75-E43D-F77E-D371C6BC5642}"/>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66</xdr:row>
      <xdr:rowOff>18636</xdr:rowOff>
    </xdr:to>
    <xdr:sp macro="" textlink="">
      <xdr:nvSpPr>
        <xdr:cNvPr id="418950" name="Text Box 134" hidden="1">
          <a:extLst>
            <a:ext uri="{FF2B5EF4-FFF2-40B4-BE49-F238E27FC236}">
              <a16:creationId xmlns:a16="http://schemas.microsoft.com/office/drawing/2014/main" id="{0B7F006A-FFDB-6DAE-AD8A-F6D37FB62CFF}"/>
            </a:ext>
          </a:extLst>
        </xdr:cNvPr>
        <xdr:cNvSpPr txBox="1">
          <a:spLocks noChangeArrowheads="1"/>
        </xdr:cNvSpPr>
      </xdr:nvSpPr>
      <xdr:spPr bwMode="auto">
        <a:xfrm>
          <a:off x="22002750" y="10617200"/>
          <a:ext cx="3733800" cy="574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49" name="Text Box 133" hidden="1">
          <a:extLst>
            <a:ext uri="{FF2B5EF4-FFF2-40B4-BE49-F238E27FC236}">
              <a16:creationId xmlns:a16="http://schemas.microsoft.com/office/drawing/2014/main" id="{1876145E-2BDD-2100-9CDC-A89EF1A5CFD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48" name="Text Box 132" hidden="1">
          <a:extLst>
            <a:ext uri="{FF2B5EF4-FFF2-40B4-BE49-F238E27FC236}">
              <a16:creationId xmlns:a16="http://schemas.microsoft.com/office/drawing/2014/main" id="{5E0AC481-B3D1-3DE5-CD0B-20CA9D8F5296}"/>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15</xdr:col>
      <xdr:colOff>0</xdr:colOff>
      <xdr:row>34</xdr:row>
      <xdr:rowOff>0</xdr:rowOff>
    </xdr:from>
    <xdr:to>
      <xdr:col>28</xdr:col>
      <xdr:colOff>320675</xdr:colOff>
      <xdr:row>70</xdr:row>
      <xdr:rowOff>41045</xdr:rowOff>
    </xdr:to>
    <xdr:pic>
      <xdr:nvPicPr>
        <xdr:cNvPr id="2" name="Picture 1">
          <a:extLst>
            <a:ext uri="{FF2B5EF4-FFF2-40B4-BE49-F238E27FC236}">
              <a16:creationId xmlns:a16="http://schemas.microsoft.com/office/drawing/2014/main" id="{2894D36B-6CF8-4734-B910-DD1A3F1A94DE}"/>
            </a:ext>
          </a:extLst>
        </xdr:cNvPr>
        <xdr:cNvPicPr>
          <a:picLocks noChangeAspect="1"/>
        </xdr:cNvPicPr>
      </xdr:nvPicPr>
      <xdr:blipFill>
        <a:blip xmlns:r="http://schemas.openxmlformats.org/officeDocument/2006/relationships" r:embed="rId1"/>
        <a:stretch>
          <a:fillRect/>
        </a:stretch>
      </xdr:blipFill>
      <xdr:spPr>
        <a:xfrm>
          <a:off x="11430000" y="7362825"/>
          <a:ext cx="10226675" cy="6556145"/>
        </a:xfrm>
        <a:prstGeom prst="rect">
          <a:avLst/>
        </a:prstGeom>
      </xdr:spPr>
    </xdr:pic>
    <xdr:clientData/>
  </xdr:twoCellAnchor>
  <xdr:twoCellAnchor>
    <xdr:from>
      <xdr:col>17</xdr:col>
      <xdr:colOff>381000</xdr:colOff>
      <xdr:row>19</xdr:row>
      <xdr:rowOff>30162</xdr:rowOff>
    </xdr:from>
    <xdr:to>
      <xdr:col>23</xdr:col>
      <xdr:colOff>381000</xdr:colOff>
      <xdr:row>28</xdr:row>
      <xdr:rowOff>26987</xdr:rowOff>
    </xdr:to>
    <xdr:graphicFrame macro="">
      <xdr:nvGraphicFramePr>
        <xdr:cNvPr id="3" name="Chart 2">
          <a:extLst>
            <a:ext uri="{FF2B5EF4-FFF2-40B4-BE49-F238E27FC236}">
              <a16:creationId xmlns:a16="http://schemas.microsoft.com/office/drawing/2014/main" id="{42848CE1-36C5-38C8-E020-0EED7A6DB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285750</xdr:colOff>
      <xdr:row>21</xdr:row>
      <xdr:rowOff>115887</xdr:rowOff>
    </xdr:from>
    <xdr:to>
      <xdr:col>30</xdr:col>
      <xdr:colOff>285750</xdr:colOff>
      <xdr:row>30</xdr:row>
      <xdr:rowOff>112712</xdr:rowOff>
    </xdr:to>
    <xdr:graphicFrame macro="">
      <xdr:nvGraphicFramePr>
        <xdr:cNvPr id="5" name="Chart 4">
          <a:extLst>
            <a:ext uri="{FF2B5EF4-FFF2-40B4-BE49-F238E27FC236}">
              <a16:creationId xmlns:a16="http://schemas.microsoft.com/office/drawing/2014/main" id="{CFCCB36C-EC3C-6FDA-CB74-A7585D81C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86472</xdr:colOff>
      <xdr:row>0</xdr:row>
      <xdr:rowOff>30443</xdr:rowOff>
    </xdr:from>
    <xdr:to>
      <xdr:col>0</xdr:col>
      <xdr:colOff>1165412</xdr:colOff>
      <xdr:row>2</xdr:row>
      <xdr:rowOff>142754</xdr:rowOff>
    </xdr:to>
    <xdr:sp macro="" textlink="">
      <xdr:nvSpPr>
        <xdr:cNvPr id="6" name="Arrow: Pentagon 5">
          <a:hlinkClick xmlns:r="http://schemas.openxmlformats.org/officeDocument/2006/relationships" r:id="rId4"/>
          <a:extLst>
            <a:ext uri="{FF2B5EF4-FFF2-40B4-BE49-F238E27FC236}">
              <a16:creationId xmlns:a16="http://schemas.microsoft.com/office/drawing/2014/main" id="{4934D49F-3DCE-4742-8F7A-50E888463E63}"/>
            </a:ext>
          </a:extLst>
        </xdr:cNvPr>
        <xdr:cNvSpPr/>
      </xdr:nvSpPr>
      <xdr:spPr>
        <a:xfrm>
          <a:off x="86472" y="30443"/>
          <a:ext cx="1078940" cy="47089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editAs="absolute">
    <xdr:from>
      <xdr:col>3</xdr:col>
      <xdr:colOff>2273860</xdr:colOff>
      <xdr:row>76</xdr:row>
      <xdr:rowOff>162364</xdr:rowOff>
    </xdr:from>
    <xdr:to>
      <xdr:col>4</xdr:col>
      <xdr:colOff>467472</xdr:colOff>
      <xdr:row>82</xdr:row>
      <xdr:rowOff>3086</xdr:rowOff>
    </xdr:to>
    <xdr:sp macro="" textlink="">
      <xdr:nvSpPr>
        <xdr:cNvPr id="2" name="Text Box 9" hidden="1">
          <a:extLst>
            <a:ext uri="{FF2B5EF4-FFF2-40B4-BE49-F238E27FC236}">
              <a16:creationId xmlns:a16="http://schemas.microsoft.com/office/drawing/2014/main" id="{789007B4-2285-4101-830C-8BCD135AA835}"/>
            </a:ext>
          </a:extLst>
        </xdr:cNvPr>
        <xdr:cNvSpPr txBox="1">
          <a:spLocks noChangeArrowheads="1"/>
        </xdr:cNvSpPr>
      </xdr:nvSpPr>
      <xdr:spPr bwMode="auto">
        <a:xfrm>
          <a:off x="3531160" y="16723164"/>
          <a:ext cx="1346387" cy="116787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78</xdr:row>
      <xdr:rowOff>54337</xdr:rowOff>
    </xdr:from>
    <xdr:to>
      <xdr:col>4</xdr:col>
      <xdr:colOff>467472</xdr:colOff>
      <xdr:row>83</xdr:row>
      <xdr:rowOff>451</xdr:rowOff>
    </xdr:to>
    <xdr:sp macro="" textlink="">
      <xdr:nvSpPr>
        <xdr:cNvPr id="3" name="Text Box 10" hidden="1">
          <a:extLst>
            <a:ext uri="{FF2B5EF4-FFF2-40B4-BE49-F238E27FC236}">
              <a16:creationId xmlns:a16="http://schemas.microsoft.com/office/drawing/2014/main" id="{D67E69B6-DC2D-4DA7-966D-5B7FE800BF39}"/>
            </a:ext>
          </a:extLst>
        </xdr:cNvPr>
        <xdr:cNvSpPr txBox="1">
          <a:spLocks noChangeArrowheads="1"/>
        </xdr:cNvSpPr>
      </xdr:nvSpPr>
      <xdr:spPr bwMode="auto">
        <a:xfrm>
          <a:off x="3531160" y="17021537"/>
          <a:ext cx="1346387" cy="1047839"/>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78</xdr:row>
      <xdr:rowOff>317189</xdr:rowOff>
    </xdr:from>
    <xdr:to>
      <xdr:col>4</xdr:col>
      <xdr:colOff>467472</xdr:colOff>
      <xdr:row>83</xdr:row>
      <xdr:rowOff>124062</xdr:rowOff>
    </xdr:to>
    <xdr:sp macro="" textlink="">
      <xdr:nvSpPr>
        <xdr:cNvPr id="4" name="Text Box 11" hidden="1">
          <a:extLst>
            <a:ext uri="{FF2B5EF4-FFF2-40B4-BE49-F238E27FC236}">
              <a16:creationId xmlns:a16="http://schemas.microsoft.com/office/drawing/2014/main" id="{D79521E2-B067-4A73-90D1-E2B63D5A18B8}"/>
            </a:ext>
          </a:extLst>
        </xdr:cNvPr>
        <xdr:cNvSpPr txBox="1">
          <a:spLocks noChangeArrowheads="1"/>
        </xdr:cNvSpPr>
      </xdr:nvSpPr>
      <xdr:spPr bwMode="auto">
        <a:xfrm>
          <a:off x="3531160" y="17281214"/>
          <a:ext cx="1346387" cy="91177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79</xdr:row>
      <xdr:rowOff>131342</xdr:rowOff>
    </xdr:from>
    <xdr:to>
      <xdr:col>4</xdr:col>
      <xdr:colOff>467472</xdr:colOff>
      <xdr:row>85</xdr:row>
      <xdr:rowOff>87018</xdr:rowOff>
    </xdr:to>
    <xdr:sp macro="" textlink="">
      <xdr:nvSpPr>
        <xdr:cNvPr id="5" name="Text Box 12" hidden="1">
          <a:extLst>
            <a:ext uri="{FF2B5EF4-FFF2-40B4-BE49-F238E27FC236}">
              <a16:creationId xmlns:a16="http://schemas.microsoft.com/office/drawing/2014/main" id="{F5977A64-EEF2-47F9-BBE5-5B8E5F970FFB}"/>
            </a:ext>
          </a:extLst>
        </xdr:cNvPr>
        <xdr:cNvSpPr txBox="1">
          <a:spLocks noChangeArrowheads="1"/>
        </xdr:cNvSpPr>
      </xdr:nvSpPr>
      <xdr:spPr bwMode="auto">
        <a:xfrm>
          <a:off x="3531160" y="17476367"/>
          <a:ext cx="1346387" cy="104152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103</xdr:row>
      <xdr:rowOff>217654</xdr:rowOff>
    </xdr:from>
    <xdr:to>
      <xdr:col>4</xdr:col>
      <xdr:colOff>467472</xdr:colOff>
      <xdr:row>130</xdr:row>
      <xdr:rowOff>82919</xdr:rowOff>
    </xdr:to>
    <xdr:sp macro="" textlink="">
      <xdr:nvSpPr>
        <xdr:cNvPr id="6" name="Text Box 17" hidden="1">
          <a:extLst>
            <a:ext uri="{FF2B5EF4-FFF2-40B4-BE49-F238E27FC236}">
              <a16:creationId xmlns:a16="http://schemas.microsoft.com/office/drawing/2014/main" id="{17CA814A-E4C4-4816-8DC8-BFA4A16A66D2}"/>
            </a:ext>
          </a:extLst>
        </xdr:cNvPr>
        <xdr:cNvSpPr txBox="1">
          <a:spLocks noChangeArrowheads="1"/>
        </xdr:cNvSpPr>
      </xdr:nvSpPr>
      <xdr:spPr bwMode="auto">
        <a:xfrm>
          <a:off x="3531160" y="22185479"/>
          <a:ext cx="1346387" cy="49770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104</xdr:row>
      <xdr:rowOff>74622</xdr:rowOff>
    </xdr:from>
    <xdr:to>
      <xdr:col>4</xdr:col>
      <xdr:colOff>467472</xdr:colOff>
      <xdr:row>115</xdr:row>
      <xdr:rowOff>9512</xdr:rowOff>
    </xdr:to>
    <xdr:sp macro="" textlink="">
      <xdr:nvSpPr>
        <xdr:cNvPr id="7" name="Text Box 18" hidden="1">
          <a:extLst>
            <a:ext uri="{FF2B5EF4-FFF2-40B4-BE49-F238E27FC236}">
              <a16:creationId xmlns:a16="http://schemas.microsoft.com/office/drawing/2014/main" id="{F3D926E2-8984-4F2B-8AB2-9C64F1500F02}"/>
            </a:ext>
          </a:extLst>
        </xdr:cNvPr>
        <xdr:cNvSpPr txBox="1">
          <a:spLocks noChangeArrowheads="1"/>
        </xdr:cNvSpPr>
      </xdr:nvSpPr>
      <xdr:spPr bwMode="auto">
        <a:xfrm>
          <a:off x="3531160" y="22277397"/>
          <a:ext cx="1346387" cy="20399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61</xdr:row>
      <xdr:rowOff>19564</xdr:rowOff>
    </xdr:from>
    <xdr:to>
      <xdr:col>4</xdr:col>
      <xdr:colOff>467472</xdr:colOff>
      <xdr:row>77</xdr:row>
      <xdr:rowOff>500</xdr:rowOff>
    </xdr:to>
    <xdr:sp macro="" textlink="">
      <xdr:nvSpPr>
        <xdr:cNvPr id="8" name="Text Box 21" hidden="1">
          <a:extLst>
            <a:ext uri="{FF2B5EF4-FFF2-40B4-BE49-F238E27FC236}">
              <a16:creationId xmlns:a16="http://schemas.microsoft.com/office/drawing/2014/main" id="{F9D276D1-7648-4FC6-A4B8-D05005958C56}"/>
            </a:ext>
          </a:extLst>
        </xdr:cNvPr>
        <xdr:cNvSpPr txBox="1">
          <a:spLocks noChangeArrowheads="1"/>
        </xdr:cNvSpPr>
      </xdr:nvSpPr>
      <xdr:spPr bwMode="auto">
        <a:xfrm>
          <a:off x="3531160" y="13275189"/>
          <a:ext cx="1346387" cy="3470261"/>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61</xdr:row>
      <xdr:rowOff>19564</xdr:rowOff>
    </xdr:from>
    <xdr:to>
      <xdr:col>4</xdr:col>
      <xdr:colOff>467472</xdr:colOff>
      <xdr:row>71</xdr:row>
      <xdr:rowOff>161501</xdr:rowOff>
    </xdr:to>
    <xdr:sp macro="" textlink="">
      <xdr:nvSpPr>
        <xdr:cNvPr id="9" name="Text Box 22" hidden="1">
          <a:extLst>
            <a:ext uri="{FF2B5EF4-FFF2-40B4-BE49-F238E27FC236}">
              <a16:creationId xmlns:a16="http://schemas.microsoft.com/office/drawing/2014/main" id="{214F66CB-9FB2-437C-9F28-84CAA6878FE7}"/>
            </a:ext>
          </a:extLst>
        </xdr:cNvPr>
        <xdr:cNvSpPr txBox="1">
          <a:spLocks noChangeArrowheads="1"/>
        </xdr:cNvSpPr>
      </xdr:nvSpPr>
      <xdr:spPr bwMode="auto">
        <a:xfrm>
          <a:off x="3531160" y="13275189"/>
          <a:ext cx="1346387" cy="254541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61</xdr:row>
      <xdr:rowOff>19564</xdr:rowOff>
    </xdr:from>
    <xdr:to>
      <xdr:col>4</xdr:col>
      <xdr:colOff>467472</xdr:colOff>
      <xdr:row>65</xdr:row>
      <xdr:rowOff>74943</xdr:rowOff>
    </xdr:to>
    <xdr:sp macro="" textlink="">
      <xdr:nvSpPr>
        <xdr:cNvPr id="10" name="Text Box 23" hidden="1">
          <a:extLst>
            <a:ext uri="{FF2B5EF4-FFF2-40B4-BE49-F238E27FC236}">
              <a16:creationId xmlns:a16="http://schemas.microsoft.com/office/drawing/2014/main" id="{89D71F61-A3A0-4E20-B272-E0D293998EF6}"/>
            </a:ext>
          </a:extLst>
        </xdr:cNvPr>
        <xdr:cNvSpPr txBox="1">
          <a:spLocks noChangeArrowheads="1"/>
        </xdr:cNvSpPr>
      </xdr:nvSpPr>
      <xdr:spPr bwMode="auto">
        <a:xfrm>
          <a:off x="3531160" y="13275189"/>
          <a:ext cx="1346387" cy="123330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62</xdr:row>
      <xdr:rowOff>133913</xdr:rowOff>
    </xdr:from>
    <xdr:to>
      <xdr:col>4</xdr:col>
      <xdr:colOff>467472</xdr:colOff>
      <xdr:row>64</xdr:row>
      <xdr:rowOff>163652</xdr:rowOff>
    </xdr:to>
    <xdr:sp macro="" textlink="">
      <xdr:nvSpPr>
        <xdr:cNvPr id="11" name="Text Box 24" hidden="1">
          <a:extLst>
            <a:ext uri="{FF2B5EF4-FFF2-40B4-BE49-F238E27FC236}">
              <a16:creationId xmlns:a16="http://schemas.microsoft.com/office/drawing/2014/main" id="{FB26BF7F-93A6-4593-9E23-96D49FFAF32A}"/>
            </a:ext>
          </a:extLst>
        </xdr:cNvPr>
        <xdr:cNvSpPr txBox="1">
          <a:spLocks noChangeArrowheads="1"/>
        </xdr:cNvSpPr>
      </xdr:nvSpPr>
      <xdr:spPr bwMode="auto">
        <a:xfrm>
          <a:off x="3531160" y="13780063"/>
          <a:ext cx="1346387" cy="62981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62</xdr:row>
      <xdr:rowOff>219613</xdr:rowOff>
    </xdr:from>
    <xdr:to>
      <xdr:col>4</xdr:col>
      <xdr:colOff>467472</xdr:colOff>
      <xdr:row>63</xdr:row>
      <xdr:rowOff>189831</xdr:rowOff>
    </xdr:to>
    <xdr:sp macro="" textlink="">
      <xdr:nvSpPr>
        <xdr:cNvPr id="12" name="Text Box 25" hidden="1">
          <a:extLst>
            <a:ext uri="{FF2B5EF4-FFF2-40B4-BE49-F238E27FC236}">
              <a16:creationId xmlns:a16="http://schemas.microsoft.com/office/drawing/2014/main" id="{FD2704BA-E10B-48B8-AC1B-32C04D051D6C}"/>
            </a:ext>
          </a:extLst>
        </xdr:cNvPr>
        <xdr:cNvSpPr txBox="1">
          <a:spLocks noChangeArrowheads="1"/>
        </xdr:cNvSpPr>
      </xdr:nvSpPr>
      <xdr:spPr bwMode="auto">
        <a:xfrm>
          <a:off x="3531160" y="13865763"/>
          <a:ext cx="1346387" cy="36709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104</xdr:row>
      <xdr:rowOff>121734</xdr:rowOff>
    </xdr:from>
    <xdr:to>
      <xdr:col>5</xdr:col>
      <xdr:colOff>287804</xdr:colOff>
      <xdr:row>112</xdr:row>
      <xdr:rowOff>122641</xdr:rowOff>
    </xdr:to>
    <xdr:sp macro="" textlink="">
      <xdr:nvSpPr>
        <xdr:cNvPr id="13" name="Text Box 26" hidden="1">
          <a:extLst>
            <a:ext uri="{FF2B5EF4-FFF2-40B4-BE49-F238E27FC236}">
              <a16:creationId xmlns:a16="http://schemas.microsoft.com/office/drawing/2014/main" id="{B69C4AF8-136B-4F9F-9E4F-305D73EEA881}"/>
            </a:ext>
          </a:extLst>
        </xdr:cNvPr>
        <xdr:cNvSpPr txBox="1">
          <a:spLocks noChangeArrowheads="1"/>
        </xdr:cNvSpPr>
      </xdr:nvSpPr>
      <xdr:spPr bwMode="auto">
        <a:xfrm>
          <a:off x="4057463" y="22327684"/>
          <a:ext cx="1421466" cy="155983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13</xdr:row>
      <xdr:rowOff>68206</xdr:rowOff>
    </xdr:from>
    <xdr:to>
      <xdr:col>17</xdr:col>
      <xdr:colOff>268016</xdr:colOff>
      <xdr:row>17</xdr:row>
      <xdr:rowOff>161202</xdr:rowOff>
    </xdr:to>
    <xdr:sp macro="" textlink="">
      <xdr:nvSpPr>
        <xdr:cNvPr id="14" name="Text Box 27" hidden="1">
          <a:extLst>
            <a:ext uri="{FF2B5EF4-FFF2-40B4-BE49-F238E27FC236}">
              <a16:creationId xmlns:a16="http://schemas.microsoft.com/office/drawing/2014/main" id="{531E233C-7423-4895-A699-EB8121639E42}"/>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17</xdr:row>
      <xdr:rowOff>126415</xdr:rowOff>
    </xdr:from>
    <xdr:to>
      <xdr:col>18</xdr:col>
      <xdr:colOff>335653</xdr:colOff>
      <xdr:row>21</xdr:row>
      <xdr:rowOff>114349</xdr:rowOff>
    </xdr:to>
    <xdr:sp macro="" textlink="">
      <xdr:nvSpPr>
        <xdr:cNvPr id="15" name="Text Box 29" hidden="1">
          <a:extLst>
            <a:ext uri="{FF2B5EF4-FFF2-40B4-BE49-F238E27FC236}">
              <a16:creationId xmlns:a16="http://schemas.microsoft.com/office/drawing/2014/main" id="{5AFF51A2-95A4-471C-8F47-CF6383CB82E5}"/>
            </a:ext>
          </a:extLst>
        </xdr:cNvPr>
        <xdr:cNvSpPr txBox="1">
          <a:spLocks noChangeArrowheads="1"/>
        </xdr:cNvSpPr>
      </xdr:nvSpPr>
      <xdr:spPr bwMode="auto">
        <a:xfrm>
          <a:off x="15209567" y="4098340"/>
          <a:ext cx="1356686" cy="711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60</xdr:row>
      <xdr:rowOff>275484</xdr:rowOff>
    </xdr:from>
    <xdr:to>
      <xdr:col>4</xdr:col>
      <xdr:colOff>467472</xdr:colOff>
      <xdr:row>63</xdr:row>
      <xdr:rowOff>159111</xdr:rowOff>
    </xdr:to>
    <xdr:sp macro="" textlink="">
      <xdr:nvSpPr>
        <xdr:cNvPr id="16" name="Text Box 14" hidden="1">
          <a:extLst>
            <a:ext uri="{FF2B5EF4-FFF2-40B4-BE49-F238E27FC236}">
              <a16:creationId xmlns:a16="http://schemas.microsoft.com/office/drawing/2014/main" id="{E91CD9B6-0C13-486F-BCD5-3B31F2C49B6D}"/>
            </a:ext>
          </a:extLst>
        </xdr:cNvPr>
        <xdr:cNvSpPr txBox="1">
          <a:spLocks noChangeArrowheads="1"/>
        </xdr:cNvSpPr>
      </xdr:nvSpPr>
      <xdr:spPr bwMode="auto">
        <a:xfrm>
          <a:off x="3531160" y="13146934"/>
          <a:ext cx="1346387" cy="10520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61</xdr:row>
      <xdr:rowOff>73742</xdr:rowOff>
    </xdr:from>
    <xdr:to>
      <xdr:col>4</xdr:col>
      <xdr:colOff>467472</xdr:colOff>
      <xdr:row>64</xdr:row>
      <xdr:rowOff>64790</xdr:rowOff>
    </xdr:to>
    <xdr:sp macro="" textlink="">
      <xdr:nvSpPr>
        <xdr:cNvPr id="17" name="Text Box 13" hidden="1">
          <a:extLst>
            <a:ext uri="{FF2B5EF4-FFF2-40B4-BE49-F238E27FC236}">
              <a16:creationId xmlns:a16="http://schemas.microsoft.com/office/drawing/2014/main" id="{959C4BB3-9751-4158-A8CC-23F11570E159}"/>
            </a:ext>
          </a:extLst>
        </xdr:cNvPr>
        <xdr:cNvSpPr txBox="1">
          <a:spLocks noChangeArrowheads="1"/>
        </xdr:cNvSpPr>
      </xdr:nvSpPr>
      <xdr:spPr bwMode="auto">
        <a:xfrm>
          <a:off x="3531160" y="13335717"/>
          <a:ext cx="1346387" cy="9784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61</xdr:row>
      <xdr:rowOff>297885</xdr:rowOff>
    </xdr:from>
    <xdr:to>
      <xdr:col>4</xdr:col>
      <xdr:colOff>467472</xdr:colOff>
      <xdr:row>65</xdr:row>
      <xdr:rowOff>75760</xdr:rowOff>
    </xdr:to>
    <xdr:sp macro="" textlink="">
      <xdr:nvSpPr>
        <xdr:cNvPr id="18" name="Text Box 12" hidden="1">
          <a:extLst>
            <a:ext uri="{FF2B5EF4-FFF2-40B4-BE49-F238E27FC236}">
              <a16:creationId xmlns:a16="http://schemas.microsoft.com/office/drawing/2014/main" id="{047BB662-BD0C-4A98-B6E5-D12A8A622390}"/>
            </a:ext>
          </a:extLst>
        </xdr:cNvPr>
        <xdr:cNvSpPr txBox="1">
          <a:spLocks noChangeArrowheads="1"/>
        </xdr:cNvSpPr>
      </xdr:nvSpPr>
      <xdr:spPr bwMode="auto">
        <a:xfrm>
          <a:off x="3531160" y="13556685"/>
          <a:ext cx="1346387" cy="952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62</xdr:row>
      <xdr:rowOff>97241</xdr:rowOff>
    </xdr:from>
    <xdr:to>
      <xdr:col>4</xdr:col>
      <xdr:colOff>467472</xdr:colOff>
      <xdr:row>66</xdr:row>
      <xdr:rowOff>64251</xdr:rowOff>
    </xdr:to>
    <xdr:sp macro="" textlink="">
      <xdr:nvSpPr>
        <xdr:cNvPr id="19" name="Text Box 11" hidden="1">
          <a:extLst>
            <a:ext uri="{FF2B5EF4-FFF2-40B4-BE49-F238E27FC236}">
              <a16:creationId xmlns:a16="http://schemas.microsoft.com/office/drawing/2014/main" id="{FB8E8D98-E5D1-4059-8DC3-BFA32522774C}"/>
            </a:ext>
          </a:extLst>
        </xdr:cNvPr>
        <xdr:cNvSpPr txBox="1">
          <a:spLocks noChangeArrowheads="1"/>
        </xdr:cNvSpPr>
      </xdr:nvSpPr>
      <xdr:spPr bwMode="auto">
        <a:xfrm>
          <a:off x="3531160" y="13743391"/>
          <a:ext cx="1346387" cy="935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85</xdr:row>
      <xdr:rowOff>114140</xdr:rowOff>
    </xdr:from>
    <xdr:to>
      <xdr:col>4</xdr:col>
      <xdr:colOff>467472</xdr:colOff>
      <xdr:row>110</xdr:row>
      <xdr:rowOff>10072</xdr:rowOff>
    </xdr:to>
    <xdr:sp macro="" textlink="">
      <xdr:nvSpPr>
        <xdr:cNvPr id="20" name="Text Box 10" hidden="1">
          <a:extLst>
            <a:ext uri="{FF2B5EF4-FFF2-40B4-BE49-F238E27FC236}">
              <a16:creationId xmlns:a16="http://schemas.microsoft.com/office/drawing/2014/main" id="{44412CA1-FDD5-4208-BA7D-DF3A6F9B2937}"/>
            </a:ext>
          </a:extLst>
        </xdr:cNvPr>
        <xdr:cNvSpPr txBox="1">
          <a:spLocks noChangeArrowheads="1"/>
        </xdr:cNvSpPr>
      </xdr:nvSpPr>
      <xdr:spPr bwMode="auto">
        <a:xfrm>
          <a:off x="3531160" y="18548190"/>
          <a:ext cx="1346387" cy="48648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86</xdr:row>
      <xdr:rowOff>126413</xdr:rowOff>
    </xdr:from>
    <xdr:to>
      <xdr:col>4</xdr:col>
      <xdr:colOff>467472</xdr:colOff>
      <xdr:row>96</xdr:row>
      <xdr:rowOff>126673</xdr:rowOff>
    </xdr:to>
    <xdr:sp macro="" textlink="">
      <xdr:nvSpPr>
        <xdr:cNvPr id="21" name="Text Box 9" hidden="1">
          <a:extLst>
            <a:ext uri="{FF2B5EF4-FFF2-40B4-BE49-F238E27FC236}">
              <a16:creationId xmlns:a16="http://schemas.microsoft.com/office/drawing/2014/main" id="{FE5E2EC3-50E6-4922-9863-2C04C9872F18}"/>
            </a:ext>
          </a:extLst>
        </xdr:cNvPr>
        <xdr:cNvSpPr txBox="1">
          <a:spLocks noChangeArrowheads="1"/>
        </xdr:cNvSpPr>
      </xdr:nvSpPr>
      <xdr:spPr bwMode="auto">
        <a:xfrm>
          <a:off x="3531160" y="18738263"/>
          <a:ext cx="1346387" cy="2006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45</xdr:row>
      <xdr:rowOff>161510</xdr:rowOff>
    </xdr:from>
    <xdr:to>
      <xdr:col>4</xdr:col>
      <xdr:colOff>467472</xdr:colOff>
      <xdr:row>60</xdr:row>
      <xdr:rowOff>324047</xdr:rowOff>
    </xdr:to>
    <xdr:sp macro="" textlink="">
      <xdr:nvSpPr>
        <xdr:cNvPr id="22" name="Text Box 8" hidden="1">
          <a:extLst>
            <a:ext uri="{FF2B5EF4-FFF2-40B4-BE49-F238E27FC236}">
              <a16:creationId xmlns:a16="http://schemas.microsoft.com/office/drawing/2014/main" id="{ACB76129-3031-4939-990D-2E77C2E7C239}"/>
            </a:ext>
          </a:extLst>
        </xdr:cNvPr>
        <xdr:cNvSpPr txBox="1">
          <a:spLocks noChangeArrowheads="1"/>
        </xdr:cNvSpPr>
      </xdr:nvSpPr>
      <xdr:spPr bwMode="auto">
        <a:xfrm>
          <a:off x="3531160" y="9553160"/>
          <a:ext cx="1346387" cy="3635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46</xdr:row>
      <xdr:rowOff>1268</xdr:rowOff>
    </xdr:from>
    <xdr:to>
      <xdr:col>4</xdr:col>
      <xdr:colOff>467472</xdr:colOff>
      <xdr:row>58</xdr:row>
      <xdr:rowOff>256066</xdr:rowOff>
    </xdr:to>
    <xdr:sp macro="" textlink="">
      <xdr:nvSpPr>
        <xdr:cNvPr id="23" name="Text Box 7" hidden="1">
          <a:extLst>
            <a:ext uri="{FF2B5EF4-FFF2-40B4-BE49-F238E27FC236}">
              <a16:creationId xmlns:a16="http://schemas.microsoft.com/office/drawing/2014/main" id="{755F6E31-EC83-4BAE-9A3F-A4A515F36F1F}"/>
            </a:ext>
          </a:extLst>
        </xdr:cNvPr>
        <xdr:cNvSpPr txBox="1">
          <a:spLocks noChangeArrowheads="1"/>
        </xdr:cNvSpPr>
      </xdr:nvSpPr>
      <xdr:spPr bwMode="auto">
        <a:xfrm>
          <a:off x="3531160" y="9573893"/>
          <a:ext cx="1346387" cy="27693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46</xdr:row>
      <xdr:rowOff>1268</xdr:rowOff>
    </xdr:from>
    <xdr:to>
      <xdr:col>4</xdr:col>
      <xdr:colOff>467472</xdr:colOff>
      <xdr:row>53</xdr:row>
      <xdr:rowOff>160866</xdr:rowOff>
    </xdr:to>
    <xdr:sp macro="" textlink="">
      <xdr:nvSpPr>
        <xdr:cNvPr id="24" name="Text Box 6" hidden="1">
          <a:extLst>
            <a:ext uri="{FF2B5EF4-FFF2-40B4-BE49-F238E27FC236}">
              <a16:creationId xmlns:a16="http://schemas.microsoft.com/office/drawing/2014/main" id="{B3174A9B-7EDC-4DD4-AA50-5731D9FC96E4}"/>
            </a:ext>
          </a:extLst>
        </xdr:cNvPr>
        <xdr:cNvSpPr txBox="1">
          <a:spLocks noChangeArrowheads="1"/>
        </xdr:cNvSpPr>
      </xdr:nvSpPr>
      <xdr:spPr bwMode="auto">
        <a:xfrm>
          <a:off x="3531160" y="9573893"/>
          <a:ext cx="1346387" cy="14264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49</xdr:row>
      <xdr:rowOff>26048</xdr:rowOff>
    </xdr:from>
    <xdr:to>
      <xdr:col>4</xdr:col>
      <xdr:colOff>467472</xdr:colOff>
      <xdr:row>53</xdr:row>
      <xdr:rowOff>2931</xdr:rowOff>
    </xdr:to>
    <xdr:sp macro="" textlink="">
      <xdr:nvSpPr>
        <xdr:cNvPr id="25" name="Text Box 5" hidden="1">
          <a:extLst>
            <a:ext uri="{FF2B5EF4-FFF2-40B4-BE49-F238E27FC236}">
              <a16:creationId xmlns:a16="http://schemas.microsoft.com/office/drawing/2014/main" id="{0F184237-90FF-4C6D-A201-57DDDA3FA74E}"/>
            </a:ext>
          </a:extLst>
        </xdr:cNvPr>
        <xdr:cNvSpPr txBox="1">
          <a:spLocks noChangeArrowheads="1"/>
        </xdr:cNvSpPr>
      </xdr:nvSpPr>
      <xdr:spPr bwMode="auto">
        <a:xfrm>
          <a:off x="3531160" y="10141598"/>
          <a:ext cx="1346387" cy="700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50</xdr:row>
      <xdr:rowOff>745</xdr:rowOff>
    </xdr:from>
    <xdr:to>
      <xdr:col>4</xdr:col>
      <xdr:colOff>467472</xdr:colOff>
      <xdr:row>52</xdr:row>
      <xdr:rowOff>2259</xdr:rowOff>
    </xdr:to>
    <xdr:sp macro="" textlink="">
      <xdr:nvSpPr>
        <xdr:cNvPr id="26" name="Text Box 4" hidden="1">
          <a:extLst>
            <a:ext uri="{FF2B5EF4-FFF2-40B4-BE49-F238E27FC236}">
              <a16:creationId xmlns:a16="http://schemas.microsoft.com/office/drawing/2014/main" id="{761914D9-8A8C-4D15-9002-E95E84D15080}"/>
            </a:ext>
          </a:extLst>
        </xdr:cNvPr>
        <xdr:cNvSpPr txBox="1">
          <a:spLocks noChangeArrowheads="1"/>
        </xdr:cNvSpPr>
      </xdr:nvSpPr>
      <xdr:spPr bwMode="auto">
        <a:xfrm>
          <a:off x="3531160" y="10297270"/>
          <a:ext cx="1346387" cy="3634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211293</xdr:rowOff>
    </xdr:from>
    <xdr:to>
      <xdr:col>5</xdr:col>
      <xdr:colOff>287804</xdr:colOff>
      <xdr:row>94</xdr:row>
      <xdr:rowOff>123981</xdr:rowOff>
    </xdr:to>
    <xdr:sp macro="" textlink="">
      <xdr:nvSpPr>
        <xdr:cNvPr id="27" name="Text Box 3" hidden="1">
          <a:extLst>
            <a:ext uri="{FF2B5EF4-FFF2-40B4-BE49-F238E27FC236}">
              <a16:creationId xmlns:a16="http://schemas.microsoft.com/office/drawing/2014/main" id="{55E2A1CA-BF24-42A0-A39D-860BE5E91CA5}"/>
            </a:ext>
          </a:extLst>
        </xdr:cNvPr>
        <xdr:cNvSpPr txBox="1">
          <a:spLocks noChangeArrowheads="1"/>
        </xdr:cNvSpPr>
      </xdr:nvSpPr>
      <xdr:spPr bwMode="auto">
        <a:xfrm>
          <a:off x="4057463" y="18823143"/>
          <a:ext cx="1421466" cy="15605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13</xdr:row>
      <xdr:rowOff>68206</xdr:rowOff>
    </xdr:from>
    <xdr:to>
      <xdr:col>17</xdr:col>
      <xdr:colOff>268016</xdr:colOff>
      <xdr:row>17</xdr:row>
      <xdr:rowOff>161202</xdr:rowOff>
    </xdr:to>
    <xdr:sp macro="" textlink="">
      <xdr:nvSpPr>
        <xdr:cNvPr id="28" name="Text Box 2" hidden="1">
          <a:extLst>
            <a:ext uri="{FF2B5EF4-FFF2-40B4-BE49-F238E27FC236}">
              <a16:creationId xmlns:a16="http://schemas.microsoft.com/office/drawing/2014/main" id="{0C923AB3-45AB-4FA5-9822-0AF234B944F1}"/>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17</xdr:row>
      <xdr:rowOff>88315</xdr:rowOff>
    </xdr:from>
    <xdr:to>
      <xdr:col>18</xdr:col>
      <xdr:colOff>256212</xdr:colOff>
      <xdr:row>21</xdr:row>
      <xdr:rowOff>114349</xdr:rowOff>
    </xdr:to>
    <xdr:sp macro="" textlink="">
      <xdr:nvSpPr>
        <xdr:cNvPr id="29" name="Text Box 1" hidden="1">
          <a:extLst>
            <a:ext uri="{FF2B5EF4-FFF2-40B4-BE49-F238E27FC236}">
              <a16:creationId xmlns:a16="http://schemas.microsoft.com/office/drawing/2014/main" id="{3569AC2B-84AB-451B-949B-789B0A03E5CA}"/>
            </a:ext>
          </a:extLst>
        </xdr:cNvPr>
        <xdr:cNvSpPr txBox="1">
          <a:spLocks noChangeArrowheads="1"/>
        </xdr:cNvSpPr>
      </xdr:nvSpPr>
      <xdr:spPr bwMode="auto">
        <a:xfrm>
          <a:off x="15209567" y="4060240"/>
          <a:ext cx="1277245" cy="7499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79</xdr:row>
      <xdr:rowOff>50428</xdr:rowOff>
    </xdr:from>
    <xdr:to>
      <xdr:col>4</xdr:col>
      <xdr:colOff>467472</xdr:colOff>
      <xdr:row>84</xdr:row>
      <xdr:rowOff>144767</xdr:rowOff>
    </xdr:to>
    <xdr:sp macro="" textlink="">
      <xdr:nvSpPr>
        <xdr:cNvPr id="30" name="Text Box 28" hidden="1">
          <a:extLst>
            <a:ext uri="{FF2B5EF4-FFF2-40B4-BE49-F238E27FC236}">
              <a16:creationId xmlns:a16="http://schemas.microsoft.com/office/drawing/2014/main" id="{787EBCE8-789F-4BD0-B8D0-60D0C44C6099}"/>
            </a:ext>
          </a:extLst>
        </xdr:cNvPr>
        <xdr:cNvSpPr txBox="1">
          <a:spLocks noChangeArrowheads="1"/>
        </xdr:cNvSpPr>
      </xdr:nvSpPr>
      <xdr:spPr bwMode="auto">
        <a:xfrm>
          <a:off x="3524175" y="17395453"/>
          <a:ext cx="1353372" cy="999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80</xdr:row>
      <xdr:rowOff>50553</xdr:rowOff>
    </xdr:from>
    <xdr:to>
      <xdr:col>4</xdr:col>
      <xdr:colOff>467472</xdr:colOff>
      <xdr:row>85</xdr:row>
      <xdr:rowOff>114290</xdr:rowOff>
    </xdr:to>
    <xdr:sp macro="" textlink="">
      <xdr:nvSpPr>
        <xdr:cNvPr id="31" name="Text Box 27" hidden="1">
          <a:extLst>
            <a:ext uri="{FF2B5EF4-FFF2-40B4-BE49-F238E27FC236}">
              <a16:creationId xmlns:a16="http://schemas.microsoft.com/office/drawing/2014/main" id="{2F7DBF5B-911B-48EC-B89C-245716C73530}"/>
            </a:ext>
          </a:extLst>
        </xdr:cNvPr>
        <xdr:cNvSpPr txBox="1">
          <a:spLocks noChangeArrowheads="1"/>
        </xdr:cNvSpPr>
      </xdr:nvSpPr>
      <xdr:spPr bwMode="auto">
        <a:xfrm>
          <a:off x="3524175" y="17576553"/>
          <a:ext cx="1353372" cy="971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81</xdr:row>
      <xdr:rowOff>38054</xdr:rowOff>
    </xdr:from>
    <xdr:to>
      <xdr:col>4</xdr:col>
      <xdr:colOff>467472</xdr:colOff>
      <xdr:row>86</xdr:row>
      <xdr:rowOff>114899</xdr:rowOff>
    </xdr:to>
    <xdr:sp macro="" textlink="">
      <xdr:nvSpPr>
        <xdr:cNvPr id="32" name="Text Box 26" hidden="1">
          <a:extLst>
            <a:ext uri="{FF2B5EF4-FFF2-40B4-BE49-F238E27FC236}">
              <a16:creationId xmlns:a16="http://schemas.microsoft.com/office/drawing/2014/main" id="{94CA57C3-2826-4A1B-AF56-FAD7E23E8EB2}"/>
            </a:ext>
          </a:extLst>
        </xdr:cNvPr>
        <xdr:cNvSpPr txBox="1">
          <a:spLocks noChangeArrowheads="1"/>
        </xdr:cNvSpPr>
      </xdr:nvSpPr>
      <xdr:spPr bwMode="auto">
        <a:xfrm>
          <a:off x="3524175" y="17748204"/>
          <a:ext cx="1353372" cy="978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122289</xdr:rowOff>
    </xdr:from>
    <xdr:to>
      <xdr:col>4</xdr:col>
      <xdr:colOff>467472</xdr:colOff>
      <xdr:row>86</xdr:row>
      <xdr:rowOff>211202</xdr:rowOff>
    </xdr:to>
    <xdr:sp macro="" textlink="">
      <xdr:nvSpPr>
        <xdr:cNvPr id="33" name="Text Box 25" hidden="1">
          <a:extLst>
            <a:ext uri="{FF2B5EF4-FFF2-40B4-BE49-F238E27FC236}">
              <a16:creationId xmlns:a16="http://schemas.microsoft.com/office/drawing/2014/main" id="{5E79A47C-D1CD-4B9A-8FDB-DF58A896FAC0}"/>
            </a:ext>
          </a:extLst>
        </xdr:cNvPr>
        <xdr:cNvSpPr txBox="1">
          <a:spLocks noChangeArrowheads="1"/>
        </xdr:cNvSpPr>
      </xdr:nvSpPr>
      <xdr:spPr bwMode="auto">
        <a:xfrm>
          <a:off x="3524175" y="18013414"/>
          <a:ext cx="1353372" cy="8096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106</xdr:row>
      <xdr:rowOff>103640</xdr:rowOff>
    </xdr:from>
    <xdr:to>
      <xdr:col>4</xdr:col>
      <xdr:colOff>467472</xdr:colOff>
      <xdr:row>121</xdr:row>
      <xdr:rowOff>97579</xdr:rowOff>
    </xdr:to>
    <xdr:sp macro="" textlink="">
      <xdr:nvSpPr>
        <xdr:cNvPr id="34" name="Text Box 23" hidden="1">
          <a:extLst>
            <a:ext uri="{FF2B5EF4-FFF2-40B4-BE49-F238E27FC236}">
              <a16:creationId xmlns:a16="http://schemas.microsoft.com/office/drawing/2014/main" id="{5270FB5F-711C-4DE6-8F8A-37797FB09164}"/>
            </a:ext>
          </a:extLst>
        </xdr:cNvPr>
        <xdr:cNvSpPr txBox="1">
          <a:spLocks noChangeArrowheads="1"/>
        </xdr:cNvSpPr>
      </xdr:nvSpPr>
      <xdr:spPr bwMode="auto">
        <a:xfrm>
          <a:off x="3524175" y="22782665"/>
          <a:ext cx="1353372" cy="27657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207673</xdr:rowOff>
    </xdr:from>
    <xdr:to>
      <xdr:col>4</xdr:col>
      <xdr:colOff>467472</xdr:colOff>
      <xdr:row>81</xdr:row>
      <xdr:rowOff>125498</xdr:rowOff>
    </xdr:to>
    <xdr:sp macro="" textlink="">
      <xdr:nvSpPr>
        <xdr:cNvPr id="35" name="Text Box 22" hidden="1">
          <a:extLst>
            <a:ext uri="{FF2B5EF4-FFF2-40B4-BE49-F238E27FC236}">
              <a16:creationId xmlns:a16="http://schemas.microsoft.com/office/drawing/2014/main" id="{77971F40-6BFF-44D8-B13C-2CA2161E148B}"/>
            </a:ext>
          </a:extLst>
        </xdr:cNvPr>
        <xdr:cNvSpPr txBox="1">
          <a:spLocks noChangeArrowheads="1"/>
        </xdr:cNvSpPr>
      </xdr:nvSpPr>
      <xdr:spPr bwMode="auto">
        <a:xfrm>
          <a:off x="3524175" y="14250698"/>
          <a:ext cx="1353372" cy="357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150432</xdr:rowOff>
    </xdr:from>
    <xdr:to>
      <xdr:col>4</xdr:col>
      <xdr:colOff>467472</xdr:colOff>
      <xdr:row>76</xdr:row>
      <xdr:rowOff>153443</xdr:rowOff>
    </xdr:to>
    <xdr:sp macro="" textlink="">
      <xdr:nvSpPr>
        <xdr:cNvPr id="36" name="Text Box 21" hidden="1">
          <a:extLst>
            <a:ext uri="{FF2B5EF4-FFF2-40B4-BE49-F238E27FC236}">
              <a16:creationId xmlns:a16="http://schemas.microsoft.com/office/drawing/2014/main" id="{56FC78D9-8450-4009-A2EB-D0FB93CDA352}"/>
            </a:ext>
          </a:extLst>
        </xdr:cNvPr>
        <xdr:cNvSpPr txBox="1">
          <a:spLocks noChangeArrowheads="1"/>
        </xdr:cNvSpPr>
      </xdr:nvSpPr>
      <xdr:spPr bwMode="auto">
        <a:xfrm>
          <a:off x="3524175" y="14193457"/>
          <a:ext cx="1353372" cy="2520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380486</xdr:rowOff>
    </xdr:from>
    <xdr:to>
      <xdr:col>4</xdr:col>
      <xdr:colOff>467472</xdr:colOff>
      <xdr:row>70</xdr:row>
      <xdr:rowOff>11315</xdr:rowOff>
    </xdr:to>
    <xdr:sp macro="" textlink="">
      <xdr:nvSpPr>
        <xdr:cNvPr id="37" name="Text Box 20" hidden="1">
          <a:extLst>
            <a:ext uri="{FF2B5EF4-FFF2-40B4-BE49-F238E27FC236}">
              <a16:creationId xmlns:a16="http://schemas.microsoft.com/office/drawing/2014/main" id="{22443D57-C714-448A-A35F-DA53329D95A5}"/>
            </a:ext>
          </a:extLst>
        </xdr:cNvPr>
        <xdr:cNvSpPr txBox="1">
          <a:spLocks noChangeArrowheads="1"/>
        </xdr:cNvSpPr>
      </xdr:nvSpPr>
      <xdr:spPr bwMode="auto">
        <a:xfrm>
          <a:off x="3524175" y="14032986"/>
          <a:ext cx="1353372" cy="14247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67</xdr:row>
      <xdr:rowOff>87412</xdr:rowOff>
    </xdr:from>
    <xdr:to>
      <xdr:col>4</xdr:col>
      <xdr:colOff>467472</xdr:colOff>
      <xdr:row>69</xdr:row>
      <xdr:rowOff>57554</xdr:rowOff>
    </xdr:to>
    <xdr:sp macro="" textlink="">
      <xdr:nvSpPr>
        <xdr:cNvPr id="38" name="Text Box 19" hidden="1">
          <a:extLst>
            <a:ext uri="{FF2B5EF4-FFF2-40B4-BE49-F238E27FC236}">
              <a16:creationId xmlns:a16="http://schemas.microsoft.com/office/drawing/2014/main" id="{F48084B2-1903-4FA5-AA1E-D246D5E134FE}"/>
            </a:ext>
          </a:extLst>
        </xdr:cNvPr>
        <xdr:cNvSpPr txBox="1">
          <a:spLocks noChangeArrowheads="1"/>
        </xdr:cNvSpPr>
      </xdr:nvSpPr>
      <xdr:spPr bwMode="auto">
        <a:xfrm>
          <a:off x="3524175" y="14908312"/>
          <a:ext cx="1353372" cy="386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69701</xdr:rowOff>
    </xdr:from>
    <xdr:to>
      <xdr:col>4</xdr:col>
      <xdr:colOff>467472</xdr:colOff>
      <xdr:row>68</xdr:row>
      <xdr:rowOff>69701</xdr:rowOff>
    </xdr:to>
    <xdr:sp macro="" textlink="">
      <xdr:nvSpPr>
        <xdr:cNvPr id="39" name="Text Box 18" hidden="1">
          <a:extLst>
            <a:ext uri="{FF2B5EF4-FFF2-40B4-BE49-F238E27FC236}">
              <a16:creationId xmlns:a16="http://schemas.microsoft.com/office/drawing/2014/main" id="{F9C6C390-1F5A-4FAB-8AC2-EB9D02B50001}"/>
            </a:ext>
          </a:extLst>
        </xdr:cNvPr>
        <xdr:cNvSpPr txBox="1">
          <a:spLocks noChangeArrowheads="1"/>
        </xdr:cNvSpPr>
      </xdr:nvSpPr>
      <xdr:spPr bwMode="auto">
        <a:xfrm>
          <a:off x="3524175" y="15100151"/>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106</xdr:row>
      <xdr:rowOff>103640</xdr:rowOff>
    </xdr:from>
    <xdr:to>
      <xdr:col>5</xdr:col>
      <xdr:colOff>287804</xdr:colOff>
      <xdr:row>119</xdr:row>
      <xdr:rowOff>171148</xdr:rowOff>
    </xdr:to>
    <xdr:sp macro="" textlink="">
      <xdr:nvSpPr>
        <xdr:cNvPr id="40" name="Text Box 17" hidden="1">
          <a:extLst>
            <a:ext uri="{FF2B5EF4-FFF2-40B4-BE49-F238E27FC236}">
              <a16:creationId xmlns:a16="http://schemas.microsoft.com/office/drawing/2014/main" id="{40C57CF5-C055-4BA5-BB13-050711D3ACB1}"/>
            </a:ext>
          </a:extLst>
        </xdr:cNvPr>
        <xdr:cNvSpPr txBox="1">
          <a:spLocks noChangeArrowheads="1"/>
        </xdr:cNvSpPr>
      </xdr:nvSpPr>
      <xdr:spPr bwMode="auto">
        <a:xfrm>
          <a:off x="4057463" y="22782665"/>
          <a:ext cx="1421466" cy="24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560725</xdr:colOff>
      <xdr:row>33</xdr:row>
      <xdr:rowOff>11257</xdr:rowOff>
    </xdr:from>
    <xdr:to>
      <xdr:col>17</xdr:col>
      <xdr:colOff>382316</xdr:colOff>
      <xdr:row>37</xdr:row>
      <xdr:rowOff>85604</xdr:rowOff>
    </xdr:to>
    <xdr:sp macro="" textlink="">
      <xdr:nvSpPr>
        <xdr:cNvPr id="41" name="Text Box 41" hidden="1">
          <a:extLst>
            <a:ext uri="{FF2B5EF4-FFF2-40B4-BE49-F238E27FC236}">
              <a16:creationId xmlns:a16="http://schemas.microsoft.com/office/drawing/2014/main" id="{13418E93-F73D-4608-9B7B-40F0015CA6CF}"/>
            </a:ext>
          </a:extLst>
        </xdr:cNvPr>
        <xdr:cNvSpPr txBox="1">
          <a:spLocks noChangeArrowheads="1"/>
        </xdr:cNvSpPr>
      </xdr:nvSpPr>
      <xdr:spPr bwMode="auto">
        <a:xfrm>
          <a:off x="14486275" y="7228032"/>
          <a:ext cx="1364641" cy="8014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541067</xdr:colOff>
      <xdr:row>37</xdr:row>
      <xdr:rowOff>47504</xdr:rowOff>
    </xdr:from>
    <xdr:to>
      <xdr:col>18</xdr:col>
      <xdr:colOff>408554</xdr:colOff>
      <xdr:row>41</xdr:row>
      <xdr:rowOff>103065</xdr:rowOff>
    </xdr:to>
    <xdr:sp macro="" textlink="">
      <xdr:nvSpPr>
        <xdr:cNvPr id="42" name="Text Box 42" hidden="1">
          <a:extLst>
            <a:ext uri="{FF2B5EF4-FFF2-40B4-BE49-F238E27FC236}">
              <a16:creationId xmlns:a16="http://schemas.microsoft.com/office/drawing/2014/main" id="{0DD6D110-079D-48E8-8158-3821DF8E4DCE}"/>
            </a:ext>
          </a:extLst>
        </xdr:cNvPr>
        <xdr:cNvSpPr txBox="1">
          <a:spLocks noChangeArrowheads="1"/>
        </xdr:cNvSpPr>
      </xdr:nvSpPr>
      <xdr:spPr bwMode="auto">
        <a:xfrm>
          <a:off x="15247667" y="7991354"/>
          <a:ext cx="1391487" cy="7794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257785</xdr:rowOff>
    </xdr:from>
    <xdr:to>
      <xdr:col>4</xdr:col>
      <xdr:colOff>467472</xdr:colOff>
      <xdr:row>62</xdr:row>
      <xdr:rowOff>73070</xdr:rowOff>
    </xdr:to>
    <xdr:sp macro="" textlink="">
      <xdr:nvSpPr>
        <xdr:cNvPr id="43" name="Text Box 55" hidden="1">
          <a:extLst>
            <a:ext uri="{FF2B5EF4-FFF2-40B4-BE49-F238E27FC236}">
              <a16:creationId xmlns:a16="http://schemas.microsoft.com/office/drawing/2014/main" id="{60CF9CB6-8D4D-4D83-B777-88C5789E8D6C}"/>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76470</xdr:rowOff>
    </xdr:from>
    <xdr:to>
      <xdr:col>4</xdr:col>
      <xdr:colOff>467472</xdr:colOff>
      <xdr:row>62</xdr:row>
      <xdr:rowOff>209272</xdr:rowOff>
    </xdr:to>
    <xdr:sp macro="" textlink="">
      <xdr:nvSpPr>
        <xdr:cNvPr id="44" name="Text Box 54" hidden="1">
          <a:extLst>
            <a:ext uri="{FF2B5EF4-FFF2-40B4-BE49-F238E27FC236}">
              <a16:creationId xmlns:a16="http://schemas.microsoft.com/office/drawing/2014/main" id="{DAB05211-F9C5-4151-A737-9834930BD2DA}"/>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311165</xdr:rowOff>
    </xdr:from>
    <xdr:to>
      <xdr:col>4</xdr:col>
      <xdr:colOff>467472</xdr:colOff>
      <xdr:row>62</xdr:row>
      <xdr:rowOff>330725</xdr:rowOff>
    </xdr:to>
    <xdr:sp macro="" textlink="">
      <xdr:nvSpPr>
        <xdr:cNvPr id="45" name="Text Box 53" hidden="1">
          <a:extLst>
            <a:ext uri="{FF2B5EF4-FFF2-40B4-BE49-F238E27FC236}">
              <a16:creationId xmlns:a16="http://schemas.microsoft.com/office/drawing/2014/main" id="{6F4A8F8E-EEB1-4D30-B616-6108834CE32B}"/>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73621</xdr:rowOff>
    </xdr:from>
    <xdr:to>
      <xdr:col>4</xdr:col>
      <xdr:colOff>467472</xdr:colOff>
      <xdr:row>63</xdr:row>
      <xdr:rowOff>2176</xdr:rowOff>
    </xdr:to>
    <xdr:sp macro="" textlink="">
      <xdr:nvSpPr>
        <xdr:cNvPr id="46" name="Text Box 52" hidden="1">
          <a:extLst>
            <a:ext uri="{FF2B5EF4-FFF2-40B4-BE49-F238E27FC236}">
              <a16:creationId xmlns:a16="http://schemas.microsoft.com/office/drawing/2014/main" id="{06F0048A-E859-47C1-8C4D-4A0EAF8CCA55}"/>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36990</xdr:rowOff>
    </xdr:from>
    <xdr:to>
      <xdr:col>4</xdr:col>
      <xdr:colOff>467472</xdr:colOff>
      <xdr:row>96</xdr:row>
      <xdr:rowOff>105550</xdr:rowOff>
    </xdr:to>
    <xdr:sp macro="" textlink="">
      <xdr:nvSpPr>
        <xdr:cNvPr id="47" name="Text Box 51" hidden="1">
          <a:extLst>
            <a:ext uri="{FF2B5EF4-FFF2-40B4-BE49-F238E27FC236}">
              <a16:creationId xmlns:a16="http://schemas.microsoft.com/office/drawing/2014/main" id="{F148D3E9-B17A-401D-B78D-33E42FC3F60D}"/>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65389</xdr:rowOff>
    </xdr:from>
    <xdr:to>
      <xdr:col>4</xdr:col>
      <xdr:colOff>467472</xdr:colOff>
      <xdr:row>60</xdr:row>
      <xdr:rowOff>265777</xdr:rowOff>
    </xdr:to>
    <xdr:sp macro="" textlink="">
      <xdr:nvSpPr>
        <xdr:cNvPr id="48" name="Text Box 50" hidden="1">
          <a:extLst>
            <a:ext uri="{FF2B5EF4-FFF2-40B4-BE49-F238E27FC236}">
              <a16:creationId xmlns:a16="http://schemas.microsoft.com/office/drawing/2014/main" id="{83B79A71-B832-47D4-9C6F-1E8FF5BD741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103276</xdr:rowOff>
    </xdr:from>
    <xdr:to>
      <xdr:col>4</xdr:col>
      <xdr:colOff>467472</xdr:colOff>
      <xdr:row>58</xdr:row>
      <xdr:rowOff>58546</xdr:rowOff>
    </xdr:to>
    <xdr:sp macro="" textlink="">
      <xdr:nvSpPr>
        <xdr:cNvPr id="49" name="Text Box 49" hidden="1">
          <a:extLst>
            <a:ext uri="{FF2B5EF4-FFF2-40B4-BE49-F238E27FC236}">
              <a16:creationId xmlns:a16="http://schemas.microsoft.com/office/drawing/2014/main" id="{770C1E8E-D010-46B6-99C1-CD5580D2EAFC}"/>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467472</xdr:colOff>
      <xdr:row>51</xdr:row>
      <xdr:rowOff>101962</xdr:rowOff>
    </xdr:to>
    <xdr:sp macro="" textlink="">
      <xdr:nvSpPr>
        <xdr:cNvPr id="50" name="Text Box 48" hidden="1">
          <a:extLst>
            <a:ext uri="{FF2B5EF4-FFF2-40B4-BE49-F238E27FC236}">
              <a16:creationId xmlns:a16="http://schemas.microsoft.com/office/drawing/2014/main" id="{E9697838-D69E-4ADF-AF3C-37F4788A2084}"/>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64753</xdr:rowOff>
    </xdr:from>
    <xdr:to>
      <xdr:col>4</xdr:col>
      <xdr:colOff>467472</xdr:colOff>
      <xdr:row>51</xdr:row>
      <xdr:rowOff>63862</xdr:rowOff>
    </xdr:to>
    <xdr:sp macro="" textlink="">
      <xdr:nvSpPr>
        <xdr:cNvPr id="51" name="Text Box 47" hidden="1">
          <a:extLst>
            <a:ext uri="{FF2B5EF4-FFF2-40B4-BE49-F238E27FC236}">
              <a16:creationId xmlns:a16="http://schemas.microsoft.com/office/drawing/2014/main" id="{EE9B9110-53C3-42CB-96A0-BBBED3EC69BB}"/>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26161</xdr:rowOff>
    </xdr:from>
    <xdr:to>
      <xdr:col>4</xdr:col>
      <xdr:colOff>467472</xdr:colOff>
      <xdr:row>50</xdr:row>
      <xdr:rowOff>64261</xdr:rowOff>
    </xdr:to>
    <xdr:sp macro="" textlink="">
      <xdr:nvSpPr>
        <xdr:cNvPr id="52" name="Text Box 46" hidden="1">
          <a:extLst>
            <a:ext uri="{FF2B5EF4-FFF2-40B4-BE49-F238E27FC236}">
              <a16:creationId xmlns:a16="http://schemas.microsoft.com/office/drawing/2014/main" id="{0136D7C0-9EC2-4F18-B16B-E80810105084}"/>
            </a:ext>
          </a:extLst>
        </xdr:cNvPr>
        <xdr:cNvSpPr txBox="1">
          <a:spLocks noChangeArrowheads="1"/>
        </xdr:cNvSpPr>
      </xdr:nvSpPr>
      <xdr:spPr bwMode="auto">
        <a:xfrm>
          <a:off x="3524175" y="10322686"/>
          <a:ext cx="1353372"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36990</xdr:rowOff>
    </xdr:from>
    <xdr:to>
      <xdr:col>5</xdr:col>
      <xdr:colOff>287804</xdr:colOff>
      <xdr:row>94</xdr:row>
      <xdr:rowOff>77742</xdr:rowOff>
    </xdr:to>
    <xdr:sp macro="" textlink="">
      <xdr:nvSpPr>
        <xdr:cNvPr id="53" name="Text Box 45" hidden="1">
          <a:extLst>
            <a:ext uri="{FF2B5EF4-FFF2-40B4-BE49-F238E27FC236}">
              <a16:creationId xmlns:a16="http://schemas.microsoft.com/office/drawing/2014/main" id="{8E55B7B4-1597-44BA-90CA-5C4ADE4CD320}"/>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257785</xdr:rowOff>
    </xdr:from>
    <xdr:to>
      <xdr:col>4</xdr:col>
      <xdr:colOff>467472</xdr:colOff>
      <xdr:row>62</xdr:row>
      <xdr:rowOff>73070</xdr:rowOff>
    </xdr:to>
    <xdr:sp macro="" textlink="">
      <xdr:nvSpPr>
        <xdr:cNvPr id="54" name="Text Box 66" hidden="1">
          <a:extLst>
            <a:ext uri="{FF2B5EF4-FFF2-40B4-BE49-F238E27FC236}">
              <a16:creationId xmlns:a16="http://schemas.microsoft.com/office/drawing/2014/main" id="{5DD81AD1-3086-41CD-B61B-34F6762B3217}"/>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76470</xdr:rowOff>
    </xdr:from>
    <xdr:to>
      <xdr:col>4</xdr:col>
      <xdr:colOff>467472</xdr:colOff>
      <xdr:row>62</xdr:row>
      <xdr:rowOff>209272</xdr:rowOff>
    </xdr:to>
    <xdr:sp macro="" textlink="">
      <xdr:nvSpPr>
        <xdr:cNvPr id="55" name="Text Box 65" hidden="1">
          <a:extLst>
            <a:ext uri="{FF2B5EF4-FFF2-40B4-BE49-F238E27FC236}">
              <a16:creationId xmlns:a16="http://schemas.microsoft.com/office/drawing/2014/main" id="{BFD4E6C3-ADDD-42DC-96FB-3C759900FC15}"/>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311165</xdr:rowOff>
    </xdr:from>
    <xdr:to>
      <xdr:col>4</xdr:col>
      <xdr:colOff>467472</xdr:colOff>
      <xdr:row>62</xdr:row>
      <xdr:rowOff>330725</xdr:rowOff>
    </xdr:to>
    <xdr:sp macro="" textlink="">
      <xdr:nvSpPr>
        <xdr:cNvPr id="56" name="Text Box 64" hidden="1">
          <a:extLst>
            <a:ext uri="{FF2B5EF4-FFF2-40B4-BE49-F238E27FC236}">
              <a16:creationId xmlns:a16="http://schemas.microsoft.com/office/drawing/2014/main" id="{AEBFBC84-AB18-4DF9-ADD1-ACB8F8A33764}"/>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73621</xdr:rowOff>
    </xdr:from>
    <xdr:to>
      <xdr:col>4</xdr:col>
      <xdr:colOff>467472</xdr:colOff>
      <xdr:row>63</xdr:row>
      <xdr:rowOff>2176</xdr:rowOff>
    </xdr:to>
    <xdr:sp macro="" textlink="">
      <xdr:nvSpPr>
        <xdr:cNvPr id="57" name="Text Box 63" hidden="1">
          <a:extLst>
            <a:ext uri="{FF2B5EF4-FFF2-40B4-BE49-F238E27FC236}">
              <a16:creationId xmlns:a16="http://schemas.microsoft.com/office/drawing/2014/main" id="{AFD048E0-999F-4672-9C6D-AED4CD18074E}"/>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36990</xdr:rowOff>
    </xdr:from>
    <xdr:to>
      <xdr:col>4</xdr:col>
      <xdr:colOff>467472</xdr:colOff>
      <xdr:row>96</xdr:row>
      <xdr:rowOff>105550</xdr:rowOff>
    </xdr:to>
    <xdr:sp macro="" textlink="">
      <xdr:nvSpPr>
        <xdr:cNvPr id="58" name="Text Box 62" hidden="1">
          <a:extLst>
            <a:ext uri="{FF2B5EF4-FFF2-40B4-BE49-F238E27FC236}">
              <a16:creationId xmlns:a16="http://schemas.microsoft.com/office/drawing/2014/main" id="{4FEFC234-8B82-4C74-8BB7-CFDC3FFBF066}"/>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65389</xdr:rowOff>
    </xdr:from>
    <xdr:to>
      <xdr:col>4</xdr:col>
      <xdr:colOff>467472</xdr:colOff>
      <xdr:row>60</xdr:row>
      <xdr:rowOff>265777</xdr:rowOff>
    </xdr:to>
    <xdr:sp macro="" textlink="">
      <xdr:nvSpPr>
        <xdr:cNvPr id="59" name="Text Box 61" hidden="1">
          <a:extLst>
            <a:ext uri="{FF2B5EF4-FFF2-40B4-BE49-F238E27FC236}">
              <a16:creationId xmlns:a16="http://schemas.microsoft.com/office/drawing/2014/main" id="{213482AD-2FE7-4C53-8AE6-B0EE8A5FD563}"/>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103276</xdr:rowOff>
    </xdr:from>
    <xdr:to>
      <xdr:col>4</xdr:col>
      <xdr:colOff>467472</xdr:colOff>
      <xdr:row>58</xdr:row>
      <xdr:rowOff>58546</xdr:rowOff>
    </xdr:to>
    <xdr:sp macro="" textlink="">
      <xdr:nvSpPr>
        <xdr:cNvPr id="60" name="Text Box 60" hidden="1">
          <a:extLst>
            <a:ext uri="{FF2B5EF4-FFF2-40B4-BE49-F238E27FC236}">
              <a16:creationId xmlns:a16="http://schemas.microsoft.com/office/drawing/2014/main" id="{11EDA809-932B-4E3F-AFA9-8CCBDAF434B4}"/>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467472</xdr:colOff>
      <xdr:row>51</xdr:row>
      <xdr:rowOff>101962</xdr:rowOff>
    </xdr:to>
    <xdr:sp macro="" textlink="">
      <xdr:nvSpPr>
        <xdr:cNvPr id="61" name="Text Box 59" hidden="1">
          <a:extLst>
            <a:ext uri="{FF2B5EF4-FFF2-40B4-BE49-F238E27FC236}">
              <a16:creationId xmlns:a16="http://schemas.microsoft.com/office/drawing/2014/main" id="{E29F09F3-6BEF-4544-A73C-AFFFE3EC579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64753</xdr:rowOff>
    </xdr:from>
    <xdr:to>
      <xdr:col>4</xdr:col>
      <xdr:colOff>467472</xdr:colOff>
      <xdr:row>51</xdr:row>
      <xdr:rowOff>63862</xdr:rowOff>
    </xdr:to>
    <xdr:sp macro="" textlink="">
      <xdr:nvSpPr>
        <xdr:cNvPr id="62" name="Text Box 58" hidden="1">
          <a:extLst>
            <a:ext uri="{FF2B5EF4-FFF2-40B4-BE49-F238E27FC236}">
              <a16:creationId xmlns:a16="http://schemas.microsoft.com/office/drawing/2014/main" id="{E3E347AA-43F1-4BFC-870C-3C9B9C1CF4D5}"/>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26161</xdr:rowOff>
    </xdr:from>
    <xdr:to>
      <xdr:col>4</xdr:col>
      <xdr:colOff>467472</xdr:colOff>
      <xdr:row>50</xdr:row>
      <xdr:rowOff>26161</xdr:rowOff>
    </xdr:to>
    <xdr:sp macro="" textlink="">
      <xdr:nvSpPr>
        <xdr:cNvPr id="63" name="Text Box 57" hidden="1">
          <a:extLst>
            <a:ext uri="{FF2B5EF4-FFF2-40B4-BE49-F238E27FC236}">
              <a16:creationId xmlns:a16="http://schemas.microsoft.com/office/drawing/2014/main" id="{D38A3762-4CF1-46F9-B02C-4F4B93840EC2}"/>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36990</xdr:rowOff>
    </xdr:from>
    <xdr:to>
      <xdr:col>5</xdr:col>
      <xdr:colOff>287804</xdr:colOff>
      <xdr:row>94</xdr:row>
      <xdr:rowOff>77742</xdr:rowOff>
    </xdr:to>
    <xdr:sp macro="" textlink="">
      <xdr:nvSpPr>
        <xdr:cNvPr id="64" name="Text Box 56" hidden="1">
          <a:extLst>
            <a:ext uri="{FF2B5EF4-FFF2-40B4-BE49-F238E27FC236}">
              <a16:creationId xmlns:a16="http://schemas.microsoft.com/office/drawing/2014/main" id="{09A87986-55B5-4F2D-8BE4-3BA66A0BECEB}"/>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257785</xdr:rowOff>
    </xdr:from>
    <xdr:to>
      <xdr:col>4</xdr:col>
      <xdr:colOff>467472</xdr:colOff>
      <xdr:row>62</xdr:row>
      <xdr:rowOff>73070</xdr:rowOff>
    </xdr:to>
    <xdr:sp macro="" textlink="">
      <xdr:nvSpPr>
        <xdr:cNvPr id="65" name="Text Box 77" hidden="1">
          <a:extLst>
            <a:ext uri="{FF2B5EF4-FFF2-40B4-BE49-F238E27FC236}">
              <a16:creationId xmlns:a16="http://schemas.microsoft.com/office/drawing/2014/main" id="{2614CA48-CD4B-46B5-8DA1-CCE0E9C840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76470</xdr:rowOff>
    </xdr:from>
    <xdr:to>
      <xdr:col>4</xdr:col>
      <xdr:colOff>467472</xdr:colOff>
      <xdr:row>62</xdr:row>
      <xdr:rowOff>209272</xdr:rowOff>
    </xdr:to>
    <xdr:sp macro="" textlink="">
      <xdr:nvSpPr>
        <xdr:cNvPr id="66" name="Text Box 76" hidden="1">
          <a:extLst>
            <a:ext uri="{FF2B5EF4-FFF2-40B4-BE49-F238E27FC236}">
              <a16:creationId xmlns:a16="http://schemas.microsoft.com/office/drawing/2014/main" id="{CB341D11-0C64-4C89-8584-D4489BAA0A2B}"/>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311165</xdr:rowOff>
    </xdr:from>
    <xdr:to>
      <xdr:col>4</xdr:col>
      <xdr:colOff>467472</xdr:colOff>
      <xdr:row>62</xdr:row>
      <xdr:rowOff>330725</xdr:rowOff>
    </xdr:to>
    <xdr:sp macro="" textlink="">
      <xdr:nvSpPr>
        <xdr:cNvPr id="67" name="Text Box 75" hidden="1">
          <a:extLst>
            <a:ext uri="{FF2B5EF4-FFF2-40B4-BE49-F238E27FC236}">
              <a16:creationId xmlns:a16="http://schemas.microsoft.com/office/drawing/2014/main" id="{913529A8-93A7-4AB0-934C-05B808C96799}"/>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73621</xdr:rowOff>
    </xdr:from>
    <xdr:to>
      <xdr:col>4</xdr:col>
      <xdr:colOff>467472</xdr:colOff>
      <xdr:row>63</xdr:row>
      <xdr:rowOff>2176</xdr:rowOff>
    </xdr:to>
    <xdr:sp macro="" textlink="">
      <xdr:nvSpPr>
        <xdr:cNvPr id="68" name="Text Box 74" hidden="1">
          <a:extLst>
            <a:ext uri="{FF2B5EF4-FFF2-40B4-BE49-F238E27FC236}">
              <a16:creationId xmlns:a16="http://schemas.microsoft.com/office/drawing/2014/main" id="{35A16CCC-11F1-4576-8716-DB3730D3E74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6562</xdr:rowOff>
    </xdr:from>
    <xdr:to>
      <xdr:col>4</xdr:col>
      <xdr:colOff>467472</xdr:colOff>
      <xdr:row>96</xdr:row>
      <xdr:rowOff>105550</xdr:rowOff>
    </xdr:to>
    <xdr:sp macro="" textlink="">
      <xdr:nvSpPr>
        <xdr:cNvPr id="69" name="Text Box 73" hidden="1">
          <a:extLst>
            <a:ext uri="{FF2B5EF4-FFF2-40B4-BE49-F238E27FC236}">
              <a16:creationId xmlns:a16="http://schemas.microsoft.com/office/drawing/2014/main" id="{1285D431-6E49-47B2-B262-7D5F789F0176}"/>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65389</xdr:rowOff>
    </xdr:from>
    <xdr:to>
      <xdr:col>4</xdr:col>
      <xdr:colOff>467472</xdr:colOff>
      <xdr:row>60</xdr:row>
      <xdr:rowOff>265777</xdr:rowOff>
    </xdr:to>
    <xdr:sp macro="" textlink="">
      <xdr:nvSpPr>
        <xdr:cNvPr id="70" name="Text Box 72" hidden="1">
          <a:extLst>
            <a:ext uri="{FF2B5EF4-FFF2-40B4-BE49-F238E27FC236}">
              <a16:creationId xmlns:a16="http://schemas.microsoft.com/office/drawing/2014/main" id="{45C12CA3-86AE-4A9F-8E76-94090CC1C120}"/>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103276</xdr:rowOff>
    </xdr:from>
    <xdr:to>
      <xdr:col>4</xdr:col>
      <xdr:colOff>467472</xdr:colOff>
      <xdr:row>58</xdr:row>
      <xdr:rowOff>58546</xdr:rowOff>
    </xdr:to>
    <xdr:sp macro="" textlink="">
      <xdr:nvSpPr>
        <xdr:cNvPr id="71" name="Text Box 71" hidden="1">
          <a:extLst>
            <a:ext uri="{FF2B5EF4-FFF2-40B4-BE49-F238E27FC236}">
              <a16:creationId xmlns:a16="http://schemas.microsoft.com/office/drawing/2014/main" id="{EA1F28FA-8FC4-498F-9B6B-4D2A5FEDBA8A}"/>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467472</xdr:colOff>
      <xdr:row>51</xdr:row>
      <xdr:rowOff>101962</xdr:rowOff>
    </xdr:to>
    <xdr:sp macro="" textlink="">
      <xdr:nvSpPr>
        <xdr:cNvPr id="72" name="Text Box 70" hidden="1">
          <a:extLst>
            <a:ext uri="{FF2B5EF4-FFF2-40B4-BE49-F238E27FC236}">
              <a16:creationId xmlns:a16="http://schemas.microsoft.com/office/drawing/2014/main" id="{5FC91FD1-6246-4ED7-8BB1-9404C139A58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64753</xdr:rowOff>
    </xdr:from>
    <xdr:to>
      <xdr:col>4</xdr:col>
      <xdr:colOff>467472</xdr:colOff>
      <xdr:row>51</xdr:row>
      <xdr:rowOff>63862</xdr:rowOff>
    </xdr:to>
    <xdr:sp macro="" textlink="">
      <xdr:nvSpPr>
        <xdr:cNvPr id="73" name="Text Box 69" hidden="1">
          <a:extLst>
            <a:ext uri="{FF2B5EF4-FFF2-40B4-BE49-F238E27FC236}">
              <a16:creationId xmlns:a16="http://schemas.microsoft.com/office/drawing/2014/main" id="{65EC1890-8AF4-42FB-A049-589079DB3100}"/>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26161</xdr:rowOff>
    </xdr:from>
    <xdr:to>
      <xdr:col>4</xdr:col>
      <xdr:colOff>467472</xdr:colOff>
      <xdr:row>50</xdr:row>
      <xdr:rowOff>26161</xdr:rowOff>
    </xdr:to>
    <xdr:sp macro="" textlink="">
      <xdr:nvSpPr>
        <xdr:cNvPr id="74" name="Text Box 68" hidden="1">
          <a:extLst>
            <a:ext uri="{FF2B5EF4-FFF2-40B4-BE49-F238E27FC236}">
              <a16:creationId xmlns:a16="http://schemas.microsoft.com/office/drawing/2014/main" id="{D8BDDA7E-C171-4933-8F38-ED7A49CF6E47}"/>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36990</xdr:rowOff>
    </xdr:from>
    <xdr:to>
      <xdr:col>5</xdr:col>
      <xdr:colOff>287804</xdr:colOff>
      <xdr:row>94</xdr:row>
      <xdr:rowOff>77742</xdr:rowOff>
    </xdr:to>
    <xdr:sp macro="" textlink="">
      <xdr:nvSpPr>
        <xdr:cNvPr id="75" name="Text Box 67" hidden="1">
          <a:extLst>
            <a:ext uri="{FF2B5EF4-FFF2-40B4-BE49-F238E27FC236}">
              <a16:creationId xmlns:a16="http://schemas.microsoft.com/office/drawing/2014/main" id="{FB2B428E-D42F-45C6-9ECE-2261167DA845}"/>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257785</xdr:rowOff>
    </xdr:from>
    <xdr:to>
      <xdr:col>4</xdr:col>
      <xdr:colOff>467472</xdr:colOff>
      <xdr:row>62</xdr:row>
      <xdr:rowOff>73070</xdr:rowOff>
    </xdr:to>
    <xdr:sp macro="" textlink="">
      <xdr:nvSpPr>
        <xdr:cNvPr id="76" name="Text Box 88" hidden="1">
          <a:extLst>
            <a:ext uri="{FF2B5EF4-FFF2-40B4-BE49-F238E27FC236}">
              <a16:creationId xmlns:a16="http://schemas.microsoft.com/office/drawing/2014/main" id="{A79EDC7A-2128-4BBA-A3C0-9EDAA861EA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76470</xdr:rowOff>
    </xdr:from>
    <xdr:to>
      <xdr:col>4</xdr:col>
      <xdr:colOff>467472</xdr:colOff>
      <xdr:row>62</xdr:row>
      <xdr:rowOff>209272</xdr:rowOff>
    </xdr:to>
    <xdr:sp macro="" textlink="">
      <xdr:nvSpPr>
        <xdr:cNvPr id="77" name="Text Box 87" hidden="1">
          <a:extLst>
            <a:ext uri="{FF2B5EF4-FFF2-40B4-BE49-F238E27FC236}">
              <a16:creationId xmlns:a16="http://schemas.microsoft.com/office/drawing/2014/main" id="{A4C0AD72-203A-4EAE-B424-DB8C8B658037}"/>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311165</xdr:rowOff>
    </xdr:from>
    <xdr:to>
      <xdr:col>4</xdr:col>
      <xdr:colOff>467472</xdr:colOff>
      <xdr:row>62</xdr:row>
      <xdr:rowOff>330725</xdr:rowOff>
    </xdr:to>
    <xdr:sp macro="" textlink="">
      <xdr:nvSpPr>
        <xdr:cNvPr id="78" name="Text Box 86" hidden="1">
          <a:extLst>
            <a:ext uri="{FF2B5EF4-FFF2-40B4-BE49-F238E27FC236}">
              <a16:creationId xmlns:a16="http://schemas.microsoft.com/office/drawing/2014/main" id="{C41A1323-DABD-4727-87F1-CD7BAC0270EA}"/>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61</xdr:row>
      <xdr:rowOff>73621</xdr:rowOff>
    </xdr:from>
    <xdr:to>
      <xdr:col>4</xdr:col>
      <xdr:colOff>467472</xdr:colOff>
      <xdr:row>63</xdr:row>
      <xdr:rowOff>2176</xdr:rowOff>
    </xdr:to>
    <xdr:sp macro="" textlink="">
      <xdr:nvSpPr>
        <xdr:cNvPr id="79" name="Text Box 85" hidden="1">
          <a:extLst>
            <a:ext uri="{FF2B5EF4-FFF2-40B4-BE49-F238E27FC236}">
              <a16:creationId xmlns:a16="http://schemas.microsoft.com/office/drawing/2014/main" id="{C72FBEC9-BBB0-4C72-A2EC-414D158FEEB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6562</xdr:rowOff>
    </xdr:from>
    <xdr:to>
      <xdr:col>4</xdr:col>
      <xdr:colOff>467472</xdr:colOff>
      <xdr:row>96</xdr:row>
      <xdr:rowOff>105550</xdr:rowOff>
    </xdr:to>
    <xdr:sp macro="" textlink="">
      <xdr:nvSpPr>
        <xdr:cNvPr id="80" name="Text Box 84" hidden="1">
          <a:extLst>
            <a:ext uri="{FF2B5EF4-FFF2-40B4-BE49-F238E27FC236}">
              <a16:creationId xmlns:a16="http://schemas.microsoft.com/office/drawing/2014/main" id="{8972C0E1-BAA1-477E-B3F9-E27289453A52}"/>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65389</xdr:rowOff>
    </xdr:from>
    <xdr:to>
      <xdr:col>4</xdr:col>
      <xdr:colOff>467472</xdr:colOff>
      <xdr:row>60</xdr:row>
      <xdr:rowOff>265777</xdr:rowOff>
    </xdr:to>
    <xdr:sp macro="" textlink="">
      <xdr:nvSpPr>
        <xdr:cNvPr id="81" name="Text Box 83" hidden="1">
          <a:extLst>
            <a:ext uri="{FF2B5EF4-FFF2-40B4-BE49-F238E27FC236}">
              <a16:creationId xmlns:a16="http://schemas.microsoft.com/office/drawing/2014/main" id="{2637E2F4-21D7-4B04-B9A8-7E75AB3718F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103276</xdr:rowOff>
    </xdr:from>
    <xdr:to>
      <xdr:col>4</xdr:col>
      <xdr:colOff>467472</xdr:colOff>
      <xdr:row>58</xdr:row>
      <xdr:rowOff>58546</xdr:rowOff>
    </xdr:to>
    <xdr:sp macro="" textlink="">
      <xdr:nvSpPr>
        <xdr:cNvPr id="82" name="Text Box 82" hidden="1">
          <a:extLst>
            <a:ext uri="{FF2B5EF4-FFF2-40B4-BE49-F238E27FC236}">
              <a16:creationId xmlns:a16="http://schemas.microsoft.com/office/drawing/2014/main" id="{B219ED72-FDCE-4F52-B982-2567BF075BBF}"/>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467472</xdr:colOff>
      <xdr:row>51</xdr:row>
      <xdr:rowOff>101962</xdr:rowOff>
    </xdr:to>
    <xdr:sp macro="" textlink="">
      <xdr:nvSpPr>
        <xdr:cNvPr id="83" name="Text Box 81" hidden="1">
          <a:extLst>
            <a:ext uri="{FF2B5EF4-FFF2-40B4-BE49-F238E27FC236}">
              <a16:creationId xmlns:a16="http://schemas.microsoft.com/office/drawing/2014/main" id="{B3C406B9-6989-41A9-B457-F5A413B17640}"/>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64753</xdr:rowOff>
    </xdr:from>
    <xdr:to>
      <xdr:col>4</xdr:col>
      <xdr:colOff>467472</xdr:colOff>
      <xdr:row>51</xdr:row>
      <xdr:rowOff>63862</xdr:rowOff>
    </xdr:to>
    <xdr:sp macro="" textlink="">
      <xdr:nvSpPr>
        <xdr:cNvPr id="84" name="Text Box 80" hidden="1">
          <a:extLst>
            <a:ext uri="{FF2B5EF4-FFF2-40B4-BE49-F238E27FC236}">
              <a16:creationId xmlns:a16="http://schemas.microsoft.com/office/drawing/2014/main" id="{CAFBD858-EEE9-4450-B8AF-EC5EF0B054B8}"/>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26161</xdr:rowOff>
    </xdr:from>
    <xdr:to>
      <xdr:col>4</xdr:col>
      <xdr:colOff>467472</xdr:colOff>
      <xdr:row>50</xdr:row>
      <xdr:rowOff>26161</xdr:rowOff>
    </xdr:to>
    <xdr:sp macro="" textlink="">
      <xdr:nvSpPr>
        <xdr:cNvPr id="85" name="Text Box 79" hidden="1">
          <a:extLst>
            <a:ext uri="{FF2B5EF4-FFF2-40B4-BE49-F238E27FC236}">
              <a16:creationId xmlns:a16="http://schemas.microsoft.com/office/drawing/2014/main" id="{AF036304-7306-4972-9FBB-606B38AA507B}"/>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6562</xdr:rowOff>
    </xdr:from>
    <xdr:to>
      <xdr:col>5</xdr:col>
      <xdr:colOff>287804</xdr:colOff>
      <xdr:row>94</xdr:row>
      <xdr:rowOff>77742</xdr:rowOff>
    </xdr:to>
    <xdr:sp macro="" textlink="">
      <xdr:nvSpPr>
        <xdr:cNvPr id="86" name="Text Box 78" hidden="1">
          <a:extLst>
            <a:ext uri="{FF2B5EF4-FFF2-40B4-BE49-F238E27FC236}">
              <a16:creationId xmlns:a16="http://schemas.microsoft.com/office/drawing/2014/main" id="{3D738370-E455-4C04-A203-AEBC17B15B4F}"/>
            </a:ext>
          </a:extLst>
        </xdr:cNvPr>
        <xdr:cNvSpPr txBox="1">
          <a:spLocks noChangeArrowheads="1"/>
        </xdr:cNvSpPr>
      </xdr:nvSpPr>
      <xdr:spPr bwMode="auto">
        <a:xfrm>
          <a:off x="4057463" y="17897687"/>
          <a:ext cx="1421466" cy="24397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87" name="Text Box 89" hidden="1">
          <a:extLst>
            <a:ext uri="{FF2B5EF4-FFF2-40B4-BE49-F238E27FC236}">
              <a16:creationId xmlns:a16="http://schemas.microsoft.com/office/drawing/2014/main" id="{C8B85F2A-2636-4E72-B717-BDBE259E073C}"/>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133275</xdr:colOff>
      <xdr:row>50</xdr:row>
      <xdr:rowOff>65107</xdr:rowOff>
    </xdr:to>
    <xdr:sp macro="" textlink="">
      <xdr:nvSpPr>
        <xdr:cNvPr id="88" name="Text Box 101" hidden="1">
          <a:extLst>
            <a:ext uri="{FF2B5EF4-FFF2-40B4-BE49-F238E27FC236}">
              <a16:creationId xmlns:a16="http://schemas.microsoft.com/office/drawing/2014/main" id="{A9D1EAB9-1C10-4503-999B-EF82411C4EED}"/>
            </a:ext>
          </a:extLst>
        </xdr:cNvPr>
        <xdr:cNvSpPr txBox="1">
          <a:spLocks noChangeArrowheads="1"/>
        </xdr:cNvSpPr>
      </xdr:nvSpPr>
      <xdr:spPr bwMode="auto">
        <a:xfrm>
          <a:off x="4019363" y="9637167"/>
          <a:ext cx="1305037" cy="72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133275</xdr:colOff>
      <xdr:row>51</xdr:row>
      <xdr:rowOff>107254</xdr:rowOff>
    </xdr:to>
    <xdr:sp macro="" textlink="">
      <xdr:nvSpPr>
        <xdr:cNvPr id="89" name="Text Box 102" hidden="1">
          <a:extLst>
            <a:ext uri="{FF2B5EF4-FFF2-40B4-BE49-F238E27FC236}">
              <a16:creationId xmlns:a16="http://schemas.microsoft.com/office/drawing/2014/main" id="{11574304-9B48-41D9-945F-C54D92C581CA}"/>
            </a:ext>
          </a:extLst>
        </xdr:cNvPr>
        <xdr:cNvSpPr txBox="1">
          <a:spLocks noChangeArrowheads="1"/>
        </xdr:cNvSpPr>
      </xdr:nvSpPr>
      <xdr:spPr bwMode="auto">
        <a:xfrm>
          <a:off x="4019363" y="9818143"/>
          <a:ext cx="1305037" cy="7666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172366</xdr:rowOff>
    </xdr:from>
    <xdr:to>
      <xdr:col>5</xdr:col>
      <xdr:colOff>133275</xdr:colOff>
      <xdr:row>54</xdr:row>
      <xdr:rowOff>12595</xdr:rowOff>
    </xdr:to>
    <xdr:sp macro="" textlink="">
      <xdr:nvSpPr>
        <xdr:cNvPr id="90" name="Text Box 103" hidden="1">
          <a:extLst>
            <a:ext uri="{FF2B5EF4-FFF2-40B4-BE49-F238E27FC236}">
              <a16:creationId xmlns:a16="http://schemas.microsoft.com/office/drawing/2014/main" id="{79E97667-EAEE-469F-8A4B-13CEE2FFEF3B}"/>
            </a:ext>
          </a:extLst>
        </xdr:cNvPr>
        <xdr:cNvSpPr txBox="1">
          <a:spLocks noChangeArrowheads="1"/>
        </xdr:cNvSpPr>
      </xdr:nvSpPr>
      <xdr:spPr bwMode="auto">
        <a:xfrm>
          <a:off x="4019363" y="10287916"/>
          <a:ext cx="1305037" cy="7451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133275</xdr:colOff>
      <xdr:row>55</xdr:row>
      <xdr:rowOff>49402</xdr:rowOff>
    </xdr:to>
    <xdr:sp macro="" textlink="">
      <xdr:nvSpPr>
        <xdr:cNvPr id="91" name="Text Box 104" hidden="1">
          <a:extLst>
            <a:ext uri="{FF2B5EF4-FFF2-40B4-BE49-F238E27FC236}">
              <a16:creationId xmlns:a16="http://schemas.microsoft.com/office/drawing/2014/main" id="{8DAF7B69-F0BB-40BC-96FD-E88A3C64C592}"/>
            </a:ext>
          </a:extLst>
        </xdr:cNvPr>
        <xdr:cNvSpPr txBox="1">
          <a:spLocks noChangeArrowheads="1"/>
        </xdr:cNvSpPr>
      </xdr:nvSpPr>
      <xdr:spPr bwMode="auto">
        <a:xfrm>
          <a:off x="4019363" y="10399732"/>
          <a:ext cx="1305037" cy="8510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133275</xdr:colOff>
      <xdr:row>56</xdr:row>
      <xdr:rowOff>97713</xdr:rowOff>
    </xdr:to>
    <xdr:sp macro="" textlink="">
      <xdr:nvSpPr>
        <xdr:cNvPr id="92" name="Text Box 105" hidden="1">
          <a:extLst>
            <a:ext uri="{FF2B5EF4-FFF2-40B4-BE49-F238E27FC236}">
              <a16:creationId xmlns:a16="http://schemas.microsoft.com/office/drawing/2014/main" id="{EC90E7E9-CCAC-4E99-94B6-1371DAC44E52}"/>
            </a:ext>
          </a:extLst>
        </xdr:cNvPr>
        <xdr:cNvSpPr txBox="1">
          <a:spLocks noChangeArrowheads="1"/>
        </xdr:cNvSpPr>
      </xdr:nvSpPr>
      <xdr:spPr bwMode="auto">
        <a:xfrm>
          <a:off x="4019363" y="10647363"/>
          <a:ext cx="1305037" cy="8327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372214</xdr:rowOff>
    </xdr:from>
    <xdr:to>
      <xdr:col>5</xdr:col>
      <xdr:colOff>133275</xdr:colOff>
      <xdr:row>66</xdr:row>
      <xdr:rowOff>162730</xdr:rowOff>
    </xdr:to>
    <xdr:sp macro="" textlink="">
      <xdr:nvSpPr>
        <xdr:cNvPr id="93" name="Text Box 106" hidden="1">
          <a:extLst>
            <a:ext uri="{FF2B5EF4-FFF2-40B4-BE49-F238E27FC236}">
              <a16:creationId xmlns:a16="http://schemas.microsoft.com/office/drawing/2014/main" id="{E5BE96FE-BA41-4932-BA52-DBFEDACE0EEA}"/>
            </a:ext>
          </a:extLst>
        </xdr:cNvPr>
        <xdr:cNvSpPr txBox="1">
          <a:spLocks noChangeArrowheads="1"/>
        </xdr:cNvSpPr>
      </xdr:nvSpPr>
      <xdr:spPr bwMode="auto">
        <a:xfrm>
          <a:off x="4019363" y="14018364"/>
          <a:ext cx="1305037" cy="7557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150643</xdr:rowOff>
    </xdr:from>
    <xdr:to>
      <xdr:col>5</xdr:col>
      <xdr:colOff>133275</xdr:colOff>
      <xdr:row>67</xdr:row>
      <xdr:rowOff>86988</xdr:rowOff>
    </xdr:to>
    <xdr:sp macro="" textlink="">
      <xdr:nvSpPr>
        <xdr:cNvPr id="94" name="Text Box 107" hidden="1">
          <a:extLst>
            <a:ext uri="{FF2B5EF4-FFF2-40B4-BE49-F238E27FC236}">
              <a16:creationId xmlns:a16="http://schemas.microsoft.com/office/drawing/2014/main" id="{638FF9C7-F518-447D-A388-F4E895C81BAB}"/>
            </a:ext>
          </a:extLst>
        </xdr:cNvPr>
        <xdr:cNvSpPr txBox="1">
          <a:spLocks noChangeArrowheads="1"/>
        </xdr:cNvSpPr>
      </xdr:nvSpPr>
      <xdr:spPr bwMode="auto">
        <a:xfrm>
          <a:off x="4019363" y="14193668"/>
          <a:ext cx="1305037" cy="71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12483</xdr:rowOff>
    </xdr:from>
    <xdr:to>
      <xdr:col>5</xdr:col>
      <xdr:colOff>133275</xdr:colOff>
      <xdr:row>68</xdr:row>
      <xdr:rowOff>88326</xdr:rowOff>
    </xdr:to>
    <xdr:sp macro="" textlink="">
      <xdr:nvSpPr>
        <xdr:cNvPr id="95" name="Text Box 108" hidden="1">
          <a:extLst>
            <a:ext uri="{FF2B5EF4-FFF2-40B4-BE49-F238E27FC236}">
              <a16:creationId xmlns:a16="http://schemas.microsoft.com/office/drawing/2014/main" id="{2447C5A3-213A-4682-B356-A9544A2980EE}"/>
            </a:ext>
          </a:extLst>
        </xdr:cNvPr>
        <xdr:cNvSpPr txBox="1">
          <a:spLocks noChangeArrowheads="1"/>
        </xdr:cNvSpPr>
      </xdr:nvSpPr>
      <xdr:spPr bwMode="auto">
        <a:xfrm>
          <a:off x="4019363" y="14258708"/>
          <a:ext cx="1305037" cy="860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94567</xdr:rowOff>
    </xdr:from>
    <xdr:to>
      <xdr:col>5</xdr:col>
      <xdr:colOff>133275</xdr:colOff>
      <xdr:row>69</xdr:row>
      <xdr:rowOff>57248</xdr:rowOff>
    </xdr:to>
    <xdr:sp macro="" textlink="">
      <xdr:nvSpPr>
        <xdr:cNvPr id="96" name="Text Box 109" hidden="1">
          <a:extLst>
            <a:ext uri="{FF2B5EF4-FFF2-40B4-BE49-F238E27FC236}">
              <a16:creationId xmlns:a16="http://schemas.microsoft.com/office/drawing/2014/main" id="{75927C16-FD15-48BD-9157-A702156AA05C}"/>
            </a:ext>
          </a:extLst>
        </xdr:cNvPr>
        <xdr:cNvSpPr txBox="1">
          <a:spLocks noChangeArrowheads="1"/>
        </xdr:cNvSpPr>
      </xdr:nvSpPr>
      <xdr:spPr bwMode="auto">
        <a:xfrm>
          <a:off x="4019363" y="14528117"/>
          <a:ext cx="1305037" cy="765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86896</xdr:rowOff>
    </xdr:from>
    <xdr:to>
      <xdr:col>5</xdr:col>
      <xdr:colOff>133275</xdr:colOff>
      <xdr:row>88</xdr:row>
      <xdr:rowOff>28537</xdr:rowOff>
    </xdr:to>
    <xdr:sp macro="" textlink="">
      <xdr:nvSpPr>
        <xdr:cNvPr id="97" name="Text Box 110" hidden="1">
          <a:extLst>
            <a:ext uri="{FF2B5EF4-FFF2-40B4-BE49-F238E27FC236}">
              <a16:creationId xmlns:a16="http://schemas.microsoft.com/office/drawing/2014/main" id="{5B2967D8-59D3-48D5-9BAB-0877C2553A65}"/>
            </a:ext>
          </a:extLst>
        </xdr:cNvPr>
        <xdr:cNvSpPr txBox="1">
          <a:spLocks noChangeArrowheads="1"/>
        </xdr:cNvSpPr>
      </xdr:nvSpPr>
      <xdr:spPr bwMode="auto">
        <a:xfrm>
          <a:off x="4019363" y="18517771"/>
          <a:ext cx="1305037" cy="6845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140080</xdr:rowOff>
    </xdr:from>
    <xdr:to>
      <xdr:col>5</xdr:col>
      <xdr:colOff>133275</xdr:colOff>
      <xdr:row>89</xdr:row>
      <xdr:rowOff>149644</xdr:rowOff>
    </xdr:to>
    <xdr:sp macro="" textlink="">
      <xdr:nvSpPr>
        <xdr:cNvPr id="98" name="Text Box 111" hidden="1">
          <a:extLst>
            <a:ext uri="{FF2B5EF4-FFF2-40B4-BE49-F238E27FC236}">
              <a16:creationId xmlns:a16="http://schemas.microsoft.com/office/drawing/2014/main" id="{F05812BD-0422-4D02-B4DD-2D850CFF9AF5}"/>
            </a:ext>
          </a:extLst>
        </xdr:cNvPr>
        <xdr:cNvSpPr txBox="1">
          <a:spLocks noChangeArrowheads="1"/>
        </xdr:cNvSpPr>
      </xdr:nvSpPr>
      <xdr:spPr bwMode="auto">
        <a:xfrm>
          <a:off x="4019363" y="18751930"/>
          <a:ext cx="1305037" cy="755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133275</xdr:colOff>
      <xdr:row>91</xdr:row>
      <xdr:rowOff>168309</xdr:rowOff>
    </xdr:to>
    <xdr:sp macro="" textlink="">
      <xdr:nvSpPr>
        <xdr:cNvPr id="99" name="Text Box 112" hidden="1">
          <a:extLst>
            <a:ext uri="{FF2B5EF4-FFF2-40B4-BE49-F238E27FC236}">
              <a16:creationId xmlns:a16="http://schemas.microsoft.com/office/drawing/2014/main" id="{795F3DC1-95FD-4A64-AC08-D38FDED57128}"/>
            </a:ext>
          </a:extLst>
        </xdr:cNvPr>
        <xdr:cNvSpPr txBox="1">
          <a:spLocks noChangeArrowheads="1"/>
        </xdr:cNvSpPr>
      </xdr:nvSpPr>
      <xdr:spPr bwMode="auto">
        <a:xfrm>
          <a:off x="4019363" y="19097689"/>
          <a:ext cx="1305037" cy="7873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00" name="Text Box 125" hidden="1">
          <a:extLst>
            <a:ext uri="{FF2B5EF4-FFF2-40B4-BE49-F238E27FC236}">
              <a16:creationId xmlns:a16="http://schemas.microsoft.com/office/drawing/2014/main" id="{DFAD97C3-0A55-4BC8-BF8D-B3D419C64958}"/>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133275</xdr:colOff>
      <xdr:row>50</xdr:row>
      <xdr:rowOff>65107</xdr:rowOff>
    </xdr:to>
    <xdr:sp macro="" textlink="">
      <xdr:nvSpPr>
        <xdr:cNvPr id="101" name="Text Box 124" hidden="1">
          <a:extLst>
            <a:ext uri="{FF2B5EF4-FFF2-40B4-BE49-F238E27FC236}">
              <a16:creationId xmlns:a16="http://schemas.microsoft.com/office/drawing/2014/main" id="{9FA08CBE-2476-48C9-B143-C74E14919144}"/>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133275</xdr:colOff>
      <xdr:row>51</xdr:row>
      <xdr:rowOff>107254</xdr:rowOff>
    </xdr:to>
    <xdr:sp macro="" textlink="">
      <xdr:nvSpPr>
        <xdr:cNvPr id="102" name="Text Box 123" hidden="1">
          <a:extLst>
            <a:ext uri="{FF2B5EF4-FFF2-40B4-BE49-F238E27FC236}">
              <a16:creationId xmlns:a16="http://schemas.microsoft.com/office/drawing/2014/main" id="{B67BD3A0-0FDE-40C3-9FF6-AE2083E877D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172366</xdr:rowOff>
    </xdr:from>
    <xdr:to>
      <xdr:col>5</xdr:col>
      <xdr:colOff>133275</xdr:colOff>
      <xdr:row>54</xdr:row>
      <xdr:rowOff>12595</xdr:rowOff>
    </xdr:to>
    <xdr:sp macro="" textlink="">
      <xdr:nvSpPr>
        <xdr:cNvPr id="103" name="Text Box 122" hidden="1">
          <a:extLst>
            <a:ext uri="{FF2B5EF4-FFF2-40B4-BE49-F238E27FC236}">
              <a16:creationId xmlns:a16="http://schemas.microsoft.com/office/drawing/2014/main" id="{D4A3DC50-BBA8-4D56-969A-BBF11821C198}"/>
            </a:ext>
          </a:extLst>
        </xdr:cNvPr>
        <xdr:cNvSpPr txBox="1">
          <a:spLocks noChangeArrowheads="1"/>
        </xdr:cNvSpPr>
      </xdr:nvSpPr>
      <xdr:spPr bwMode="auto">
        <a:xfrm>
          <a:off x="4019363" y="10287916"/>
          <a:ext cx="1305037" cy="7451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133275</xdr:colOff>
      <xdr:row>55</xdr:row>
      <xdr:rowOff>49402</xdr:rowOff>
    </xdr:to>
    <xdr:sp macro="" textlink="">
      <xdr:nvSpPr>
        <xdr:cNvPr id="104" name="Text Box 121" hidden="1">
          <a:extLst>
            <a:ext uri="{FF2B5EF4-FFF2-40B4-BE49-F238E27FC236}">
              <a16:creationId xmlns:a16="http://schemas.microsoft.com/office/drawing/2014/main" id="{97FE72FF-1833-47A5-BA25-04F1BB20605D}"/>
            </a:ext>
          </a:extLst>
        </xdr:cNvPr>
        <xdr:cNvSpPr txBox="1">
          <a:spLocks noChangeArrowheads="1"/>
        </xdr:cNvSpPr>
      </xdr:nvSpPr>
      <xdr:spPr bwMode="auto">
        <a:xfrm>
          <a:off x="4019363" y="10399732"/>
          <a:ext cx="1305037" cy="851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133275</xdr:colOff>
      <xdr:row>56</xdr:row>
      <xdr:rowOff>97713</xdr:rowOff>
    </xdr:to>
    <xdr:sp macro="" textlink="">
      <xdr:nvSpPr>
        <xdr:cNvPr id="105" name="Text Box 120" hidden="1">
          <a:extLst>
            <a:ext uri="{FF2B5EF4-FFF2-40B4-BE49-F238E27FC236}">
              <a16:creationId xmlns:a16="http://schemas.microsoft.com/office/drawing/2014/main" id="{4CEA9926-71DE-45BD-A271-85A70058EB41}"/>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372214</xdr:rowOff>
    </xdr:from>
    <xdr:to>
      <xdr:col>5</xdr:col>
      <xdr:colOff>133275</xdr:colOff>
      <xdr:row>66</xdr:row>
      <xdr:rowOff>162730</xdr:rowOff>
    </xdr:to>
    <xdr:sp macro="" textlink="">
      <xdr:nvSpPr>
        <xdr:cNvPr id="106" name="Text Box 119" hidden="1">
          <a:extLst>
            <a:ext uri="{FF2B5EF4-FFF2-40B4-BE49-F238E27FC236}">
              <a16:creationId xmlns:a16="http://schemas.microsoft.com/office/drawing/2014/main" id="{2E3D673D-7D13-4032-BB9A-66724F8482FD}"/>
            </a:ext>
          </a:extLst>
        </xdr:cNvPr>
        <xdr:cNvSpPr txBox="1">
          <a:spLocks noChangeArrowheads="1"/>
        </xdr:cNvSpPr>
      </xdr:nvSpPr>
      <xdr:spPr bwMode="auto">
        <a:xfrm>
          <a:off x="4019363" y="14018364"/>
          <a:ext cx="1305037" cy="7557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150643</xdr:rowOff>
    </xdr:from>
    <xdr:to>
      <xdr:col>5</xdr:col>
      <xdr:colOff>133275</xdr:colOff>
      <xdr:row>67</xdr:row>
      <xdr:rowOff>86988</xdr:rowOff>
    </xdr:to>
    <xdr:sp macro="" textlink="">
      <xdr:nvSpPr>
        <xdr:cNvPr id="107" name="Text Box 118" hidden="1">
          <a:extLst>
            <a:ext uri="{FF2B5EF4-FFF2-40B4-BE49-F238E27FC236}">
              <a16:creationId xmlns:a16="http://schemas.microsoft.com/office/drawing/2014/main" id="{D14D23FF-2FEA-410B-B840-B38F2CE4972C}"/>
            </a:ext>
          </a:extLst>
        </xdr:cNvPr>
        <xdr:cNvSpPr txBox="1">
          <a:spLocks noChangeArrowheads="1"/>
        </xdr:cNvSpPr>
      </xdr:nvSpPr>
      <xdr:spPr bwMode="auto">
        <a:xfrm>
          <a:off x="4019363" y="14193668"/>
          <a:ext cx="1305037" cy="71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12483</xdr:rowOff>
    </xdr:from>
    <xdr:to>
      <xdr:col>5</xdr:col>
      <xdr:colOff>133275</xdr:colOff>
      <xdr:row>68</xdr:row>
      <xdr:rowOff>88326</xdr:rowOff>
    </xdr:to>
    <xdr:sp macro="" textlink="">
      <xdr:nvSpPr>
        <xdr:cNvPr id="108" name="Text Box 117" hidden="1">
          <a:extLst>
            <a:ext uri="{FF2B5EF4-FFF2-40B4-BE49-F238E27FC236}">
              <a16:creationId xmlns:a16="http://schemas.microsoft.com/office/drawing/2014/main" id="{724DF6D6-8B43-4C1C-8C91-1E2C94B96203}"/>
            </a:ext>
          </a:extLst>
        </xdr:cNvPr>
        <xdr:cNvSpPr txBox="1">
          <a:spLocks noChangeArrowheads="1"/>
        </xdr:cNvSpPr>
      </xdr:nvSpPr>
      <xdr:spPr bwMode="auto">
        <a:xfrm>
          <a:off x="4019363" y="14258708"/>
          <a:ext cx="1305037" cy="8600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94567</xdr:rowOff>
    </xdr:from>
    <xdr:to>
      <xdr:col>5</xdr:col>
      <xdr:colOff>133275</xdr:colOff>
      <xdr:row>69</xdr:row>
      <xdr:rowOff>57248</xdr:rowOff>
    </xdr:to>
    <xdr:sp macro="" textlink="">
      <xdr:nvSpPr>
        <xdr:cNvPr id="109" name="Text Box 116" hidden="1">
          <a:extLst>
            <a:ext uri="{FF2B5EF4-FFF2-40B4-BE49-F238E27FC236}">
              <a16:creationId xmlns:a16="http://schemas.microsoft.com/office/drawing/2014/main" id="{8A98F166-E0D9-4533-B6C7-967210870147}"/>
            </a:ext>
          </a:extLst>
        </xdr:cNvPr>
        <xdr:cNvSpPr txBox="1">
          <a:spLocks noChangeArrowheads="1"/>
        </xdr:cNvSpPr>
      </xdr:nvSpPr>
      <xdr:spPr bwMode="auto">
        <a:xfrm>
          <a:off x="4019363" y="14528117"/>
          <a:ext cx="1305037" cy="7659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86896</xdr:rowOff>
    </xdr:from>
    <xdr:to>
      <xdr:col>5</xdr:col>
      <xdr:colOff>133275</xdr:colOff>
      <xdr:row>88</xdr:row>
      <xdr:rowOff>28537</xdr:rowOff>
    </xdr:to>
    <xdr:sp macro="" textlink="">
      <xdr:nvSpPr>
        <xdr:cNvPr id="110" name="Text Box 115" hidden="1">
          <a:extLst>
            <a:ext uri="{FF2B5EF4-FFF2-40B4-BE49-F238E27FC236}">
              <a16:creationId xmlns:a16="http://schemas.microsoft.com/office/drawing/2014/main" id="{DAF57255-CD90-415F-951E-55032F700AA5}"/>
            </a:ext>
          </a:extLst>
        </xdr:cNvPr>
        <xdr:cNvSpPr txBox="1">
          <a:spLocks noChangeArrowheads="1"/>
        </xdr:cNvSpPr>
      </xdr:nvSpPr>
      <xdr:spPr bwMode="auto">
        <a:xfrm>
          <a:off x="4019363" y="18517771"/>
          <a:ext cx="1305037" cy="6845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140080</xdr:rowOff>
    </xdr:from>
    <xdr:to>
      <xdr:col>5</xdr:col>
      <xdr:colOff>133275</xdr:colOff>
      <xdr:row>89</xdr:row>
      <xdr:rowOff>149644</xdr:rowOff>
    </xdr:to>
    <xdr:sp macro="" textlink="">
      <xdr:nvSpPr>
        <xdr:cNvPr id="111" name="Text Box 114" hidden="1">
          <a:extLst>
            <a:ext uri="{FF2B5EF4-FFF2-40B4-BE49-F238E27FC236}">
              <a16:creationId xmlns:a16="http://schemas.microsoft.com/office/drawing/2014/main" id="{3BC62AA2-0EC4-4D2F-958E-7566680EF1E8}"/>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133275</xdr:colOff>
      <xdr:row>91</xdr:row>
      <xdr:rowOff>168309</xdr:rowOff>
    </xdr:to>
    <xdr:sp macro="" textlink="">
      <xdr:nvSpPr>
        <xdr:cNvPr id="112" name="Text Box 113" hidden="1">
          <a:extLst>
            <a:ext uri="{FF2B5EF4-FFF2-40B4-BE49-F238E27FC236}">
              <a16:creationId xmlns:a16="http://schemas.microsoft.com/office/drawing/2014/main" id="{79204D42-DFBB-4B11-A987-18115766FD3A}"/>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13" name="Text Box 138" hidden="1">
          <a:extLst>
            <a:ext uri="{FF2B5EF4-FFF2-40B4-BE49-F238E27FC236}">
              <a16:creationId xmlns:a16="http://schemas.microsoft.com/office/drawing/2014/main" id="{171D37D0-A61A-4781-8D37-A8CD6D1B7C66}"/>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133275</xdr:colOff>
      <xdr:row>50</xdr:row>
      <xdr:rowOff>65107</xdr:rowOff>
    </xdr:to>
    <xdr:sp macro="" textlink="">
      <xdr:nvSpPr>
        <xdr:cNvPr id="114" name="Text Box 137" hidden="1">
          <a:extLst>
            <a:ext uri="{FF2B5EF4-FFF2-40B4-BE49-F238E27FC236}">
              <a16:creationId xmlns:a16="http://schemas.microsoft.com/office/drawing/2014/main" id="{72FEB4E6-4D40-47AD-908E-A1CCB5C3EBEC}"/>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133275</xdr:colOff>
      <xdr:row>51</xdr:row>
      <xdr:rowOff>107254</xdr:rowOff>
    </xdr:to>
    <xdr:sp macro="" textlink="">
      <xdr:nvSpPr>
        <xdr:cNvPr id="115" name="Text Box 136" hidden="1">
          <a:extLst>
            <a:ext uri="{FF2B5EF4-FFF2-40B4-BE49-F238E27FC236}">
              <a16:creationId xmlns:a16="http://schemas.microsoft.com/office/drawing/2014/main" id="{B0CA00E3-16C5-4FD3-8684-D825CDD3317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102006</xdr:rowOff>
    </xdr:from>
    <xdr:to>
      <xdr:col>5</xdr:col>
      <xdr:colOff>133275</xdr:colOff>
      <xdr:row>53</xdr:row>
      <xdr:rowOff>160563</xdr:rowOff>
    </xdr:to>
    <xdr:sp macro="" textlink="">
      <xdr:nvSpPr>
        <xdr:cNvPr id="116" name="Text Box 135" hidden="1">
          <a:extLst>
            <a:ext uri="{FF2B5EF4-FFF2-40B4-BE49-F238E27FC236}">
              <a16:creationId xmlns:a16="http://schemas.microsoft.com/office/drawing/2014/main" id="{61B889AC-5F53-4A03-9BBC-7640D339C7CE}"/>
            </a:ext>
          </a:extLst>
        </xdr:cNvPr>
        <xdr:cNvSpPr txBox="1">
          <a:spLocks noChangeArrowheads="1"/>
        </xdr:cNvSpPr>
      </xdr:nvSpPr>
      <xdr:spPr bwMode="auto">
        <a:xfrm>
          <a:off x="4019363" y="10217556"/>
          <a:ext cx="1305037"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133275</xdr:colOff>
      <xdr:row>55</xdr:row>
      <xdr:rowOff>29293</xdr:rowOff>
    </xdr:to>
    <xdr:sp macro="" textlink="">
      <xdr:nvSpPr>
        <xdr:cNvPr id="117" name="Text Box 134" hidden="1">
          <a:extLst>
            <a:ext uri="{FF2B5EF4-FFF2-40B4-BE49-F238E27FC236}">
              <a16:creationId xmlns:a16="http://schemas.microsoft.com/office/drawing/2014/main" id="{858E0CD9-3EBB-4931-9AD4-9E07FBBDA079}"/>
            </a:ext>
          </a:extLst>
        </xdr:cNvPr>
        <xdr:cNvSpPr txBox="1">
          <a:spLocks noChangeArrowheads="1"/>
        </xdr:cNvSpPr>
      </xdr:nvSpPr>
      <xdr:spPr bwMode="auto">
        <a:xfrm>
          <a:off x="4019363" y="10399732"/>
          <a:ext cx="1305037"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133275</xdr:colOff>
      <xdr:row>56</xdr:row>
      <xdr:rowOff>97713</xdr:rowOff>
    </xdr:to>
    <xdr:sp macro="" textlink="">
      <xdr:nvSpPr>
        <xdr:cNvPr id="118" name="Text Box 133" hidden="1">
          <a:extLst>
            <a:ext uri="{FF2B5EF4-FFF2-40B4-BE49-F238E27FC236}">
              <a16:creationId xmlns:a16="http://schemas.microsoft.com/office/drawing/2014/main" id="{67498FCD-0728-4EA3-860B-E9B60FDE82AB}"/>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326297</xdr:rowOff>
    </xdr:from>
    <xdr:to>
      <xdr:col>5</xdr:col>
      <xdr:colOff>133275</xdr:colOff>
      <xdr:row>66</xdr:row>
      <xdr:rowOff>162730</xdr:rowOff>
    </xdr:to>
    <xdr:sp macro="" textlink="">
      <xdr:nvSpPr>
        <xdr:cNvPr id="119" name="Text Box 132" hidden="1">
          <a:extLst>
            <a:ext uri="{FF2B5EF4-FFF2-40B4-BE49-F238E27FC236}">
              <a16:creationId xmlns:a16="http://schemas.microsoft.com/office/drawing/2014/main" id="{13EA30DA-2D40-4E79-9E5E-3471FF0BD58E}"/>
            </a:ext>
          </a:extLst>
        </xdr:cNvPr>
        <xdr:cNvSpPr txBox="1">
          <a:spLocks noChangeArrowheads="1"/>
        </xdr:cNvSpPr>
      </xdr:nvSpPr>
      <xdr:spPr bwMode="auto">
        <a:xfrm>
          <a:off x="4019363" y="13975622"/>
          <a:ext cx="1305037"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95375</xdr:rowOff>
    </xdr:from>
    <xdr:to>
      <xdr:col>5</xdr:col>
      <xdr:colOff>133275</xdr:colOff>
      <xdr:row>67</xdr:row>
      <xdr:rowOff>86988</xdr:rowOff>
    </xdr:to>
    <xdr:sp macro="" textlink="">
      <xdr:nvSpPr>
        <xdr:cNvPr id="120" name="Text Box 131" hidden="1">
          <a:extLst>
            <a:ext uri="{FF2B5EF4-FFF2-40B4-BE49-F238E27FC236}">
              <a16:creationId xmlns:a16="http://schemas.microsoft.com/office/drawing/2014/main" id="{27B951BC-61C5-4108-ABCD-4373A3D02129}"/>
            </a:ext>
          </a:extLst>
        </xdr:cNvPr>
        <xdr:cNvSpPr txBox="1">
          <a:spLocks noChangeArrowheads="1"/>
        </xdr:cNvSpPr>
      </xdr:nvSpPr>
      <xdr:spPr bwMode="auto">
        <a:xfrm>
          <a:off x="4019363" y="14132050"/>
          <a:ext cx="1305037"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46707</xdr:rowOff>
    </xdr:from>
    <xdr:to>
      <xdr:col>5</xdr:col>
      <xdr:colOff>133275</xdr:colOff>
      <xdr:row>68</xdr:row>
      <xdr:rowOff>88326</xdr:rowOff>
    </xdr:to>
    <xdr:sp macro="" textlink="">
      <xdr:nvSpPr>
        <xdr:cNvPr id="121" name="Text Box 130" hidden="1">
          <a:extLst>
            <a:ext uri="{FF2B5EF4-FFF2-40B4-BE49-F238E27FC236}">
              <a16:creationId xmlns:a16="http://schemas.microsoft.com/office/drawing/2014/main" id="{4977B72D-FA65-4EB5-BFFF-C11AE5A9C727}"/>
            </a:ext>
          </a:extLst>
        </xdr:cNvPr>
        <xdr:cNvSpPr txBox="1">
          <a:spLocks noChangeArrowheads="1"/>
        </xdr:cNvSpPr>
      </xdr:nvSpPr>
      <xdr:spPr bwMode="auto">
        <a:xfrm>
          <a:off x="4019363" y="14296107"/>
          <a:ext cx="1305037"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75517</xdr:rowOff>
    </xdr:from>
    <xdr:to>
      <xdr:col>5</xdr:col>
      <xdr:colOff>133275</xdr:colOff>
      <xdr:row>69</xdr:row>
      <xdr:rowOff>57248</xdr:rowOff>
    </xdr:to>
    <xdr:sp macro="" textlink="">
      <xdr:nvSpPr>
        <xdr:cNvPr id="122" name="Text Box 129" hidden="1">
          <a:extLst>
            <a:ext uri="{FF2B5EF4-FFF2-40B4-BE49-F238E27FC236}">
              <a16:creationId xmlns:a16="http://schemas.microsoft.com/office/drawing/2014/main" id="{10A9E82F-6774-4259-8166-94C790A7D4E9}"/>
            </a:ext>
          </a:extLst>
        </xdr:cNvPr>
        <xdr:cNvSpPr txBox="1">
          <a:spLocks noChangeArrowheads="1"/>
        </xdr:cNvSpPr>
      </xdr:nvSpPr>
      <xdr:spPr bwMode="auto">
        <a:xfrm>
          <a:off x="4019363" y="14509067"/>
          <a:ext cx="1305037"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144767</xdr:rowOff>
    </xdr:from>
    <xdr:to>
      <xdr:col>5</xdr:col>
      <xdr:colOff>133275</xdr:colOff>
      <xdr:row>88</xdr:row>
      <xdr:rowOff>28537</xdr:rowOff>
    </xdr:to>
    <xdr:sp macro="" textlink="">
      <xdr:nvSpPr>
        <xdr:cNvPr id="123" name="Text Box 128" hidden="1">
          <a:extLst>
            <a:ext uri="{FF2B5EF4-FFF2-40B4-BE49-F238E27FC236}">
              <a16:creationId xmlns:a16="http://schemas.microsoft.com/office/drawing/2014/main" id="{9D89521B-E71C-4B4B-9F69-DE5908A57B85}"/>
            </a:ext>
          </a:extLst>
        </xdr:cNvPr>
        <xdr:cNvSpPr txBox="1">
          <a:spLocks noChangeArrowheads="1"/>
        </xdr:cNvSpPr>
      </xdr:nvSpPr>
      <xdr:spPr bwMode="auto">
        <a:xfrm>
          <a:off x="4019363" y="18394667"/>
          <a:ext cx="1305037"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140080</xdr:rowOff>
    </xdr:from>
    <xdr:to>
      <xdr:col>5</xdr:col>
      <xdr:colOff>133275</xdr:colOff>
      <xdr:row>89</xdr:row>
      <xdr:rowOff>149644</xdr:rowOff>
    </xdr:to>
    <xdr:sp macro="" textlink="">
      <xdr:nvSpPr>
        <xdr:cNvPr id="124" name="Text Box 127" hidden="1">
          <a:extLst>
            <a:ext uri="{FF2B5EF4-FFF2-40B4-BE49-F238E27FC236}">
              <a16:creationId xmlns:a16="http://schemas.microsoft.com/office/drawing/2014/main" id="{CD14F579-A162-4A4A-8385-0DD77994A9D4}"/>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133275</xdr:colOff>
      <xdr:row>91</xdr:row>
      <xdr:rowOff>168309</xdr:rowOff>
    </xdr:to>
    <xdr:sp macro="" textlink="">
      <xdr:nvSpPr>
        <xdr:cNvPr id="125" name="Text Box 126" hidden="1">
          <a:extLst>
            <a:ext uri="{FF2B5EF4-FFF2-40B4-BE49-F238E27FC236}">
              <a16:creationId xmlns:a16="http://schemas.microsoft.com/office/drawing/2014/main" id="{054A8E7F-CAC2-4046-983A-B166CBDFC4BE}"/>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26" name="Text Box 151" hidden="1">
          <a:extLst>
            <a:ext uri="{FF2B5EF4-FFF2-40B4-BE49-F238E27FC236}">
              <a16:creationId xmlns:a16="http://schemas.microsoft.com/office/drawing/2014/main" id="{C63C219E-577B-4EFB-A382-1C72884A4762}"/>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102160</xdr:colOff>
      <xdr:row>50</xdr:row>
      <xdr:rowOff>65107</xdr:rowOff>
    </xdr:to>
    <xdr:sp macro="" textlink="">
      <xdr:nvSpPr>
        <xdr:cNvPr id="127" name="Text Box 150" hidden="1">
          <a:extLst>
            <a:ext uri="{FF2B5EF4-FFF2-40B4-BE49-F238E27FC236}">
              <a16:creationId xmlns:a16="http://schemas.microsoft.com/office/drawing/2014/main" id="{51C9E92E-03EE-44B6-9ED1-68B40013AB8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102160</xdr:colOff>
      <xdr:row>51</xdr:row>
      <xdr:rowOff>107254</xdr:rowOff>
    </xdr:to>
    <xdr:sp macro="" textlink="">
      <xdr:nvSpPr>
        <xdr:cNvPr id="128" name="Text Box 149" hidden="1">
          <a:extLst>
            <a:ext uri="{FF2B5EF4-FFF2-40B4-BE49-F238E27FC236}">
              <a16:creationId xmlns:a16="http://schemas.microsoft.com/office/drawing/2014/main" id="{1D5E3B15-0EAE-4656-AF5B-36FCA3362FF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102006</xdr:rowOff>
    </xdr:from>
    <xdr:to>
      <xdr:col>5</xdr:col>
      <xdr:colOff>102160</xdr:colOff>
      <xdr:row>53</xdr:row>
      <xdr:rowOff>160563</xdr:rowOff>
    </xdr:to>
    <xdr:sp macro="" textlink="">
      <xdr:nvSpPr>
        <xdr:cNvPr id="129" name="Text Box 148" hidden="1">
          <a:extLst>
            <a:ext uri="{FF2B5EF4-FFF2-40B4-BE49-F238E27FC236}">
              <a16:creationId xmlns:a16="http://schemas.microsoft.com/office/drawing/2014/main" id="{5E7F6F63-4B25-4C60-B516-73A55A0D0C1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102160</xdr:colOff>
      <xdr:row>55</xdr:row>
      <xdr:rowOff>29293</xdr:rowOff>
    </xdr:to>
    <xdr:sp macro="" textlink="">
      <xdr:nvSpPr>
        <xdr:cNvPr id="130" name="Text Box 147" hidden="1">
          <a:extLst>
            <a:ext uri="{FF2B5EF4-FFF2-40B4-BE49-F238E27FC236}">
              <a16:creationId xmlns:a16="http://schemas.microsoft.com/office/drawing/2014/main" id="{77AE57A3-0289-4908-A2BC-33BC6ED8248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102160</xdr:colOff>
      <xdr:row>56</xdr:row>
      <xdr:rowOff>97713</xdr:rowOff>
    </xdr:to>
    <xdr:sp macro="" textlink="">
      <xdr:nvSpPr>
        <xdr:cNvPr id="131" name="Text Box 146" hidden="1">
          <a:extLst>
            <a:ext uri="{FF2B5EF4-FFF2-40B4-BE49-F238E27FC236}">
              <a16:creationId xmlns:a16="http://schemas.microsoft.com/office/drawing/2014/main" id="{53495883-9B1D-46A0-B992-E1A40DD50716}"/>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326297</xdr:rowOff>
    </xdr:from>
    <xdr:to>
      <xdr:col>5</xdr:col>
      <xdr:colOff>102160</xdr:colOff>
      <xdr:row>66</xdr:row>
      <xdr:rowOff>162730</xdr:rowOff>
    </xdr:to>
    <xdr:sp macro="" textlink="">
      <xdr:nvSpPr>
        <xdr:cNvPr id="132" name="Text Box 145" hidden="1">
          <a:extLst>
            <a:ext uri="{FF2B5EF4-FFF2-40B4-BE49-F238E27FC236}">
              <a16:creationId xmlns:a16="http://schemas.microsoft.com/office/drawing/2014/main" id="{5822BB5C-9C45-4490-9D7E-8C65A58DD385}"/>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95375</xdr:rowOff>
    </xdr:from>
    <xdr:to>
      <xdr:col>5</xdr:col>
      <xdr:colOff>102160</xdr:colOff>
      <xdr:row>67</xdr:row>
      <xdr:rowOff>86988</xdr:rowOff>
    </xdr:to>
    <xdr:sp macro="" textlink="">
      <xdr:nvSpPr>
        <xdr:cNvPr id="133" name="Text Box 144" hidden="1">
          <a:extLst>
            <a:ext uri="{FF2B5EF4-FFF2-40B4-BE49-F238E27FC236}">
              <a16:creationId xmlns:a16="http://schemas.microsoft.com/office/drawing/2014/main" id="{D8B8D35D-5A56-4074-900E-3FD76673E6AE}"/>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46707</xdr:rowOff>
    </xdr:from>
    <xdr:to>
      <xdr:col>5</xdr:col>
      <xdr:colOff>102160</xdr:colOff>
      <xdr:row>68</xdr:row>
      <xdr:rowOff>88326</xdr:rowOff>
    </xdr:to>
    <xdr:sp macro="" textlink="">
      <xdr:nvSpPr>
        <xdr:cNvPr id="134" name="Text Box 143" hidden="1">
          <a:extLst>
            <a:ext uri="{FF2B5EF4-FFF2-40B4-BE49-F238E27FC236}">
              <a16:creationId xmlns:a16="http://schemas.microsoft.com/office/drawing/2014/main" id="{BDF596D3-A8A3-4AF8-9FD8-584B7A90AFBB}"/>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75517</xdr:rowOff>
    </xdr:from>
    <xdr:to>
      <xdr:col>5</xdr:col>
      <xdr:colOff>102160</xdr:colOff>
      <xdr:row>69</xdr:row>
      <xdr:rowOff>57248</xdr:rowOff>
    </xdr:to>
    <xdr:sp macro="" textlink="">
      <xdr:nvSpPr>
        <xdr:cNvPr id="135" name="Text Box 142" hidden="1">
          <a:extLst>
            <a:ext uri="{FF2B5EF4-FFF2-40B4-BE49-F238E27FC236}">
              <a16:creationId xmlns:a16="http://schemas.microsoft.com/office/drawing/2014/main" id="{3C71087C-C80E-4C7C-A423-542FC273448E}"/>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144767</xdr:rowOff>
    </xdr:from>
    <xdr:to>
      <xdr:col>5</xdr:col>
      <xdr:colOff>102160</xdr:colOff>
      <xdr:row>88</xdr:row>
      <xdr:rowOff>28537</xdr:rowOff>
    </xdr:to>
    <xdr:sp macro="" textlink="">
      <xdr:nvSpPr>
        <xdr:cNvPr id="136" name="Text Box 141" hidden="1">
          <a:extLst>
            <a:ext uri="{FF2B5EF4-FFF2-40B4-BE49-F238E27FC236}">
              <a16:creationId xmlns:a16="http://schemas.microsoft.com/office/drawing/2014/main" id="{73F2E4D4-3EF1-446C-B91F-612B63CF33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140080</xdr:rowOff>
    </xdr:from>
    <xdr:to>
      <xdr:col>5</xdr:col>
      <xdr:colOff>102160</xdr:colOff>
      <xdr:row>89</xdr:row>
      <xdr:rowOff>149644</xdr:rowOff>
    </xdr:to>
    <xdr:sp macro="" textlink="">
      <xdr:nvSpPr>
        <xdr:cNvPr id="137" name="Text Box 140" hidden="1">
          <a:extLst>
            <a:ext uri="{FF2B5EF4-FFF2-40B4-BE49-F238E27FC236}">
              <a16:creationId xmlns:a16="http://schemas.microsoft.com/office/drawing/2014/main" id="{C5D5227A-6896-47CC-BCF2-716C5B0892DE}"/>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102160</xdr:colOff>
      <xdr:row>91</xdr:row>
      <xdr:rowOff>168309</xdr:rowOff>
    </xdr:to>
    <xdr:sp macro="" textlink="">
      <xdr:nvSpPr>
        <xdr:cNvPr id="138" name="Text Box 139" hidden="1">
          <a:extLst>
            <a:ext uri="{FF2B5EF4-FFF2-40B4-BE49-F238E27FC236}">
              <a16:creationId xmlns:a16="http://schemas.microsoft.com/office/drawing/2014/main" id="{331188C2-4E7D-4B96-AF2A-997846996E1B}"/>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39" name="Text Box 164" hidden="1">
          <a:extLst>
            <a:ext uri="{FF2B5EF4-FFF2-40B4-BE49-F238E27FC236}">
              <a16:creationId xmlns:a16="http://schemas.microsoft.com/office/drawing/2014/main" id="{0A02D194-8CC6-45DD-8EFD-79979CA4276B}"/>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102160</xdr:colOff>
      <xdr:row>50</xdr:row>
      <xdr:rowOff>65107</xdr:rowOff>
    </xdr:to>
    <xdr:sp macro="" textlink="">
      <xdr:nvSpPr>
        <xdr:cNvPr id="140" name="Text Box 163" hidden="1">
          <a:extLst>
            <a:ext uri="{FF2B5EF4-FFF2-40B4-BE49-F238E27FC236}">
              <a16:creationId xmlns:a16="http://schemas.microsoft.com/office/drawing/2014/main" id="{10D660CB-CFAE-4A3E-BEBD-845C7DBE8EB4}"/>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102160</xdr:colOff>
      <xdr:row>51</xdr:row>
      <xdr:rowOff>107254</xdr:rowOff>
    </xdr:to>
    <xdr:sp macro="" textlink="">
      <xdr:nvSpPr>
        <xdr:cNvPr id="141" name="Text Box 162" hidden="1">
          <a:extLst>
            <a:ext uri="{FF2B5EF4-FFF2-40B4-BE49-F238E27FC236}">
              <a16:creationId xmlns:a16="http://schemas.microsoft.com/office/drawing/2014/main" id="{A421CA90-5322-43F2-AC6A-8A698573691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102006</xdr:rowOff>
    </xdr:from>
    <xdr:to>
      <xdr:col>5</xdr:col>
      <xdr:colOff>102160</xdr:colOff>
      <xdr:row>53</xdr:row>
      <xdr:rowOff>160563</xdr:rowOff>
    </xdr:to>
    <xdr:sp macro="" textlink="">
      <xdr:nvSpPr>
        <xdr:cNvPr id="142" name="Text Box 161" hidden="1">
          <a:extLst>
            <a:ext uri="{FF2B5EF4-FFF2-40B4-BE49-F238E27FC236}">
              <a16:creationId xmlns:a16="http://schemas.microsoft.com/office/drawing/2014/main" id="{CD990444-0378-426E-B008-9D79B5DB05CB}"/>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102160</xdr:colOff>
      <xdr:row>55</xdr:row>
      <xdr:rowOff>29293</xdr:rowOff>
    </xdr:to>
    <xdr:sp macro="" textlink="">
      <xdr:nvSpPr>
        <xdr:cNvPr id="143" name="Text Box 160" hidden="1">
          <a:extLst>
            <a:ext uri="{FF2B5EF4-FFF2-40B4-BE49-F238E27FC236}">
              <a16:creationId xmlns:a16="http://schemas.microsoft.com/office/drawing/2014/main" id="{071A07AA-A27C-4B85-A81F-644B46FFFF5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102160</xdr:colOff>
      <xdr:row>56</xdr:row>
      <xdr:rowOff>97713</xdr:rowOff>
    </xdr:to>
    <xdr:sp macro="" textlink="">
      <xdr:nvSpPr>
        <xdr:cNvPr id="144" name="Text Box 159" hidden="1">
          <a:extLst>
            <a:ext uri="{FF2B5EF4-FFF2-40B4-BE49-F238E27FC236}">
              <a16:creationId xmlns:a16="http://schemas.microsoft.com/office/drawing/2014/main" id="{6699164A-E967-4CD8-800B-83EBB37A4550}"/>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326297</xdr:rowOff>
    </xdr:from>
    <xdr:to>
      <xdr:col>5</xdr:col>
      <xdr:colOff>102160</xdr:colOff>
      <xdr:row>66</xdr:row>
      <xdr:rowOff>162730</xdr:rowOff>
    </xdr:to>
    <xdr:sp macro="" textlink="">
      <xdr:nvSpPr>
        <xdr:cNvPr id="145" name="Text Box 158" hidden="1">
          <a:extLst>
            <a:ext uri="{FF2B5EF4-FFF2-40B4-BE49-F238E27FC236}">
              <a16:creationId xmlns:a16="http://schemas.microsoft.com/office/drawing/2014/main" id="{C6C30BA8-EAF9-4360-9F33-ADDB2FE10C7F}"/>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95375</xdr:rowOff>
    </xdr:from>
    <xdr:to>
      <xdr:col>5</xdr:col>
      <xdr:colOff>102160</xdr:colOff>
      <xdr:row>67</xdr:row>
      <xdr:rowOff>86988</xdr:rowOff>
    </xdr:to>
    <xdr:sp macro="" textlink="">
      <xdr:nvSpPr>
        <xdr:cNvPr id="146" name="Text Box 157" hidden="1">
          <a:extLst>
            <a:ext uri="{FF2B5EF4-FFF2-40B4-BE49-F238E27FC236}">
              <a16:creationId xmlns:a16="http://schemas.microsoft.com/office/drawing/2014/main" id="{F4949CF8-BF1B-468A-831F-7337A52C747B}"/>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46707</xdr:rowOff>
    </xdr:from>
    <xdr:to>
      <xdr:col>5</xdr:col>
      <xdr:colOff>102160</xdr:colOff>
      <xdr:row>68</xdr:row>
      <xdr:rowOff>88326</xdr:rowOff>
    </xdr:to>
    <xdr:sp macro="" textlink="">
      <xdr:nvSpPr>
        <xdr:cNvPr id="147" name="Text Box 156" hidden="1">
          <a:extLst>
            <a:ext uri="{FF2B5EF4-FFF2-40B4-BE49-F238E27FC236}">
              <a16:creationId xmlns:a16="http://schemas.microsoft.com/office/drawing/2014/main" id="{CAA07CA0-3BF7-4453-8609-EFF1816F069E}"/>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75517</xdr:rowOff>
    </xdr:from>
    <xdr:to>
      <xdr:col>5</xdr:col>
      <xdr:colOff>102160</xdr:colOff>
      <xdr:row>69</xdr:row>
      <xdr:rowOff>57248</xdr:rowOff>
    </xdr:to>
    <xdr:sp macro="" textlink="">
      <xdr:nvSpPr>
        <xdr:cNvPr id="148" name="Text Box 155" hidden="1">
          <a:extLst>
            <a:ext uri="{FF2B5EF4-FFF2-40B4-BE49-F238E27FC236}">
              <a16:creationId xmlns:a16="http://schemas.microsoft.com/office/drawing/2014/main" id="{C88373AF-E034-43FB-B9B0-71EED56075FD}"/>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144767</xdr:rowOff>
    </xdr:from>
    <xdr:to>
      <xdr:col>5</xdr:col>
      <xdr:colOff>102160</xdr:colOff>
      <xdr:row>88</xdr:row>
      <xdr:rowOff>28537</xdr:rowOff>
    </xdr:to>
    <xdr:sp macro="" textlink="">
      <xdr:nvSpPr>
        <xdr:cNvPr id="149" name="Text Box 154" hidden="1">
          <a:extLst>
            <a:ext uri="{FF2B5EF4-FFF2-40B4-BE49-F238E27FC236}">
              <a16:creationId xmlns:a16="http://schemas.microsoft.com/office/drawing/2014/main" id="{E75D8161-7D15-4004-8AAB-0556674E4C83}"/>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140080</xdr:rowOff>
    </xdr:from>
    <xdr:to>
      <xdr:col>5</xdr:col>
      <xdr:colOff>102160</xdr:colOff>
      <xdr:row>89</xdr:row>
      <xdr:rowOff>149644</xdr:rowOff>
    </xdr:to>
    <xdr:sp macro="" textlink="">
      <xdr:nvSpPr>
        <xdr:cNvPr id="150" name="Text Box 153" hidden="1">
          <a:extLst>
            <a:ext uri="{FF2B5EF4-FFF2-40B4-BE49-F238E27FC236}">
              <a16:creationId xmlns:a16="http://schemas.microsoft.com/office/drawing/2014/main" id="{162DE2F9-93C6-464F-9C81-CA090123992C}"/>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102160</xdr:colOff>
      <xdr:row>91</xdr:row>
      <xdr:rowOff>168309</xdr:rowOff>
    </xdr:to>
    <xdr:sp macro="" textlink="">
      <xdr:nvSpPr>
        <xdr:cNvPr id="151" name="Text Box 152" hidden="1">
          <a:extLst>
            <a:ext uri="{FF2B5EF4-FFF2-40B4-BE49-F238E27FC236}">
              <a16:creationId xmlns:a16="http://schemas.microsoft.com/office/drawing/2014/main" id="{653CC3A7-8753-46A1-ACC2-BEF133208C6F}"/>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152" name="Text Box 177" hidden="1">
          <a:extLst>
            <a:ext uri="{FF2B5EF4-FFF2-40B4-BE49-F238E27FC236}">
              <a16:creationId xmlns:a16="http://schemas.microsoft.com/office/drawing/2014/main" id="{67DB1AC2-1EFF-47F6-AA05-9EE21666FEB0}"/>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102160</xdr:colOff>
      <xdr:row>50</xdr:row>
      <xdr:rowOff>65107</xdr:rowOff>
    </xdr:to>
    <xdr:sp macro="" textlink="">
      <xdr:nvSpPr>
        <xdr:cNvPr id="153" name="Text Box 176" hidden="1">
          <a:extLst>
            <a:ext uri="{FF2B5EF4-FFF2-40B4-BE49-F238E27FC236}">
              <a16:creationId xmlns:a16="http://schemas.microsoft.com/office/drawing/2014/main" id="{360AFB38-1623-406E-B276-7D11C0CFC2D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102160</xdr:colOff>
      <xdr:row>51</xdr:row>
      <xdr:rowOff>107254</xdr:rowOff>
    </xdr:to>
    <xdr:sp macro="" textlink="">
      <xdr:nvSpPr>
        <xdr:cNvPr id="154" name="Text Box 175" hidden="1">
          <a:extLst>
            <a:ext uri="{FF2B5EF4-FFF2-40B4-BE49-F238E27FC236}">
              <a16:creationId xmlns:a16="http://schemas.microsoft.com/office/drawing/2014/main" id="{2DD5BE00-56FB-496D-9CF5-B72D9D5F8E43}"/>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102006</xdr:rowOff>
    </xdr:from>
    <xdr:to>
      <xdr:col>5</xdr:col>
      <xdr:colOff>102160</xdr:colOff>
      <xdr:row>53</xdr:row>
      <xdr:rowOff>160563</xdr:rowOff>
    </xdr:to>
    <xdr:sp macro="" textlink="">
      <xdr:nvSpPr>
        <xdr:cNvPr id="155" name="Text Box 174" hidden="1">
          <a:extLst>
            <a:ext uri="{FF2B5EF4-FFF2-40B4-BE49-F238E27FC236}">
              <a16:creationId xmlns:a16="http://schemas.microsoft.com/office/drawing/2014/main" id="{5E604E83-2320-48FB-AA26-9A27AA142A4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102160</xdr:colOff>
      <xdr:row>55</xdr:row>
      <xdr:rowOff>29293</xdr:rowOff>
    </xdr:to>
    <xdr:sp macro="" textlink="">
      <xdr:nvSpPr>
        <xdr:cNvPr id="156" name="Text Box 173" hidden="1">
          <a:extLst>
            <a:ext uri="{FF2B5EF4-FFF2-40B4-BE49-F238E27FC236}">
              <a16:creationId xmlns:a16="http://schemas.microsoft.com/office/drawing/2014/main" id="{6ED8DF1D-3E15-4BD4-ADD7-0CF307588F1D}"/>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173038</xdr:rowOff>
    </xdr:from>
    <xdr:to>
      <xdr:col>5</xdr:col>
      <xdr:colOff>102160</xdr:colOff>
      <xdr:row>56</xdr:row>
      <xdr:rowOff>97713</xdr:rowOff>
    </xdr:to>
    <xdr:sp macro="" textlink="">
      <xdr:nvSpPr>
        <xdr:cNvPr id="157" name="Text Box 172" hidden="1">
          <a:extLst>
            <a:ext uri="{FF2B5EF4-FFF2-40B4-BE49-F238E27FC236}">
              <a16:creationId xmlns:a16="http://schemas.microsoft.com/office/drawing/2014/main" id="{C3F443BB-A32B-423C-8165-EFD749041FC3}"/>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326297</xdr:rowOff>
    </xdr:from>
    <xdr:to>
      <xdr:col>5</xdr:col>
      <xdr:colOff>102160</xdr:colOff>
      <xdr:row>66</xdr:row>
      <xdr:rowOff>162730</xdr:rowOff>
    </xdr:to>
    <xdr:sp macro="" textlink="">
      <xdr:nvSpPr>
        <xdr:cNvPr id="158" name="Text Box 171" hidden="1">
          <a:extLst>
            <a:ext uri="{FF2B5EF4-FFF2-40B4-BE49-F238E27FC236}">
              <a16:creationId xmlns:a16="http://schemas.microsoft.com/office/drawing/2014/main" id="{4CC44A99-5A25-470E-80A3-66331408CDEC}"/>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95375</xdr:rowOff>
    </xdr:from>
    <xdr:to>
      <xdr:col>5</xdr:col>
      <xdr:colOff>102160</xdr:colOff>
      <xdr:row>67</xdr:row>
      <xdr:rowOff>86988</xdr:rowOff>
    </xdr:to>
    <xdr:sp macro="" textlink="">
      <xdr:nvSpPr>
        <xdr:cNvPr id="159" name="Text Box 170" hidden="1">
          <a:extLst>
            <a:ext uri="{FF2B5EF4-FFF2-40B4-BE49-F238E27FC236}">
              <a16:creationId xmlns:a16="http://schemas.microsoft.com/office/drawing/2014/main" id="{83D698AE-60FF-48BD-BD8D-8FA0D9F17520}"/>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46707</xdr:rowOff>
    </xdr:from>
    <xdr:to>
      <xdr:col>5</xdr:col>
      <xdr:colOff>102160</xdr:colOff>
      <xdr:row>68</xdr:row>
      <xdr:rowOff>88326</xdr:rowOff>
    </xdr:to>
    <xdr:sp macro="" textlink="">
      <xdr:nvSpPr>
        <xdr:cNvPr id="160" name="Text Box 169" hidden="1">
          <a:extLst>
            <a:ext uri="{FF2B5EF4-FFF2-40B4-BE49-F238E27FC236}">
              <a16:creationId xmlns:a16="http://schemas.microsoft.com/office/drawing/2014/main" id="{8A56D607-A0E4-47F5-8D0D-C098030B4B0C}"/>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75517</xdr:rowOff>
    </xdr:from>
    <xdr:to>
      <xdr:col>5</xdr:col>
      <xdr:colOff>102160</xdr:colOff>
      <xdr:row>69</xdr:row>
      <xdr:rowOff>57248</xdr:rowOff>
    </xdr:to>
    <xdr:sp macro="" textlink="">
      <xdr:nvSpPr>
        <xdr:cNvPr id="161" name="Text Box 168" hidden="1">
          <a:extLst>
            <a:ext uri="{FF2B5EF4-FFF2-40B4-BE49-F238E27FC236}">
              <a16:creationId xmlns:a16="http://schemas.microsoft.com/office/drawing/2014/main" id="{59080609-B6C0-4CD6-9F71-863901C9E012}"/>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144767</xdr:rowOff>
    </xdr:from>
    <xdr:to>
      <xdr:col>5</xdr:col>
      <xdr:colOff>102160</xdr:colOff>
      <xdr:row>88</xdr:row>
      <xdr:rowOff>28537</xdr:rowOff>
    </xdr:to>
    <xdr:sp macro="" textlink="">
      <xdr:nvSpPr>
        <xdr:cNvPr id="162" name="Text Box 167" hidden="1">
          <a:extLst>
            <a:ext uri="{FF2B5EF4-FFF2-40B4-BE49-F238E27FC236}">
              <a16:creationId xmlns:a16="http://schemas.microsoft.com/office/drawing/2014/main" id="{7C1580D9-607C-4A30-B351-512C4D5DCA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86</xdr:row>
      <xdr:rowOff>140080</xdr:rowOff>
    </xdr:from>
    <xdr:to>
      <xdr:col>5</xdr:col>
      <xdr:colOff>102160</xdr:colOff>
      <xdr:row>89</xdr:row>
      <xdr:rowOff>149644</xdr:rowOff>
    </xdr:to>
    <xdr:sp macro="" textlink="">
      <xdr:nvSpPr>
        <xdr:cNvPr id="163" name="Text Box 166" hidden="1">
          <a:extLst>
            <a:ext uri="{FF2B5EF4-FFF2-40B4-BE49-F238E27FC236}">
              <a16:creationId xmlns:a16="http://schemas.microsoft.com/office/drawing/2014/main" id="{B49579CD-21F7-49CB-9B04-310B65B68FAF}"/>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102160</xdr:colOff>
      <xdr:row>91</xdr:row>
      <xdr:rowOff>168309</xdr:rowOff>
    </xdr:to>
    <xdr:sp macro="" textlink="">
      <xdr:nvSpPr>
        <xdr:cNvPr id="164" name="Text Box 165" hidden="1">
          <a:extLst>
            <a:ext uri="{FF2B5EF4-FFF2-40B4-BE49-F238E27FC236}">
              <a16:creationId xmlns:a16="http://schemas.microsoft.com/office/drawing/2014/main" id="{C646BE18-CBD8-4EA9-81ED-7D52D16FB1E8}"/>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85</xdr:row>
      <xdr:rowOff>124638</xdr:rowOff>
    </xdr:from>
    <xdr:to>
      <xdr:col>5</xdr:col>
      <xdr:colOff>287804</xdr:colOff>
      <xdr:row>97</xdr:row>
      <xdr:rowOff>103561</xdr:rowOff>
    </xdr:to>
    <xdr:sp macro="" textlink="">
      <xdr:nvSpPr>
        <xdr:cNvPr id="165" name="Text Box 190" hidden="1">
          <a:extLst>
            <a:ext uri="{FF2B5EF4-FFF2-40B4-BE49-F238E27FC236}">
              <a16:creationId xmlns:a16="http://schemas.microsoft.com/office/drawing/2014/main" id="{E0769B8F-FDAA-4556-8E30-0DDECA26C1E2}"/>
            </a:ext>
          </a:extLst>
        </xdr:cNvPr>
        <xdr:cNvSpPr txBox="1">
          <a:spLocks noChangeArrowheads="1"/>
        </xdr:cNvSpPr>
      </xdr:nvSpPr>
      <xdr:spPr bwMode="auto">
        <a:xfrm>
          <a:off x="4057463" y="18552338"/>
          <a:ext cx="1421466" cy="23538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40131</xdr:rowOff>
    </xdr:from>
    <xdr:to>
      <xdr:col>5</xdr:col>
      <xdr:colOff>102160</xdr:colOff>
      <xdr:row>58</xdr:row>
      <xdr:rowOff>57699</xdr:rowOff>
    </xdr:to>
    <xdr:sp macro="" textlink="">
      <xdr:nvSpPr>
        <xdr:cNvPr id="166" name="Text Box 189" hidden="1">
          <a:extLst>
            <a:ext uri="{FF2B5EF4-FFF2-40B4-BE49-F238E27FC236}">
              <a16:creationId xmlns:a16="http://schemas.microsoft.com/office/drawing/2014/main" id="{FCB2B736-95BF-4C86-A78D-C3BCEB095847}"/>
            </a:ext>
          </a:extLst>
        </xdr:cNvPr>
        <xdr:cNvSpPr txBox="1">
          <a:spLocks noChangeArrowheads="1"/>
        </xdr:cNvSpPr>
      </xdr:nvSpPr>
      <xdr:spPr bwMode="auto">
        <a:xfrm>
          <a:off x="4019363" y="10336656"/>
          <a:ext cx="1273922" cy="18082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172605</xdr:rowOff>
    </xdr:from>
    <xdr:to>
      <xdr:col>5</xdr:col>
      <xdr:colOff>102160</xdr:colOff>
      <xdr:row>58</xdr:row>
      <xdr:rowOff>114055</xdr:rowOff>
    </xdr:to>
    <xdr:sp macro="" textlink="">
      <xdr:nvSpPr>
        <xdr:cNvPr id="167" name="Text Box 188" hidden="1">
          <a:extLst>
            <a:ext uri="{FF2B5EF4-FFF2-40B4-BE49-F238E27FC236}">
              <a16:creationId xmlns:a16="http://schemas.microsoft.com/office/drawing/2014/main" id="{7FF2F554-31F8-4EAE-A9C4-8EB48025E97C}"/>
            </a:ext>
          </a:extLst>
        </xdr:cNvPr>
        <xdr:cNvSpPr txBox="1">
          <a:spLocks noChangeArrowheads="1"/>
        </xdr:cNvSpPr>
      </xdr:nvSpPr>
      <xdr:spPr bwMode="auto">
        <a:xfrm>
          <a:off x="4019363" y="10469130"/>
          <a:ext cx="1273922" cy="173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102197</xdr:rowOff>
    </xdr:from>
    <xdr:to>
      <xdr:col>5</xdr:col>
      <xdr:colOff>102160</xdr:colOff>
      <xdr:row>57</xdr:row>
      <xdr:rowOff>164328</xdr:rowOff>
    </xdr:to>
    <xdr:sp macro="" textlink="">
      <xdr:nvSpPr>
        <xdr:cNvPr id="168" name="Text Box 187" hidden="1">
          <a:extLst>
            <a:ext uri="{FF2B5EF4-FFF2-40B4-BE49-F238E27FC236}">
              <a16:creationId xmlns:a16="http://schemas.microsoft.com/office/drawing/2014/main" id="{1DC70AF5-C280-443D-BD3F-72A6A827071E}"/>
            </a:ext>
          </a:extLst>
        </xdr:cNvPr>
        <xdr:cNvSpPr txBox="1">
          <a:spLocks noChangeArrowheads="1"/>
        </xdr:cNvSpPr>
      </xdr:nvSpPr>
      <xdr:spPr bwMode="auto">
        <a:xfrm>
          <a:off x="4019363" y="10760672"/>
          <a:ext cx="1273922" cy="967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78000</xdr:rowOff>
    </xdr:from>
    <xdr:to>
      <xdr:col>5</xdr:col>
      <xdr:colOff>102160</xdr:colOff>
      <xdr:row>57</xdr:row>
      <xdr:rowOff>189620</xdr:rowOff>
    </xdr:to>
    <xdr:sp macro="" textlink="">
      <xdr:nvSpPr>
        <xdr:cNvPr id="169" name="Text Box 186" hidden="1">
          <a:extLst>
            <a:ext uri="{FF2B5EF4-FFF2-40B4-BE49-F238E27FC236}">
              <a16:creationId xmlns:a16="http://schemas.microsoft.com/office/drawing/2014/main" id="{D7D29010-0454-4DBC-A216-36F42C6BF138}"/>
            </a:ext>
          </a:extLst>
        </xdr:cNvPr>
        <xdr:cNvSpPr txBox="1">
          <a:spLocks noChangeArrowheads="1"/>
        </xdr:cNvSpPr>
      </xdr:nvSpPr>
      <xdr:spPr bwMode="auto">
        <a:xfrm>
          <a:off x="4019363" y="11098425"/>
          <a:ext cx="1273922" cy="65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78612</xdr:rowOff>
    </xdr:from>
    <xdr:to>
      <xdr:col>5</xdr:col>
      <xdr:colOff>102160</xdr:colOff>
      <xdr:row>57</xdr:row>
      <xdr:rowOff>436844</xdr:rowOff>
    </xdr:to>
    <xdr:sp macro="" textlink="">
      <xdr:nvSpPr>
        <xdr:cNvPr id="170" name="Text Box 185" hidden="1">
          <a:extLst>
            <a:ext uri="{FF2B5EF4-FFF2-40B4-BE49-F238E27FC236}">
              <a16:creationId xmlns:a16="http://schemas.microsoft.com/office/drawing/2014/main" id="{6CFAF250-ECD1-4E80-9526-1014E0CF6325}"/>
            </a:ext>
          </a:extLst>
        </xdr:cNvPr>
        <xdr:cNvSpPr txBox="1">
          <a:spLocks noChangeArrowheads="1"/>
        </xdr:cNvSpPr>
      </xdr:nvSpPr>
      <xdr:spPr bwMode="auto">
        <a:xfrm>
          <a:off x="4019363" y="11280012"/>
          <a:ext cx="1273922" cy="7233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170337</xdr:rowOff>
    </xdr:from>
    <xdr:to>
      <xdr:col>5</xdr:col>
      <xdr:colOff>102160</xdr:colOff>
      <xdr:row>70</xdr:row>
      <xdr:rowOff>26370</xdr:rowOff>
    </xdr:to>
    <xdr:sp macro="" textlink="">
      <xdr:nvSpPr>
        <xdr:cNvPr id="171" name="Text Box 184" hidden="1">
          <a:extLst>
            <a:ext uri="{FF2B5EF4-FFF2-40B4-BE49-F238E27FC236}">
              <a16:creationId xmlns:a16="http://schemas.microsoft.com/office/drawing/2014/main" id="{EC43E561-311B-49D7-ADA7-D64A6905CDF8}"/>
            </a:ext>
          </a:extLst>
        </xdr:cNvPr>
        <xdr:cNvSpPr txBox="1">
          <a:spLocks noChangeArrowheads="1"/>
        </xdr:cNvSpPr>
      </xdr:nvSpPr>
      <xdr:spPr bwMode="auto">
        <a:xfrm>
          <a:off x="4019363" y="14600712"/>
          <a:ext cx="1273922" cy="87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181473</xdr:rowOff>
    </xdr:from>
    <xdr:to>
      <xdr:col>5</xdr:col>
      <xdr:colOff>102160</xdr:colOff>
      <xdr:row>70</xdr:row>
      <xdr:rowOff>206643</xdr:rowOff>
    </xdr:to>
    <xdr:sp macro="" textlink="">
      <xdr:nvSpPr>
        <xdr:cNvPr id="172" name="Text Box 183" hidden="1">
          <a:extLst>
            <a:ext uri="{FF2B5EF4-FFF2-40B4-BE49-F238E27FC236}">
              <a16:creationId xmlns:a16="http://schemas.microsoft.com/office/drawing/2014/main" id="{7971C4F7-707D-4CA4-A7B0-9C931FA52DEC}"/>
            </a:ext>
          </a:extLst>
        </xdr:cNvPr>
        <xdr:cNvSpPr txBox="1">
          <a:spLocks noChangeArrowheads="1"/>
        </xdr:cNvSpPr>
      </xdr:nvSpPr>
      <xdr:spPr bwMode="auto">
        <a:xfrm>
          <a:off x="4019363" y="14789648"/>
          <a:ext cx="1273922" cy="869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6928</xdr:rowOff>
    </xdr:from>
    <xdr:to>
      <xdr:col>5</xdr:col>
      <xdr:colOff>102160</xdr:colOff>
      <xdr:row>71</xdr:row>
      <xdr:rowOff>131187</xdr:rowOff>
    </xdr:to>
    <xdr:sp macro="" textlink="">
      <xdr:nvSpPr>
        <xdr:cNvPr id="173" name="Text Box 182" hidden="1">
          <a:extLst>
            <a:ext uri="{FF2B5EF4-FFF2-40B4-BE49-F238E27FC236}">
              <a16:creationId xmlns:a16="http://schemas.microsoft.com/office/drawing/2014/main" id="{4289E5D2-2FDF-4862-91CC-42F88B998597}"/>
            </a:ext>
          </a:extLst>
        </xdr:cNvPr>
        <xdr:cNvSpPr txBox="1">
          <a:spLocks noChangeArrowheads="1"/>
        </xdr:cNvSpPr>
      </xdr:nvSpPr>
      <xdr:spPr bwMode="auto">
        <a:xfrm>
          <a:off x="4019363" y="15040553"/>
          <a:ext cx="1273922" cy="749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187859</xdr:rowOff>
    </xdr:from>
    <xdr:to>
      <xdr:col>5</xdr:col>
      <xdr:colOff>102160</xdr:colOff>
      <xdr:row>72</xdr:row>
      <xdr:rowOff>111578</xdr:rowOff>
    </xdr:to>
    <xdr:sp macro="" textlink="">
      <xdr:nvSpPr>
        <xdr:cNvPr id="174" name="Text Box 181" hidden="1">
          <a:extLst>
            <a:ext uri="{FF2B5EF4-FFF2-40B4-BE49-F238E27FC236}">
              <a16:creationId xmlns:a16="http://schemas.microsoft.com/office/drawing/2014/main" id="{0DFA954E-FC87-456C-A45B-2DB10403A004}"/>
            </a:ext>
          </a:extLst>
        </xdr:cNvPr>
        <xdr:cNvSpPr txBox="1">
          <a:spLocks noChangeArrowheads="1"/>
        </xdr:cNvSpPr>
      </xdr:nvSpPr>
      <xdr:spPr bwMode="auto">
        <a:xfrm>
          <a:off x="4019363" y="15218309"/>
          <a:ext cx="1273922" cy="733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44863</xdr:rowOff>
    </xdr:from>
    <xdr:to>
      <xdr:col>5</xdr:col>
      <xdr:colOff>102160</xdr:colOff>
      <xdr:row>92</xdr:row>
      <xdr:rowOff>11894</xdr:rowOff>
    </xdr:to>
    <xdr:sp macro="" textlink="">
      <xdr:nvSpPr>
        <xdr:cNvPr id="175" name="Text Box 180" hidden="1">
          <a:extLst>
            <a:ext uri="{FF2B5EF4-FFF2-40B4-BE49-F238E27FC236}">
              <a16:creationId xmlns:a16="http://schemas.microsoft.com/office/drawing/2014/main" id="{BB2927A7-40C1-4B14-B231-ECC38FD7149E}"/>
            </a:ext>
          </a:extLst>
        </xdr:cNvPr>
        <xdr:cNvSpPr txBox="1">
          <a:spLocks noChangeArrowheads="1"/>
        </xdr:cNvSpPr>
      </xdr:nvSpPr>
      <xdr:spPr bwMode="auto">
        <a:xfrm>
          <a:off x="4019363" y="19037713"/>
          <a:ext cx="1273922" cy="871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11894</xdr:rowOff>
    </xdr:from>
    <xdr:to>
      <xdr:col>5</xdr:col>
      <xdr:colOff>102160</xdr:colOff>
      <xdr:row>99</xdr:row>
      <xdr:rowOff>82886</xdr:rowOff>
    </xdr:to>
    <xdr:sp macro="" textlink="">
      <xdr:nvSpPr>
        <xdr:cNvPr id="176" name="Text Box 179" hidden="1">
          <a:extLst>
            <a:ext uri="{FF2B5EF4-FFF2-40B4-BE49-F238E27FC236}">
              <a16:creationId xmlns:a16="http://schemas.microsoft.com/office/drawing/2014/main" id="{E9CEFA56-0B10-4687-8B2C-9543AE836A26}"/>
            </a:ext>
          </a:extLst>
        </xdr:cNvPr>
        <xdr:cNvSpPr txBox="1">
          <a:spLocks noChangeArrowheads="1"/>
        </xdr:cNvSpPr>
      </xdr:nvSpPr>
      <xdr:spPr bwMode="auto">
        <a:xfrm>
          <a:off x="4019363" y="19909619"/>
          <a:ext cx="1273922" cy="1337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11894</xdr:rowOff>
    </xdr:from>
    <xdr:to>
      <xdr:col>5</xdr:col>
      <xdr:colOff>102160</xdr:colOff>
      <xdr:row>98</xdr:row>
      <xdr:rowOff>48545</xdr:rowOff>
    </xdr:to>
    <xdr:sp macro="" textlink="">
      <xdr:nvSpPr>
        <xdr:cNvPr id="177" name="Text Box 178" hidden="1">
          <a:extLst>
            <a:ext uri="{FF2B5EF4-FFF2-40B4-BE49-F238E27FC236}">
              <a16:creationId xmlns:a16="http://schemas.microsoft.com/office/drawing/2014/main" id="{520D191E-9B5A-451F-93D7-16CF7F6B8D77}"/>
            </a:ext>
          </a:extLst>
        </xdr:cNvPr>
        <xdr:cNvSpPr txBox="1">
          <a:spLocks noChangeArrowheads="1"/>
        </xdr:cNvSpPr>
      </xdr:nvSpPr>
      <xdr:spPr bwMode="auto">
        <a:xfrm>
          <a:off x="4019363" y="19909619"/>
          <a:ext cx="1273922" cy="1122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107</xdr:row>
      <xdr:rowOff>122309</xdr:rowOff>
    </xdr:from>
    <xdr:to>
      <xdr:col>5</xdr:col>
      <xdr:colOff>312569</xdr:colOff>
      <xdr:row>120</xdr:row>
      <xdr:rowOff>142263</xdr:rowOff>
    </xdr:to>
    <xdr:sp macro="" textlink="">
      <xdr:nvSpPr>
        <xdr:cNvPr id="178" name="Text Box 203" hidden="1">
          <a:extLst>
            <a:ext uri="{FF2B5EF4-FFF2-40B4-BE49-F238E27FC236}">
              <a16:creationId xmlns:a16="http://schemas.microsoft.com/office/drawing/2014/main" id="{250BF6A5-2955-4BA2-88C0-9C3F4A36B220}"/>
            </a:ext>
          </a:extLst>
        </xdr:cNvPr>
        <xdr:cNvSpPr txBox="1">
          <a:spLocks noChangeArrowheads="1"/>
        </xdr:cNvSpPr>
      </xdr:nvSpPr>
      <xdr:spPr bwMode="auto">
        <a:xfrm>
          <a:off x="4057463" y="22982309"/>
          <a:ext cx="1446231" cy="2429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68</xdr:row>
      <xdr:rowOff>68643</xdr:rowOff>
    </xdr:from>
    <xdr:to>
      <xdr:col>5</xdr:col>
      <xdr:colOff>102160</xdr:colOff>
      <xdr:row>81</xdr:row>
      <xdr:rowOff>30409</xdr:rowOff>
    </xdr:to>
    <xdr:sp macro="" textlink="">
      <xdr:nvSpPr>
        <xdr:cNvPr id="179" name="Text Box 202" hidden="1">
          <a:extLst>
            <a:ext uri="{FF2B5EF4-FFF2-40B4-BE49-F238E27FC236}">
              <a16:creationId xmlns:a16="http://schemas.microsoft.com/office/drawing/2014/main" id="{DBF347CA-BBBD-467F-9DFB-7448D19C7888}"/>
            </a:ext>
          </a:extLst>
        </xdr:cNvPr>
        <xdr:cNvSpPr txBox="1">
          <a:spLocks noChangeArrowheads="1"/>
        </xdr:cNvSpPr>
      </xdr:nvSpPr>
      <xdr:spPr bwMode="auto">
        <a:xfrm>
          <a:off x="4019998" y="15099093"/>
          <a:ext cx="1273287" cy="263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66</xdr:row>
      <xdr:rowOff>103590</xdr:rowOff>
    </xdr:from>
    <xdr:to>
      <xdr:col>5</xdr:col>
      <xdr:colOff>133275</xdr:colOff>
      <xdr:row>78</xdr:row>
      <xdr:rowOff>363111</xdr:rowOff>
    </xdr:to>
    <xdr:sp macro="" textlink="">
      <xdr:nvSpPr>
        <xdr:cNvPr id="180" name="Text Box 201" hidden="1">
          <a:extLst>
            <a:ext uri="{FF2B5EF4-FFF2-40B4-BE49-F238E27FC236}">
              <a16:creationId xmlns:a16="http://schemas.microsoft.com/office/drawing/2014/main" id="{BC3336DC-E482-4D61-8ABE-1E8D3C298F7D}"/>
            </a:ext>
          </a:extLst>
        </xdr:cNvPr>
        <xdr:cNvSpPr txBox="1">
          <a:spLocks noChangeArrowheads="1"/>
        </xdr:cNvSpPr>
      </xdr:nvSpPr>
      <xdr:spPr bwMode="auto">
        <a:xfrm>
          <a:off x="4057463" y="14718115"/>
          <a:ext cx="1266937" cy="2605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70</xdr:row>
      <xdr:rowOff>77938</xdr:rowOff>
    </xdr:from>
    <xdr:to>
      <xdr:col>5</xdr:col>
      <xdr:colOff>102160</xdr:colOff>
      <xdr:row>73</xdr:row>
      <xdr:rowOff>104949</xdr:rowOff>
    </xdr:to>
    <xdr:sp macro="" textlink="">
      <xdr:nvSpPr>
        <xdr:cNvPr id="181" name="Text Box 200" hidden="1">
          <a:extLst>
            <a:ext uri="{FF2B5EF4-FFF2-40B4-BE49-F238E27FC236}">
              <a16:creationId xmlns:a16="http://schemas.microsoft.com/office/drawing/2014/main" id="{86EF7590-3D51-472E-890C-3CACF66ECB52}"/>
            </a:ext>
          </a:extLst>
        </xdr:cNvPr>
        <xdr:cNvSpPr txBox="1">
          <a:spLocks noChangeArrowheads="1"/>
        </xdr:cNvSpPr>
      </xdr:nvSpPr>
      <xdr:spPr bwMode="auto">
        <a:xfrm>
          <a:off x="4019998" y="15524313"/>
          <a:ext cx="1273287" cy="5985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72</xdr:row>
      <xdr:rowOff>105997</xdr:rowOff>
    </xdr:from>
    <xdr:to>
      <xdr:col>5</xdr:col>
      <xdr:colOff>102160</xdr:colOff>
      <xdr:row>74</xdr:row>
      <xdr:rowOff>17067</xdr:rowOff>
    </xdr:to>
    <xdr:sp macro="" textlink="">
      <xdr:nvSpPr>
        <xdr:cNvPr id="182" name="Text Box 199" hidden="1">
          <a:extLst>
            <a:ext uri="{FF2B5EF4-FFF2-40B4-BE49-F238E27FC236}">
              <a16:creationId xmlns:a16="http://schemas.microsoft.com/office/drawing/2014/main" id="{E1269798-7946-4542-9E51-BB967A28AD6A}"/>
            </a:ext>
          </a:extLst>
        </xdr:cNvPr>
        <xdr:cNvSpPr txBox="1">
          <a:spLocks noChangeArrowheads="1"/>
        </xdr:cNvSpPr>
      </xdr:nvSpPr>
      <xdr:spPr bwMode="auto">
        <a:xfrm>
          <a:off x="4019998" y="15946072"/>
          <a:ext cx="1273287" cy="2761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73</xdr:row>
      <xdr:rowOff>87021</xdr:rowOff>
    </xdr:from>
    <xdr:to>
      <xdr:col>5</xdr:col>
      <xdr:colOff>102160</xdr:colOff>
      <xdr:row>74</xdr:row>
      <xdr:rowOff>172619</xdr:rowOff>
    </xdr:to>
    <xdr:sp macro="" textlink="">
      <xdr:nvSpPr>
        <xdr:cNvPr id="183" name="Text Box 198" hidden="1">
          <a:extLst>
            <a:ext uri="{FF2B5EF4-FFF2-40B4-BE49-F238E27FC236}">
              <a16:creationId xmlns:a16="http://schemas.microsoft.com/office/drawing/2014/main" id="{26CBF101-87DB-4FEC-99EE-01FA3C3E8E15}"/>
            </a:ext>
          </a:extLst>
        </xdr:cNvPr>
        <xdr:cNvSpPr txBox="1">
          <a:spLocks noChangeArrowheads="1"/>
        </xdr:cNvSpPr>
      </xdr:nvSpPr>
      <xdr:spPr bwMode="auto">
        <a:xfrm>
          <a:off x="4019998" y="16104896"/>
          <a:ext cx="1273287" cy="2665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87</xdr:row>
      <xdr:rowOff>26050</xdr:rowOff>
    </xdr:from>
    <xdr:to>
      <xdr:col>5</xdr:col>
      <xdr:colOff>102160</xdr:colOff>
      <xdr:row>92</xdr:row>
      <xdr:rowOff>10817</xdr:rowOff>
    </xdr:to>
    <xdr:sp macro="" textlink="">
      <xdr:nvSpPr>
        <xdr:cNvPr id="184" name="Text Box 197" hidden="1">
          <a:extLst>
            <a:ext uri="{FF2B5EF4-FFF2-40B4-BE49-F238E27FC236}">
              <a16:creationId xmlns:a16="http://schemas.microsoft.com/office/drawing/2014/main" id="{1390FE82-36A5-4939-BEF3-92238BC5811F}"/>
            </a:ext>
          </a:extLst>
        </xdr:cNvPr>
        <xdr:cNvSpPr txBox="1">
          <a:spLocks noChangeArrowheads="1"/>
        </xdr:cNvSpPr>
      </xdr:nvSpPr>
      <xdr:spPr bwMode="auto">
        <a:xfrm>
          <a:off x="4019998" y="19018900"/>
          <a:ext cx="1273287" cy="8896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88</xdr:row>
      <xdr:rowOff>29911</xdr:rowOff>
    </xdr:from>
    <xdr:to>
      <xdr:col>5</xdr:col>
      <xdr:colOff>102160</xdr:colOff>
      <xdr:row>92</xdr:row>
      <xdr:rowOff>143654</xdr:rowOff>
    </xdr:to>
    <xdr:sp macro="" textlink="">
      <xdr:nvSpPr>
        <xdr:cNvPr id="185" name="Text Box 196" hidden="1">
          <a:extLst>
            <a:ext uri="{FF2B5EF4-FFF2-40B4-BE49-F238E27FC236}">
              <a16:creationId xmlns:a16="http://schemas.microsoft.com/office/drawing/2014/main" id="{D4171E0E-0542-4B5D-AA98-AD3A7D112747}"/>
            </a:ext>
          </a:extLst>
        </xdr:cNvPr>
        <xdr:cNvSpPr txBox="1">
          <a:spLocks noChangeArrowheads="1"/>
        </xdr:cNvSpPr>
      </xdr:nvSpPr>
      <xdr:spPr bwMode="auto">
        <a:xfrm>
          <a:off x="4019998" y="19203736"/>
          <a:ext cx="1273287" cy="8376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89</xdr:row>
      <xdr:rowOff>25497</xdr:rowOff>
    </xdr:from>
    <xdr:to>
      <xdr:col>5</xdr:col>
      <xdr:colOff>102160</xdr:colOff>
      <xdr:row>93</xdr:row>
      <xdr:rowOff>149770</xdr:rowOff>
    </xdr:to>
    <xdr:sp macro="" textlink="">
      <xdr:nvSpPr>
        <xdr:cNvPr id="186" name="Text Box 195" hidden="1">
          <a:extLst>
            <a:ext uri="{FF2B5EF4-FFF2-40B4-BE49-F238E27FC236}">
              <a16:creationId xmlns:a16="http://schemas.microsoft.com/office/drawing/2014/main" id="{F009E6A5-E452-44E5-9A14-621E447A0A22}"/>
            </a:ext>
          </a:extLst>
        </xdr:cNvPr>
        <xdr:cNvSpPr txBox="1">
          <a:spLocks noChangeArrowheads="1"/>
        </xdr:cNvSpPr>
      </xdr:nvSpPr>
      <xdr:spPr bwMode="auto">
        <a:xfrm>
          <a:off x="4019998" y="19383472"/>
          <a:ext cx="1273287" cy="8449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90</xdr:row>
      <xdr:rowOff>106220</xdr:rowOff>
    </xdr:from>
    <xdr:to>
      <xdr:col>5</xdr:col>
      <xdr:colOff>102160</xdr:colOff>
      <xdr:row>94</xdr:row>
      <xdr:rowOff>164120</xdr:rowOff>
    </xdr:to>
    <xdr:sp macro="" textlink="">
      <xdr:nvSpPr>
        <xdr:cNvPr id="187" name="Text Box 194" hidden="1">
          <a:extLst>
            <a:ext uri="{FF2B5EF4-FFF2-40B4-BE49-F238E27FC236}">
              <a16:creationId xmlns:a16="http://schemas.microsoft.com/office/drawing/2014/main" id="{4AE94E27-E677-4463-A0BF-38910566AFF3}"/>
            </a:ext>
          </a:extLst>
        </xdr:cNvPr>
        <xdr:cNvSpPr txBox="1">
          <a:spLocks noChangeArrowheads="1"/>
        </xdr:cNvSpPr>
      </xdr:nvSpPr>
      <xdr:spPr bwMode="auto">
        <a:xfrm>
          <a:off x="4019998" y="19638820"/>
          <a:ext cx="1273287" cy="78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114</xdr:row>
      <xdr:rowOff>46268</xdr:rowOff>
    </xdr:from>
    <xdr:to>
      <xdr:col>5</xdr:col>
      <xdr:colOff>102160</xdr:colOff>
      <xdr:row>114</xdr:row>
      <xdr:rowOff>46352</xdr:rowOff>
    </xdr:to>
    <xdr:sp macro="" textlink="">
      <xdr:nvSpPr>
        <xdr:cNvPr id="188" name="Text Box 193" hidden="1">
          <a:extLst>
            <a:ext uri="{FF2B5EF4-FFF2-40B4-BE49-F238E27FC236}">
              <a16:creationId xmlns:a16="http://schemas.microsoft.com/office/drawing/2014/main" id="{6A51625F-8F6C-4AD4-9BB7-AB1F50FF7BE0}"/>
            </a:ext>
          </a:extLst>
        </xdr:cNvPr>
        <xdr:cNvSpPr txBox="1">
          <a:spLocks noChangeArrowheads="1"/>
        </xdr:cNvSpPr>
      </xdr:nvSpPr>
      <xdr:spPr bwMode="auto">
        <a:xfrm>
          <a:off x="4019998" y="24173093"/>
          <a:ext cx="1273287" cy="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115</xdr:row>
      <xdr:rowOff>73446</xdr:rowOff>
    </xdr:from>
    <xdr:to>
      <xdr:col>5</xdr:col>
      <xdr:colOff>102160</xdr:colOff>
      <xdr:row>138</xdr:row>
      <xdr:rowOff>19194</xdr:rowOff>
    </xdr:to>
    <xdr:sp macro="" textlink="">
      <xdr:nvSpPr>
        <xdr:cNvPr id="189" name="Text Box 192" hidden="1">
          <a:extLst>
            <a:ext uri="{FF2B5EF4-FFF2-40B4-BE49-F238E27FC236}">
              <a16:creationId xmlns:a16="http://schemas.microsoft.com/office/drawing/2014/main" id="{D3098C23-E6C6-42CE-9AD8-AAC0E16F9EC7}"/>
            </a:ext>
          </a:extLst>
        </xdr:cNvPr>
        <xdr:cNvSpPr txBox="1">
          <a:spLocks noChangeArrowheads="1"/>
        </xdr:cNvSpPr>
      </xdr:nvSpPr>
      <xdr:spPr bwMode="auto">
        <a:xfrm>
          <a:off x="4019998" y="24381246"/>
          <a:ext cx="1273287" cy="41653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115</xdr:row>
      <xdr:rowOff>73446</xdr:rowOff>
    </xdr:from>
    <xdr:to>
      <xdr:col>5</xdr:col>
      <xdr:colOff>102160</xdr:colOff>
      <xdr:row>136</xdr:row>
      <xdr:rowOff>117035</xdr:rowOff>
    </xdr:to>
    <xdr:sp macro="" textlink="">
      <xdr:nvSpPr>
        <xdr:cNvPr id="190" name="Text Box 191" hidden="1">
          <a:extLst>
            <a:ext uri="{FF2B5EF4-FFF2-40B4-BE49-F238E27FC236}">
              <a16:creationId xmlns:a16="http://schemas.microsoft.com/office/drawing/2014/main" id="{B6864568-A635-4D6C-8681-EB7108118E7D}"/>
            </a:ext>
          </a:extLst>
        </xdr:cNvPr>
        <xdr:cNvSpPr txBox="1">
          <a:spLocks noChangeArrowheads="1"/>
        </xdr:cNvSpPr>
      </xdr:nvSpPr>
      <xdr:spPr bwMode="auto">
        <a:xfrm>
          <a:off x="4019998" y="24381246"/>
          <a:ext cx="1273287" cy="3901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112</xdr:row>
      <xdr:rowOff>2042</xdr:rowOff>
    </xdr:from>
    <xdr:to>
      <xdr:col>5</xdr:col>
      <xdr:colOff>306854</xdr:colOff>
      <xdr:row>126</xdr:row>
      <xdr:rowOff>29959</xdr:rowOff>
    </xdr:to>
    <xdr:sp macro="" textlink="">
      <xdr:nvSpPr>
        <xdr:cNvPr id="191" name="Text Box 216" hidden="1">
          <a:extLst>
            <a:ext uri="{FF2B5EF4-FFF2-40B4-BE49-F238E27FC236}">
              <a16:creationId xmlns:a16="http://schemas.microsoft.com/office/drawing/2014/main" id="{6A5BEE22-5B5B-4421-898E-36DCAFDBEE93}"/>
            </a:ext>
          </a:extLst>
        </xdr:cNvPr>
        <xdr:cNvSpPr txBox="1">
          <a:spLocks noChangeArrowheads="1"/>
        </xdr:cNvSpPr>
      </xdr:nvSpPr>
      <xdr:spPr bwMode="auto">
        <a:xfrm>
          <a:off x="4057463" y="23766917"/>
          <a:ext cx="1440516" cy="2618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70</xdr:row>
      <xdr:rowOff>41107</xdr:rowOff>
    </xdr:from>
    <xdr:to>
      <xdr:col>5</xdr:col>
      <xdr:colOff>121210</xdr:colOff>
      <xdr:row>84</xdr:row>
      <xdr:rowOff>112942</xdr:rowOff>
    </xdr:to>
    <xdr:sp macro="" textlink="">
      <xdr:nvSpPr>
        <xdr:cNvPr id="192" name="Text Box 215" hidden="1">
          <a:extLst>
            <a:ext uri="{FF2B5EF4-FFF2-40B4-BE49-F238E27FC236}">
              <a16:creationId xmlns:a16="http://schemas.microsoft.com/office/drawing/2014/main" id="{A3B8B206-B3FE-4EFE-83B9-385C6CFCBC79}"/>
            </a:ext>
          </a:extLst>
        </xdr:cNvPr>
        <xdr:cNvSpPr txBox="1">
          <a:spLocks noChangeArrowheads="1"/>
        </xdr:cNvSpPr>
      </xdr:nvSpPr>
      <xdr:spPr bwMode="auto">
        <a:xfrm>
          <a:off x="4041588" y="15487482"/>
          <a:ext cx="1270747" cy="28785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70</xdr:row>
      <xdr:rowOff>77938</xdr:rowOff>
    </xdr:from>
    <xdr:to>
      <xdr:col>5</xdr:col>
      <xdr:colOff>121210</xdr:colOff>
      <xdr:row>84</xdr:row>
      <xdr:rowOff>83332</xdr:rowOff>
    </xdr:to>
    <xdr:sp macro="" textlink="">
      <xdr:nvSpPr>
        <xdr:cNvPr id="193" name="Text Box 214" hidden="1">
          <a:extLst>
            <a:ext uri="{FF2B5EF4-FFF2-40B4-BE49-F238E27FC236}">
              <a16:creationId xmlns:a16="http://schemas.microsoft.com/office/drawing/2014/main" id="{165ABC05-328D-4F48-84DA-3D93343860F7}"/>
            </a:ext>
          </a:extLst>
        </xdr:cNvPr>
        <xdr:cNvSpPr txBox="1">
          <a:spLocks noChangeArrowheads="1"/>
        </xdr:cNvSpPr>
      </xdr:nvSpPr>
      <xdr:spPr bwMode="auto">
        <a:xfrm>
          <a:off x="4041588" y="15524313"/>
          <a:ext cx="1270747" cy="28089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72</xdr:row>
      <xdr:rowOff>95050</xdr:rowOff>
    </xdr:from>
    <xdr:to>
      <xdr:col>5</xdr:col>
      <xdr:colOff>121210</xdr:colOff>
      <xdr:row>76</xdr:row>
      <xdr:rowOff>64629</xdr:rowOff>
    </xdr:to>
    <xdr:sp macro="" textlink="">
      <xdr:nvSpPr>
        <xdr:cNvPr id="194" name="Text Box 213" hidden="1">
          <a:extLst>
            <a:ext uri="{FF2B5EF4-FFF2-40B4-BE49-F238E27FC236}">
              <a16:creationId xmlns:a16="http://schemas.microsoft.com/office/drawing/2014/main" id="{F4FF722E-750F-4F71-A59E-18094035EABC}"/>
            </a:ext>
          </a:extLst>
        </xdr:cNvPr>
        <xdr:cNvSpPr txBox="1">
          <a:spLocks noChangeArrowheads="1"/>
        </xdr:cNvSpPr>
      </xdr:nvSpPr>
      <xdr:spPr bwMode="auto">
        <a:xfrm>
          <a:off x="4041588" y="15935125"/>
          <a:ext cx="1270747" cy="6966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73</xdr:row>
      <xdr:rowOff>45694</xdr:rowOff>
    </xdr:from>
    <xdr:to>
      <xdr:col>5</xdr:col>
      <xdr:colOff>121210</xdr:colOff>
      <xdr:row>75</xdr:row>
      <xdr:rowOff>79225</xdr:rowOff>
    </xdr:to>
    <xdr:sp macro="" textlink="">
      <xdr:nvSpPr>
        <xdr:cNvPr id="195" name="Text Box 212" hidden="1">
          <a:extLst>
            <a:ext uri="{FF2B5EF4-FFF2-40B4-BE49-F238E27FC236}">
              <a16:creationId xmlns:a16="http://schemas.microsoft.com/office/drawing/2014/main" id="{89B93513-1A43-43BD-AFCA-AA78CADE4454}"/>
            </a:ext>
          </a:extLst>
        </xdr:cNvPr>
        <xdr:cNvSpPr txBox="1">
          <a:spLocks noChangeArrowheads="1"/>
        </xdr:cNvSpPr>
      </xdr:nvSpPr>
      <xdr:spPr bwMode="auto">
        <a:xfrm>
          <a:off x="4041588" y="16069919"/>
          <a:ext cx="1270747" cy="3891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78</xdr:row>
      <xdr:rowOff>50107</xdr:rowOff>
    </xdr:from>
    <xdr:to>
      <xdr:col>5</xdr:col>
      <xdr:colOff>102160</xdr:colOff>
      <xdr:row>79</xdr:row>
      <xdr:rowOff>766</xdr:rowOff>
    </xdr:to>
    <xdr:sp macro="" textlink="">
      <xdr:nvSpPr>
        <xdr:cNvPr id="196" name="Text Box 211" hidden="1">
          <a:extLst>
            <a:ext uri="{FF2B5EF4-FFF2-40B4-BE49-F238E27FC236}">
              <a16:creationId xmlns:a16="http://schemas.microsoft.com/office/drawing/2014/main" id="{C84D9506-9912-4B55-B41C-07A2B7A1C127}"/>
            </a:ext>
          </a:extLst>
        </xdr:cNvPr>
        <xdr:cNvSpPr txBox="1">
          <a:spLocks noChangeArrowheads="1"/>
        </xdr:cNvSpPr>
      </xdr:nvSpPr>
      <xdr:spPr bwMode="auto">
        <a:xfrm>
          <a:off x="4022538" y="17010957"/>
          <a:ext cx="1270747" cy="334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92</xdr:row>
      <xdr:rowOff>107851</xdr:rowOff>
    </xdr:from>
    <xdr:to>
      <xdr:col>5</xdr:col>
      <xdr:colOff>102160</xdr:colOff>
      <xdr:row>96</xdr:row>
      <xdr:rowOff>123255</xdr:rowOff>
    </xdr:to>
    <xdr:sp macro="" textlink="">
      <xdr:nvSpPr>
        <xdr:cNvPr id="197" name="Text Box 210" hidden="1">
          <a:extLst>
            <a:ext uri="{FF2B5EF4-FFF2-40B4-BE49-F238E27FC236}">
              <a16:creationId xmlns:a16="http://schemas.microsoft.com/office/drawing/2014/main" id="{592111A2-C4F0-41F4-85D7-A0EB7AE331A8}"/>
            </a:ext>
          </a:extLst>
        </xdr:cNvPr>
        <xdr:cNvSpPr txBox="1">
          <a:spLocks noChangeArrowheads="1"/>
        </xdr:cNvSpPr>
      </xdr:nvSpPr>
      <xdr:spPr bwMode="auto">
        <a:xfrm>
          <a:off x="4022538" y="20005576"/>
          <a:ext cx="1270747" cy="7424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93</xdr:row>
      <xdr:rowOff>85895</xdr:rowOff>
    </xdr:from>
    <xdr:to>
      <xdr:col>5</xdr:col>
      <xdr:colOff>102160</xdr:colOff>
      <xdr:row>97</xdr:row>
      <xdr:rowOff>126049</xdr:rowOff>
    </xdr:to>
    <xdr:sp macro="" textlink="">
      <xdr:nvSpPr>
        <xdr:cNvPr id="198" name="Text Box 209" hidden="1">
          <a:extLst>
            <a:ext uri="{FF2B5EF4-FFF2-40B4-BE49-F238E27FC236}">
              <a16:creationId xmlns:a16="http://schemas.microsoft.com/office/drawing/2014/main" id="{A80D611E-8CB3-4436-AD14-B14560A1F695}"/>
            </a:ext>
          </a:extLst>
        </xdr:cNvPr>
        <xdr:cNvSpPr txBox="1">
          <a:spLocks noChangeArrowheads="1"/>
        </xdr:cNvSpPr>
      </xdr:nvSpPr>
      <xdr:spPr bwMode="auto">
        <a:xfrm>
          <a:off x="4022538" y="20164595"/>
          <a:ext cx="1270747" cy="76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94</xdr:row>
      <xdr:rowOff>76734</xdr:rowOff>
    </xdr:from>
    <xdr:to>
      <xdr:col>5</xdr:col>
      <xdr:colOff>102160</xdr:colOff>
      <xdr:row>98</xdr:row>
      <xdr:rowOff>123964</xdr:rowOff>
    </xdr:to>
    <xdr:sp macro="" textlink="">
      <xdr:nvSpPr>
        <xdr:cNvPr id="199" name="Text Box 208" hidden="1">
          <a:extLst>
            <a:ext uri="{FF2B5EF4-FFF2-40B4-BE49-F238E27FC236}">
              <a16:creationId xmlns:a16="http://schemas.microsoft.com/office/drawing/2014/main" id="{A4B60507-5B12-496E-A55B-BB7D6CD7746E}"/>
            </a:ext>
          </a:extLst>
        </xdr:cNvPr>
        <xdr:cNvSpPr txBox="1">
          <a:spLocks noChangeArrowheads="1"/>
        </xdr:cNvSpPr>
      </xdr:nvSpPr>
      <xdr:spPr bwMode="auto">
        <a:xfrm>
          <a:off x="4022538" y="20336409"/>
          <a:ext cx="1270747" cy="771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95</xdr:row>
      <xdr:rowOff>74949</xdr:rowOff>
    </xdr:from>
    <xdr:to>
      <xdr:col>5</xdr:col>
      <xdr:colOff>102160</xdr:colOff>
      <xdr:row>99</xdr:row>
      <xdr:rowOff>83919</xdr:rowOff>
    </xdr:to>
    <xdr:sp macro="" textlink="">
      <xdr:nvSpPr>
        <xdr:cNvPr id="200" name="Text Box 207" hidden="1">
          <a:extLst>
            <a:ext uri="{FF2B5EF4-FFF2-40B4-BE49-F238E27FC236}">
              <a16:creationId xmlns:a16="http://schemas.microsoft.com/office/drawing/2014/main" id="{B3DB3E43-3BA6-45EB-BD6B-68D314DE471D}"/>
            </a:ext>
          </a:extLst>
        </xdr:cNvPr>
        <xdr:cNvSpPr txBox="1">
          <a:spLocks noChangeArrowheads="1"/>
        </xdr:cNvSpPr>
      </xdr:nvSpPr>
      <xdr:spPr bwMode="auto">
        <a:xfrm>
          <a:off x="4022538" y="20518774"/>
          <a:ext cx="1270747" cy="729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20714</xdr:rowOff>
    </xdr:from>
    <xdr:to>
      <xdr:col>5</xdr:col>
      <xdr:colOff>102160</xdr:colOff>
      <xdr:row>119</xdr:row>
      <xdr:rowOff>65926</xdr:rowOff>
    </xdr:to>
    <xdr:sp macro="" textlink="">
      <xdr:nvSpPr>
        <xdr:cNvPr id="201" name="Text Box 206" hidden="1">
          <a:extLst>
            <a:ext uri="{FF2B5EF4-FFF2-40B4-BE49-F238E27FC236}">
              <a16:creationId xmlns:a16="http://schemas.microsoft.com/office/drawing/2014/main" id="{5E25898F-AF2E-4FCD-A906-34741091C89B}"/>
            </a:ext>
          </a:extLst>
        </xdr:cNvPr>
        <xdr:cNvSpPr txBox="1">
          <a:spLocks noChangeArrowheads="1"/>
        </xdr:cNvSpPr>
      </xdr:nvSpPr>
      <xdr:spPr bwMode="auto">
        <a:xfrm>
          <a:off x="4022538" y="25109564"/>
          <a:ext cx="1270747" cy="452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152164</xdr:rowOff>
    </xdr:from>
    <xdr:to>
      <xdr:col>5</xdr:col>
      <xdr:colOff>102160</xdr:colOff>
      <xdr:row>187</xdr:row>
      <xdr:rowOff>76353</xdr:rowOff>
    </xdr:to>
    <xdr:sp macro="" textlink="">
      <xdr:nvSpPr>
        <xdr:cNvPr id="202" name="Text Box 205" hidden="1">
          <a:extLst>
            <a:ext uri="{FF2B5EF4-FFF2-40B4-BE49-F238E27FC236}">
              <a16:creationId xmlns:a16="http://schemas.microsoft.com/office/drawing/2014/main" id="{0624101A-7849-4245-AEA0-1736AA8A6074}"/>
            </a:ext>
          </a:extLst>
        </xdr:cNvPr>
        <xdr:cNvSpPr txBox="1">
          <a:spLocks noChangeArrowheads="1"/>
        </xdr:cNvSpPr>
      </xdr:nvSpPr>
      <xdr:spPr bwMode="auto">
        <a:xfrm>
          <a:off x="4022538" y="25241014"/>
          <a:ext cx="1270747" cy="122304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152164</xdr:rowOff>
    </xdr:from>
    <xdr:to>
      <xdr:col>5</xdr:col>
      <xdr:colOff>102160</xdr:colOff>
      <xdr:row>186</xdr:row>
      <xdr:rowOff>10201</xdr:rowOff>
    </xdr:to>
    <xdr:sp macro="" textlink="">
      <xdr:nvSpPr>
        <xdr:cNvPr id="203" name="Text Box 204" hidden="1">
          <a:extLst>
            <a:ext uri="{FF2B5EF4-FFF2-40B4-BE49-F238E27FC236}">
              <a16:creationId xmlns:a16="http://schemas.microsoft.com/office/drawing/2014/main" id="{96ABBC7C-97CB-424D-8A24-B094C6FE8A9D}"/>
            </a:ext>
          </a:extLst>
        </xdr:cNvPr>
        <xdr:cNvSpPr txBox="1">
          <a:spLocks noChangeArrowheads="1"/>
        </xdr:cNvSpPr>
      </xdr:nvSpPr>
      <xdr:spPr bwMode="auto">
        <a:xfrm>
          <a:off x="4022538" y="25241014"/>
          <a:ext cx="1270747" cy="11983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25525</xdr:rowOff>
    </xdr:from>
    <xdr:to>
      <xdr:col>5</xdr:col>
      <xdr:colOff>306854</xdr:colOff>
      <xdr:row>103</xdr:row>
      <xdr:rowOff>114512</xdr:rowOff>
    </xdr:to>
    <xdr:sp macro="" textlink="">
      <xdr:nvSpPr>
        <xdr:cNvPr id="204" name="Text Box 229" hidden="1">
          <a:extLst>
            <a:ext uri="{FF2B5EF4-FFF2-40B4-BE49-F238E27FC236}">
              <a16:creationId xmlns:a16="http://schemas.microsoft.com/office/drawing/2014/main" id="{D6B2AE4D-3833-4972-9907-468BE2DFAD5D}"/>
            </a:ext>
          </a:extLst>
        </xdr:cNvPr>
        <xdr:cNvSpPr txBox="1">
          <a:spLocks noChangeArrowheads="1"/>
        </xdr:cNvSpPr>
      </xdr:nvSpPr>
      <xdr:spPr bwMode="auto">
        <a:xfrm>
          <a:off x="4057463" y="19564475"/>
          <a:ext cx="1440516" cy="25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53</xdr:row>
      <xdr:rowOff>161259</xdr:rowOff>
    </xdr:from>
    <xdr:to>
      <xdr:col>5</xdr:col>
      <xdr:colOff>121210</xdr:colOff>
      <xdr:row>62</xdr:row>
      <xdr:rowOff>134758</xdr:rowOff>
    </xdr:to>
    <xdr:sp macro="" textlink="">
      <xdr:nvSpPr>
        <xdr:cNvPr id="205" name="Text Box 228" hidden="1">
          <a:extLst>
            <a:ext uri="{FF2B5EF4-FFF2-40B4-BE49-F238E27FC236}">
              <a16:creationId xmlns:a16="http://schemas.microsoft.com/office/drawing/2014/main" id="{E9E47B96-C070-4ACA-868D-215AE88E1073}"/>
            </a:ext>
          </a:extLst>
        </xdr:cNvPr>
        <xdr:cNvSpPr txBox="1">
          <a:spLocks noChangeArrowheads="1"/>
        </xdr:cNvSpPr>
      </xdr:nvSpPr>
      <xdr:spPr bwMode="auto">
        <a:xfrm>
          <a:off x="4038413" y="11000709"/>
          <a:ext cx="1273922" cy="27801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54</xdr:row>
      <xdr:rowOff>57045</xdr:rowOff>
    </xdr:from>
    <xdr:to>
      <xdr:col>5</xdr:col>
      <xdr:colOff>121210</xdr:colOff>
      <xdr:row>62</xdr:row>
      <xdr:rowOff>134406</xdr:rowOff>
    </xdr:to>
    <xdr:sp macro="" textlink="">
      <xdr:nvSpPr>
        <xdr:cNvPr id="206" name="Text Box 227" hidden="1">
          <a:extLst>
            <a:ext uri="{FF2B5EF4-FFF2-40B4-BE49-F238E27FC236}">
              <a16:creationId xmlns:a16="http://schemas.microsoft.com/office/drawing/2014/main" id="{85CE8ABB-8238-41E5-A47B-D97B63EC7639}"/>
            </a:ext>
          </a:extLst>
        </xdr:cNvPr>
        <xdr:cNvSpPr txBox="1">
          <a:spLocks noChangeArrowheads="1"/>
        </xdr:cNvSpPr>
      </xdr:nvSpPr>
      <xdr:spPr bwMode="auto">
        <a:xfrm>
          <a:off x="4038413" y="11077470"/>
          <a:ext cx="1273922" cy="27030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494</xdr:rowOff>
    </xdr:from>
    <xdr:to>
      <xdr:col>5</xdr:col>
      <xdr:colOff>121210</xdr:colOff>
      <xdr:row>59</xdr:row>
      <xdr:rowOff>196940</xdr:rowOff>
    </xdr:to>
    <xdr:sp macro="" textlink="">
      <xdr:nvSpPr>
        <xdr:cNvPr id="207" name="Text Box 226" hidden="1">
          <a:extLst>
            <a:ext uri="{FF2B5EF4-FFF2-40B4-BE49-F238E27FC236}">
              <a16:creationId xmlns:a16="http://schemas.microsoft.com/office/drawing/2014/main" id="{AFC104AB-2A36-41D5-B250-57301CEFFB65}"/>
            </a:ext>
          </a:extLst>
        </xdr:cNvPr>
        <xdr:cNvSpPr txBox="1">
          <a:spLocks noChangeArrowheads="1"/>
        </xdr:cNvSpPr>
      </xdr:nvSpPr>
      <xdr:spPr bwMode="auto">
        <a:xfrm>
          <a:off x="4038413" y="12087719"/>
          <a:ext cx="1273922" cy="5901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199351</xdr:rowOff>
    </xdr:from>
    <xdr:to>
      <xdr:col>5</xdr:col>
      <xdr:colOff>121210</xdr:colOff>
      <xdr:row>59</xdr:row>
      <xdr:rowOff>94099</xdr:rowOff>
    </xdr:to>
    <xdr:sp macro="" textlink="">
      <xdr:nvSpPr>
        <xdr:cNvPr id="208" name="Text Box 225" hidden="1">
          <a:extLst>
            <a:ext uri="{FF2B5EF4-FFF2-40B4-BE49-F238E27FC236}">
              <a16:creationId xmlns:a16="http://schemas.microsoft.com/office/drawing/2014/main" id="{B8BECF52-C7A1-4E2B-8B08-AB288292BA9A}"/>
            </a:ext>
          </a:extLst>
        </xdr:cNvPr>
        <xdr:cNvSpPr txBox="1">
          <a:spLocks noChangeArrowheads="1"/>
        </xdr:cNvSpPr>
      </xdr:nvSpPr>
      <xdr:spPr bwMode="auto">
        <a:xfrm>
          <a:off x="4038413" y="12286576"/>
          <a:ext cx="1273922" cy="288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183820</xdr:rowOff>
    </xdr:from>
    <xdr:to>
      <xdr:col>5</xdr:col>
      <xdr:colOff>102160</xdr:colOff>
      <xdr:row>61</xdr:row>
      <xdr:rowOff>164945</xdr:rowOff>
    </xdr:to>
    <xdr:sp macro="" textlink="">
      <xdr:nvSpPr>
        <xdr:cNvPr id="209" name="Text Box 224" hidden="1">
          <a:extLst>
            <a:ext uri="{FF2B5EF4-FFF2-40B4-BE49-F238E27FC236}">
              <a16:creationId xmlns:a16="http://schemas.microsoft.com/office/drawing/2014/main" id="{47C2B202-DDB6-4D37-A370-61BAE5165D49}"/>
            </a:ext>
          </a:extLst>
        </xdr:cNvPr>
        <xdr:cNvSpPr txBox="1">
          <a:spLocks noChangeArrowheads="1"/>
        </xdr:cNvSpPr>
      </xdr:nvSpPr>
      <xdr:spPr bwMode="auto">
        <a:xfrm>
          <a:off x="4019363" y="13048920"/>
          <a:ext cx="1273922" cy="37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19887</xdr:rowOff>
    </xdr:from>
    <xdr:to>
      <xdr:col>5</xdr:col>
      <xdr:colOff>102160</xdr:colOff>
      <xdr:row>76</xdr:row>
      <xdr:rowOff>64396</xdr:rowOff>
    </xdr:to>
    <xdr:sp macro="" textlink="">
      <xdr:nvSpPr>
        <xdr:cNvPr id="210" name="Text Box 223" hidden="1">
          <a:extLst>
            <a:ext uri="{FF2B5EF4-FFF2-40B4-BE49-F238E27FC236}">
              <a16:creationId xmlns:a16="http://schemas.microsoft.com/office/drawing/2014/main" id="{FBA893B3-3FC9-4458-85FA-76DD349C7577}"/>
            </a:ext>
          </a:extLst>
        </xdr:cNvPr>
        <xdr:cNvSpPr txBox="1">
          <a:spLocks noChangeArrowheads="1"/>
        </xdr:cNvSpPr>
      </xdr:nvSpPr>
      <xdr:spPr bwMode="auto">
        <a:xfrm>
          <a:off x="4019363" y="15859962"/>
          <a:ext cx="1273922" cy="7715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11397</xdr:rowOff>
    </xdr:from>
    <xdr:to>
      <xdr:col>5</xdr:col>
      <xdr:colOff>102160</xdr:colOff>
      <xdr:row>77</xdr:row>
      <xdr:rowOff>47970</xdr:rowOff>
    </xdr:to>
    <xdr:sp macro="" textlink="">
      <xdr:nvSpPr>
        <xdr:cNvPr id="211" name="Text Box 222" hidden="1">
          <a:extLst>
            <a:ext uri="{FF2B5EF4-FFF2-40B4-BE49-F238E27FC236}">
              <a16:creationId xmlns:a16="http://schemas.microsoft.com/office/drawing/2014/main" id="{12CC8C46-7946-43B6-B161-0571BBD77C5D}"/>
            </a:ext>
          </a:extLst>
        </xdr:cNvPr>
        <xdr:cNvSpPr txBox="1">
          <a:spLocks noChangeArrowheads="1"/>
        </xdr:cNvSpPr>
      </xdr:nvSpPr>
      <xdr:spPr bwMode="auto">
        <a:xfrm>
          <a:off x="4019363" y="16032447"/>
          <a:ext cx="1273922" cy="7572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139749</xdr:rowOff>
    </xdr:from>
    <xdr:to>
      <xdr:col>5</xdr:col>
      <xdr:colOff>102160</xdr:colOff>
      <xdr:row>78</xdr:row>
      <xdr:rowOff>48134</xdr:rowOff>
    </xdr:to>
    <xdr:sp macro="" textlink="">
      <xdr:nvSpPr>
        <xdr:cNvPr id="212" name="Text Box 221" hidden="1">
          <a:extLst>
            <a:ext uri="{FF2B5EF4-FFF2-40B4-BE49-F238E27FC236}">
              <a16:creationId xmlns:a16="http://schemas.microsoft.com/office/drawing/2014/main" id="{6A3A9566-4113-4E52-B3D2-3A33B9C9D743}"/>
            </a:ext>
          </a:extLst>
        </xdr:cNvPr>
        <xdr:cNvSpPr txBox="1">
          <a:spLocks noChangeArrowheads="1"/>
        </xdr:cNvSpPr>
      </xdr:nvSpPr>
      <xdr:spPr bwMode="auto">
        <a:xfrm>
          <a:off x="4019363" y="16163974"/>
          <a:ext cx="1273922" cy="845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105622</xdr:rowOff>
    </xdr:from>
    <xdr:to>
      <xdr:col>5</xdr:col>
      <xdr:colOff>102160</xdr:colOff>
      <xdr:row>78</xdr:row>
      <xdr:rowOff>231606</xdr:rowOff>
    </xdr:to>
    <xdr:sp macro="" textlink="">
      <xdr:nvSpPr>
        <xdr:cNvPr id="213" name="Text Box 220" hidden="1">
          <a:extLst>
            <a:ext uri="{FF2B5EF4-FFF2-40B4-BE49-F238E27FC236}">
              <a16:creationId xmlns:a16="http://schemas.microsoft.com/office/drawing/2014/main" id="{B81F785D-9B6A-4E9A-A441-D77FE7C9939A}"/>
            </a:ext>
          </a:extLst>
        </xdr:cNvPr>
        <xdr:cNvSpPr txBox="1">
          <a:spLocks noChangeArrowheads="1"/>
        </xdr:cNvSpPr>
      </xdr:nvSpPr>
      <xdr:spPr bwMode="auto">
        <a:xfrm>
          <a:off x="4019363" y="16304472"/>
          <a:ext cx="1273922" cy="8911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98</xdr:row>
      <xdr:rowOff>171680</xdr:rowOff>
    </xdr:from>
    <xdr:to>
      <xdr:col>5</xdr:col>
      <xdr:colOff>102160</xdr:colOff>
      <xdr:row>99</xdr:row>
      <xdr:rowOff>48142</xdr:rowOff>
    </xdr:to>
    <xdr:sp macro="" textlink="">
      <xdr:nvSpPr>
        <xdr:cNvPr id="214" name="Text Box 219" hidden="1">
          <a:extLst>
            <a:ext uri="{FF2B5EF4-FFF2-40B4-BE49-F238E27FC236}">
              <a16:creationId xmlns:a16="http://schemas.microsoft.com/office/drawing/2014/main" id="{9DE84715-3885-4BA6-B81B-89D8B43A4F37}"/>
            </a:ext>
          </a:extLst>
        </xdr:cNvPr>
        <xdr:cNvSpPr txBox="1">
          <a:spLocks noChangeArrowheads="1"/>
        </xdr:cNvSpPr>
      </xdr:nvSpPr>
      <xdr:spPr bwMode="auto">
        <a:xfrm>
          <a:off x="4019363" y="21155255"/>
          <a:ext cx="1273922" cy="574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152624</xdr:rowOff>
    </xdr:from>
    <xdr:to>
      <xdr:col>5</xdr:col>
      <xdr:colOff>102160</xdr:colOff>
      <xdr:row>121</xdr:row>
      <xdr:rowOff>20877</xdr:rowOff>
    </xdr:to>
    <xdr:sp macro="" textlink="">
      <xdr:nvSpPr>
        <xdr:cNvPr id="215" name="Text Box 218" hidden="1">
          <a:extLst>
            <a:ext uri="{FF2B5EF4-FFF2-40B4-BE49-F238E27FC236}">
              <a16:creationId xmlns:a16="http://schemas.microsoft.com/office/drawing/2014/main" id="{381B6C69-504F-461B-916F-6E80F3A05AA2}"/>
            </a:ext>
          </a:extLst>
        </xdr:cNvPr>
        <xdr:cNvSpPr txBox="1">
          <a:spLocks noChangeArrowheads="1"/>
        </xdr:cNvSpPr>
      </xdr:nvSpPr>
      <xdr:spPr bwMode="auto">
        <a:xfrm>
          <a:off x="4019363" y="21317174"/>
          <a:ext cx="1273922" cy="41545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152624</xdr:rowOff>
    </xdr:from>
    <xdr:to>
      <xdr:col>5</xdr:col>
      <xdr:colOff>102160</xdr:colOff>
      <xdr:row>120</xdr:row>
      <xdr:rowOff>119</xdr:rowOff>
    </xdr:to>
    <xdr:sp macro="" textlink="">
      <xdr:nvSpPr>
        <xdr:cNvPr id="216" name="Text Box 217" hidden="1">
          <a:extLst>
            <a:ext uri="{FF2B5EF4-FFF2-40B4-BE49-F238E27FC236}">
              <a16:creationId xmlns:a16="http://schemas.microsoft.com/office/drawing/2014/main" id="{0BBF494A-2014-4733-809C-6CE2D52BCC2E}"/>
            </a:ext>
          </a:extLst>
        </xdr:cNvPr>
        <xdr:cNvSpPr txBox="1">
          <a:spLocks noChangeArrowheads="1"/>
        </xdr:cNvSpPr>
      </xdr:nvSpPr>
      <xdr:spPr bwMode="auto">
        <a:xfrm>
          <a:off x="4019363" y="21317174"/>
          <a:ext cx="1273922" cy="39527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307659</xdr:rowOff>
    </xdr:from>
    <xdr:to>
      <xdr:col>5</xdr:col>
      <xdr:colOff>287804</xdr:colOff>
      <xdr:row>95</xdr:row>
      <xdr:rowOff>124980</xdr:rowOff>
    </xdr:to>
    <xdr:sp macro="" textlink="">
      <xdr:nvSpPr>
        <xdr:cNvPr id="217" name="Text Box 242" hidden="1">
          <a:extLst>
            <a:ext uri="{FF2B5EF4-FFF2-40B4-BE49-F238E27FC236}">
              <a16:creationId xmlns:a16="http://schemas.microsoft.com/office/drawing/2014/main" id="{3E444C81-81CC-4629-A554-396FA019E922}"/>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18" name="Text Box 241" hidden="1">
          <a:extLst>
            <a:ext uri="{FF2B5EF4-FFF2-40B4-BE49-F238E27FC236}">
              <a16:creationId xmlns:a16="http://schemas.microsoft.com/office/drawing/2014/main" id="{A8AD7072-6B24-4B01-A90F-4B9057E6790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19" name="Text Box 240" hidden="1">
          <a:extLst>
            <a:ext uri="{FF2B5EF4-FFF2-40B4-BE49-F238E27FC236}">
              <a16:creationId xmlns:a16="http://schemas.microsoft.com/office/drawing/2014/main" id="{F7F7DD96-77CC-4799-AF58-1A113D89703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220" name="Text Box 239" hidden="1">
          <a:extLst>
            <a:ext uri="{FF2B5EF4-FFF2-40B4-BE49-F238E27FC236}">
              <a16:creationId xmlns:a16="http://schemas.microsoft.com/office/drawing/2014/main" id="{61811040-6382-4081-B3C0-78198170030F}"/>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59420</xdr:rowOff>
    </xdr:from>
    <xdr:to>
      <xdr:col>5</xdr:col>
      <xdr:colOff>102160</xdr:colOff>
      <xdr:row>58</xdr:row>
      <xdr:rowOff>29482</xdr:rowOff>
    </xdr:to>
    <xdr:sp macro="" textlink="">
      <xdr:nvSpPr>
        <xdr:cNvPr id="221" name="Text Box 238" hidden="1">
          <a:extLst>
            <a:ext uri="{FF2B5EF4-FFF2-40B4-BE49-F238E27FC236}">
              <a16:creationId xmlns:a16="http://schemas.microsoft.com/office/drawing/2014/main" id="{0EEA599B-ABE8-493E-B420-2171273C754C}"/>
            </a:ext>
          </a:extLst>
        </xdr:cNvPr>
        <xdr:cNvSpPr txBox="1">
          <a:spLocks noChangeArrowheads="1"/>
        </xdr:cNvSpPr>
      </xdr:nvSpPr>
      <xdr:spPr bwMode="auto">
        <a:xfrm>
          <a:off x="4019363" y="11260820"/>
          <a:ext cx="1273922" cy="855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293753</xdr:rowOff>
    </xdr:to>
    <xdr:sp macro="" textlink="">
      <xdr:nvSpPr>
        <xdr:cNvPr id="222" name="Text Box 237" hidden="1">
          <a:extLst>
            <a:ext uri="{FF2B5EF4-FFF2-40B4-BE49-F238E27FC236}">
              <a16:creationId xmlns:a16="http://schemas.microsoft.com/office/drawing/2014/main" id="{D00E9F69-56ED-49EF-B632-0CBEBCD26F16}"/>
            </a:ext>
          </a:extLst>
        </xdr:cNvPr>
        <xdr:cNvSpPr txBox="1">
          <a:spLocks noChangeArrowheads="1"/>
        </xdr:cNvSpPr>
      </xdr:nvSpPr>
      <xdr:spPr bwMode="auto">
        <a:xfrm>
          <a:off x="4019363" y="12371108"/>
          <a:ext cx="1273922" cy="4035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25746</xdr:rowOff>
    </xdr:to>
    <xdr:sp macro="" textlink="">
      <xdr:nvSpPr>
        <xdr:cNvPr id="223" name="Text Box 236" hidden="1">
          <a:extLst>
            <a:ext uri="{FF2B5EF4-FFF2-40B4-BE49-F238E27FC236}">
              <a16:creationId xmlns:a16="http://schemas.microsoft.com/office/drawing/2014/main" id="{BB1CB7BA-3FC5-41E0-91B9-2E39C030F19F}"/>
            </a:ext>
          </a:extLst>
        </xdr:cNvPr>
        <xdr:cNvSpPr txBox="1">
          <a:spLocks noChangeArrowheads="1"/>
        </xdr:cNvSpPr>
      </xdr:nvSpPr>
      <xdr:spPr bwMode="auto">
        <a:xfrm>
          <a:off x="4019363" y="14469024"/>
          <a:ext cx="1273922" cy="12158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102160</xdr:colOff>
      <xdr:row>73</xdr:row>
      <xdr:rowOff>139961</xdr:rowOff>
    </xdr:to>
    <xdr:sp macro="" textlink="">
      <xdr:nvSpPr>
        <xdr:cNvPr id="224" name="Text Box 235" hidden="1">
          <a:extLst>
            <a:ext uri="{FF2B5EF4-FFF2-40B4-BE49-F238E27FC236}">
              <a16:creationId xmlns:a16="http://schemas.microsoft.com/office/drawing/2014/main" id="{2A29E3B5-C260-4A57-911B-19317A5CD01A}"/>
            </a:ext>
          </a:extLst>
        </xdr:cNvPr>
        <xdr:cNvSpPr txBox="1">
          <a:spLocks noChangeArrowheads="1"/>
        </xdr:cNvSpPr>
      </xdr:nvSpPr>
      <xdr:spPr bwMode="auto">
        <a:xfrm>
          <a:off x="4019363" y="14678312"/>
          <a:ext cx="1273922" cy="1485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9894</xdr:rowOff>
    </xdr:from>
    <xdr:to>
      <xdr:col>5</xdr:col>
      <xdr:colOff>102160</xdr:colOff>
      <xdr:row>74</xdr:row>
      <xdr:rowOff>170150</xdr:rowOff>
    </xdr:to>
    <xdr:sp macro="" textlink="">
      <xdr:nvSpPr>
        <xdr:cNvPr id="225" name="Text Box 234" hidden="1">
          <a:extLst>
            <a:ext uri="{FF2B5EF4-FFF2-40B4-BE49-F238E27FC236}">
              <a16:creationId xmlns:a16="http://schemas.microsoft.com/office/drawing/2014/main" id="{4CCC8C00-C348-480D-ADAB-F8B34886975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12346</xdr:rowOff>
    </xdr:from>
    <xdr:to>
      <xdr:col>5</xdr:col>
      <xdr:colOff>102160</xdr:colOff>
      <xdr:row>74</xdr:row>
      <xdr:rowOff>170150</xdr:rowOff>
    </xdr:to>
    <xdr:sp macro="" textlink="">
      <xdr:nvSpPr>
        <xdr:cNvPr id="226" name="Text Box 233" hidden="1">
          <a:extLst>
            <a:ext uri="{FF2B5EF4-FFF2-40B4-BE49-F238E27FC236}">
              <a16:creationId xmlns:a16="http://schemas.microsoft.com/office/drawing/2014/main" id="{4345AF68-F502-4A20-B869-38438D79FBA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162947</xdr:rowOff>
    </xdr:from>
    <xdr:to>
      <xdr:col>5</xdr:col>
      <xdr:colOff>102160</xdr:colOff>
      <xdr:row>94</xdr:row>
      <xdr:rowOff>20832</xdr:rowOff>
    </xdr:to>
    <xdr:sp macro="" textlink="">
      <xdr:nvSpPr>
        <xdr:cNvPr id="227" name="Text Box 232" hidden="1">
          <a:extLst>
            <a:ext uri="{FF2B5EF4-FFF2-40B4-BE49-F238E27FC236}">
              <a16:creationId xmlns:a16="http://schemas.microsoft.com/office/drawing/2014/main" id="{287BEE6D-937A-45B4-AEDD-E3AE86A15714}"/>
            </a:ext>
          </a:extLst>
        </xdr:cNvPr>
        <xdr:cNvSpPr txBox="1">
          <a:spLocks noChangeArrowheads="1"/>
        </xdr:cNvSpPr>
      </xdr:nvSpPr>
      <xdr:spPr bwMode="auto">
        <a:xfrm>
          <a:off x="4019363" y="20241647"/>
          <a:ext cx="1273922" cy="38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152691</xdr:rowOff>
    </xdr:from>
    <xdr:to>
      <xdr:col>5</xdr:col>
      <xdr:colOff>102160</xdr:colOff>
      <xdr:row>120</xdr:row>
      <xdr:rowOff>116193</xdr:rowOff>
    </xdr:to>
    <xdr:sp macro="" textlink="">
      <xdr:nvSpPr>
        <xdr:cNvPr id="228" name="Text Box 231" hidden="1">
          <a:extLst>
            <a:ext uri="{FF2B5EF4-FFF2-40B4-BE49-F238E27FC236}">
              <a16:creationId xmlns:a16="http://schemas.microsoft.com/office/drawing/2014/main" id="{AACD78FB-3BE6-48BB-B110-B3A3982B81D7}"/>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152691</xdr:rowOff>
    </xdr:from>
    <xdr:to>
      <xdr:col>5</xdr:col>
      <xdr:colOff>102160</xdr:colOff>
      <xdr:row>120</xdr:row>
      <xdr:rowOff>116193</xdr:rowOff>
    </xdr:to>
    <xdr:sp macro="" textlink="">
      <xdr:nvSpPr>
        <xdr:cNvPr id="229" name="Text Box 230" hidden="1">
          <a:extLst>
            <a:ext uri="{FF2B5EF4-FFF2-40B4-BE49-F238E27FC236}">
              <a16:creationId xmlns:a16="http://schemas.microsoft.com/office/drawing/2014/main" id="{9963DBDE-2871-4F4E-8B52-713F8B8DA7C1}"/>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30" name="Text Box 247" hidden="1">
          <a:extLst>
            <a:ext uri="{FF2B5EF4-FFF2-40B4-BE49-F238E27FC236}">
              <a16:creationId xmlns:a16="http://schemas.microsoft.com/office/drawing/2014/main" id="{AFC75199-63C4-4135-B192-64DC5E31C211}"/>
            </a:ext>
          </a:extLst>
        </xdr:cNvPr>
        <xdr:cNvSpPr txBox="1">
          <a:spLocks noChangeArrowheads="1"/>
        </xdr:cNvSpPr>
      </xdr:nvSpPr>
      <xdr:spPr bwMode="auto">
        <a:xfrm>
          <a:off x="15171467" y="3136527"/>
          <a:ext cx="1294179"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307659</xdr:rowOff>
    </xdr:from>
    <xdr:to>
      <xdr:col>5</xdr:col>
      <xdr:colOff>287804</xdr:colOff>
      <xdr:row>95</xdr:row>
      <xdr:rowOff>124980</xdr:rowOff>
    </xdr:to>
    <xdr:sp macro="" textlink="">
      <xdr:nvSpPr>
        <xdr:cNvPr id="231" name="Text Box 261" hidden="1">
          <a:extLst>
            <a:ext uri="{FF2B5EF4-FFF2-40B4-BE49-F238E27FC236}">
              <a16:creationId xmlns:a16="http://schemas.microsoft.com/office/drawing/2014/main" id="{211884E6-5119-47FA-881B-FAC13B0F7357}"/>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32" name="Text Box 260" hidden="1">
          <a:extLst>
            <a:ext uri="{FF2B5EF4-FFF2-40B4-BE49-F238E27FC236}">
              <a16:creationId xmlns:a16="http://schemas.microsoft.com/office/drawing/2014/main" id="{CCC7CC99-4754-4FCA-8C8F-3CD68BD1B11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33" name="Text Box 259" hidden="1">
          <a:extLst>
            <a:ext uri="{FF2B5EF4-FFF2-40B4-BE49-F238E27FC236}">
              <a16:creationId xmlns:a16="http://schemas.microsoft.com/office/drawing/2014/main" id="{59F1C0D3-234D-4C72-A31C-19F320CF6DB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234" name="Text Box 258" hidden="1">
          <a:extLst>
            <a:ext uri="{FF2B5EF4-FFF2-40B4-BE49-F238E27FC236}">
              <a16:creationId xmlns:a16="http://schemas.microsoft.com/office/drawing/2014/main" id="{BF5F822C-B608-4C17-AD9E-8EEAE91F4471}"/>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235" name="Text Box 257" hidden="1">
          <a:extLst>
            <a:ext uri="{FF2B5EF4-FFF2-40B4-BE49-F238E27FC236}">
              <a16:creationId xmlns:a16="http://schemas.microsoft.com/office/drawing/2014/main" id="{A9C255A6-E4B1-40B7-86B3-74129378CCDD}"/>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295658</xdr:rowOff>
    </xdr:to>
    <xdr:sp macro="" textlink="">
      <xdr:nvSpPr>
        <xdr:cNvPr id="236" name="Text Box 256" hidden="1">
          <a:extLst>
            <a:ext uri="{FF2B5EF4-FFF2-40B4-BE49-F238E27FC236}">
              <a16:creationId xmlns:a16="http://schemas.microsoft.com/office/drawing/2014/main" id="{CBD46050-3BF8-45F3-92A7-BD0AB3748B93}"/>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237" name="Text Box 255" hidden="1">
          <a:extLst>
            <a:ext uri="{FF2B5EF4-FFF2-40B4-BE49-F238E27FC236}">
              <a16:creationId xmlns:a16="http://schemas.microsoft.com/office/drawing/2014/main" id="{72915D86-7897-4323-8FE7-BA05316176F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102160</xdr:colOff>
      <xdr:row>73</xdr:row>
      <xdr:rowOff>169154</xdr:rowOff>
    </xdr:to>
    <xdr:sp macro="" textlink="">
      <xdr:nvSpPr>
        <xdr:cNvPr id="238" name="Text Box 254" hidden="1">
          <a:extLst>
            <a:ext uri="{FF2B5EF4-FFF2-40B4-BE49-F238E27FC236}">
              <a16:creationId xmlns:a16="http://schemas.microsoft.com/office/drawing/2014/main" id="{6EF9251B-5936-43E2-9168-AE30F6F3BF6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9894</xdr:rowOff>
    </xdr:from>
    <xdr:to>
      <xdr:col>5</xdr:col>
      <xdr:colOff>102160</xdr:colOff>
      <xdr:row>74</xdr:row>
      <xdr:rowOff>170150</xdr:rowOff>
    </xdr:to>
    <xdr:sp macro="" textlink="">
      <xdr:nvSpPr>
        <xdr:cNvPr id="239" name="Text Box 253" hidden="1">
          <a:extLst>
            <a:ext uri="{FF2B5EF4-FFF2-40B4-BE49-F238E27FC236}">
              <a16:creationId xmlns:a16="http://schemas.microsoft.com/office/drawing/2014/main" id="{C22579D3-F197-4F91-B72F-593A62DF4F43}"/>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12346</xdr:rowOff>
    </xdr:from>
    <xdr:to>
      <xdr:col>5</xdr:col>
      <xdr:colOff>102160</xdr:colOff>
      <xdr:row>74</xdr:row>
      <xdr:rowOff>170150</xdr:rowOff>
    </xdr:to>
    <xdr:sp macro="" textlink="">
      <xdr:nvSpPr>
        <xdr:cNvPr id="240" name="Text Box 252" hidden="1">
          <a:extLst>
            <a:ext uri="{FF2B5EF4-FFF2-40B4-BE49-F238E27FC236}">
              <a16:creationId xmlns:a16="http://schemas.microsoft.com/office/drawing/2014/main" id="{DBF19F95-64A4-4C78-8998-784EC77A05FB}"/>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124137</xdr:rowOff>
    </xdr:from>
    <xdr:to>
      <xdr:col>5</xdr:col>
      <xdr:colOff>102160</xdr:colOff>
      <xdr:row>94</xdr:row>
      <xdr:rowOff>12154</xdr:rowOff>
    </xdr:to>
    <xdr:sp macro="" textlink="">
      <xdr:nvSpPr>
        <xdr:cNvPr id="241" name="Text Box 251" hidden="1">
          <a:extLst>
            <a:ext uri="{FF2B5EF4-FFF2-40B4-BE49-F238E27FC236}">
              <a16:creationId xmlns:a16="http://schemas.microsoft.com/office/drawing/2014/main" id="{ACE3A893-2004-4DD8-A9F0-511988DCB5BE}"/>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126581</xdr:rowOff>
    </xdr:from>
    <xdr:to>
      <xdr:col>5</xdr:col>
      <xdr:colOff>102160</xdr:colOff>
      <xdr:row>120</xdr:row>
      <xdr:rowOff>116193</xdr:rowOff>
    </xdr:to>
    <xdr:sp macro="" textlink="">
      <xdr:nvSpPr>
        <xdr:cNvPr id="242" name="Text Box 250" hidden="1">
          <a:extLst>
            <a:ext uri="{FF2B5EF4-FFF2-40B4-BE49-F238E27FC236}">
              <a16:creationId xmlns:a16="http://schemas.microsoft.com/office/drawing/2014/main" id="{2AF867EC-5143-4477-B2F2-959D6757E734}"/>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126581</xdr:rowOff>
    </xdr:from>
    <xdr:to>
      <xdr:col>5</xdr:col>
      <xdr:colOff>102160</xdr:colOff>
      <xdr:row>120</xdr:row>
      <xdr:rowOff>116193</xdr:rowOff>
    </xdr:to>
    <xdr:sp macro="" textlink="">
      <xdr:nvSpPr>
        <xdr:cNvPr id="243" name="Text Box 249" hidden="1">
          <a:extLst>
            <a:ext uri="{FF2B5EF4-FFF2-40B4-BE49-F238E27FC236}">
              <a16:creationId xmlns:a16="http://schemas.microsoft.com/office/drawing/2014/main" id="{EADCD9EA-F835-4C55-AB43-D3D6D9421F91}"/>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44" name="Text Box 248" hidden="1">
          <a:extLst>
            <a:ext uri="{FF2B5EF4-FFF2-40B4-BE49-F238E27FC236}">
              <a16:creationId xmlns:a16="http://schemas.microsoft.com/office/drawing/2014/main" id="{AF4005B8-4719-4EE5-B25C-2E48F075CCA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307659</xdr:rowOff>
    </xdr:from>
    <xdr:to>
      <xdr:col>5</xdr:col>
      <xdr:colOff>287804</xdr:colOff>
      <xdr:row>95</xdr:row>
      <xdr:rowOff>124980</xdr:rowOff>
    </xdr:to>
    <xdr:sp macro="" textlink="">
      <xdr:nvSpPr>
        <xdr:cNvPr id="245" name="Text Box 275" hidden="1">
          <a:extLst>
            <a:ext uri="{FF2B5EF4-FFF2-40B4-BE49-F238E27FC236}">
              <a16:creationId xmlns:a16="http://schemas.microsoft.com/office/drawing/2014/main" id="{2668C521-AE04-4691-8F63-925F2CF3C626}"/>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46" name="Text Box 274" hidden="1">
          <a:extLst>
            <a:ext uri="{FF2B5EF4-FFF2-40B4-BE49-F238E27FC236}">
              <a16:creationId xmlns:a16="http://schemas.microsoft.com/office/drawing/2014/main" id="{0BCA7623-0169-4195-A623-CB05AD13C5D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47" name="Text Box 273" hidden="1">
          <a:extLst>
            <a:ext uri="{FF2B5EF4-FFF2-40B4-BE49-F238E27FC236}">
              <a16:creationId xmlns:a16="http://schemas.microsoft.com/office/drawing/2014/main" id="{286C0F9D-EF38-4CFD-B695-2AC1972265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248" name="Text Box 272" hidden="1">
          <a:extLst>
            <a:ext uri="{FF2B5EF4-FFF2-40B4-BE49-F238E27FC236}">
              <a16:creationId xmlns:a16="http://schemas.microsoft.com/office/drawing/2014/main" id="{A65B6307-03B0-4175-9C72-FF316933197B}"/>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249" name="Text Box 271" hidden="1">
          <a:extLst>
            <a:ext uri="{FF2B5EF4-FFF2-40B4-BE49-F238E27FC236}">
              <a16:creationId xmlns:a16="http://schemas.microsoft.com/office/drawing/2014/main" id="{B35932DD-5A19-4DD8-9C4E-60D9BC3B26AE}"/>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295658</xdr:rowOff>
    </xdr:to>
    <xdr:sp macro="" textlink="">
      <xdr:nvSpPr>
        <xdr:cNvPr id="250" name="Text Box 270" hidden="1">
          <a:extLst>
            <a:ext uri="{FF2B5EF4-FFF2-40B4-BE49-F238E27FC236}">
              <a16:creationId xmlns:a16="http://schemas.microsoft.com/office/drawing/2014/main" id="{8FB0A7D4-0694-4041-9BAE-2B4725E38A0D}"/>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251" name="Text Box 269" hidden="1">
          <a:extLst>
            <a:ext uri="{FF2B5EF4-FFF2-40B4-BE49-F238E27FC236}">
              <a16:creationId xmlns:a16="http://schemas.microsoft.com/office/drawing/2014/main" id="{915A34C6-7B30-40C3-AA68-225692DE0DEC}"/>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102160</xdr:colOff>
      <xdr:row>73</xdr:row>
      <xdr:rowOff>169154</xdr:rowOff>
    </xdr:to>
    <xdr:sp macro="" textlink="">
      <xdr:nvSpPr>
        <xdr:cNvPr id="252" name="Text Box 268" hidden="1">
          <a:extLst>
            <a:ext uri="{FF2B5EF4-FFF2-40B4-BE49-F238E27FC236}">
              <a16:creationId xmlns:a16="http://schemas.microsoft.com/office/drawing/2014/main" id="{554538AB-6A18-4DB6-949F-7D9CF7E3743E}"/>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9894</xdr:rowOff>
    </xdr:from>
    <xdr:to>
      <xdr:col>5</xdr:col>
      <xdr:colOff>102160</xdr:colOff>
      <xdr:row>74</xdr:row>
      <xdr:rowOff>170150</xdr:rowOff>
    </xdr:to>
    <xdr:sp macro="" textlink="">
      <xdr:nvSpPr>
        <xdr:cNvPr id="253" name="Text Box 267" hidden="1">
          <a:extLst>
            <a:ext uri="{FF2B5EF4-FFF2-40B4-BE49-F238E27FC236}">
              <a16:creationId xmlns:a16="http://schemas.microsoft.com/office/drawing/2014/main" id="{E670735B-5D2C-41BF-B6EA-595A1DFDD7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12346</xdr:rowOff>
    </xdr:from>
    <xdr:to>
      <xdr:col>5</xdr:col>
      <xdr:colOff>102160</xdr:colOff>
      <xdr:row>74</xdr:row>
      <xdr:rowOff>170150</xdr:rowOff>
    </xdr:to>
    <xdr:sp macro="" textlink="">
      <xdr:nvSpPr>
        <xdr:cNvPr id="254" name="Text Box 266" hidden="1">
          <a:extLst>
            <a:ext uri="{FF2B5EF4-FFF2-40B4-BE49-F238E27FC236}">
              <a16:creationId xmlns:a16="http://schemas.microsoft.com/office/drawing/2014/main" id="{BFB3B6D7-80B1-48BF-A5A3-C6F0C8CDC44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124137</xdr:rowOff>
    </xdr:from>
    <xdr:to>
      <xdr:col>5</xdr:col>
      <xdr:colOff>102160</xdr:colOff>
      <xdr:row>94</xdr:row>
      <xdr:rowOff>12154</xdr:rowOff>
    </xdr:to>
    <xdr:sp macro="" textlink="">
      <xdr:nvSpPr>
        <xdr:cNvPr id="255" name="Text Box 265" hidden="1">
          <a:extLst>
            <a:ext uri="{FF2B5EF4-FFF2-40B4-BE49-F238E27FC236}">
              <a16:creationId xmlns:a16="http://schemas.microsoft.com/office/drawing/2014/main" id="{915E0891-C3F8-457B-BF4B-C03812C02BD8}"/>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126581</xdr:rowOff>
    </xdr:from>
    <xdr:to>
      <xdr:col>5</xdr:col>
      <xdr:colOff>102160</xdr:colOff>
      <xdr:row>120</xdr:row>
      <xdr:rowOff>116193</xdr:rowOff>
    </xdr:to>
    <xdr:sp macro="" textlink="">
      <xdr:nvSpPr>
        <xdr:cNvPr id="256" name="Text Box 264" hidden="1">
          <a:extLst>
            <a:ext uri="{FF2B5EF4-FFF2-40B4-BE49-F238E27FC236}">
              <a16:creationId xmlns:a16="http://schemas.microsoft.com/office/drawing/2014/main" id="{B572437A-832F-469F-9164-C66BE560BA47}"/>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126581</xdr:rowOff>
    </xdr:from>
    <xdr:to>
      <xdr:col>5</xdr:col>
      <xdr:colOff>102160</xdr:colOff>
      <xdr:row>120</xdr:row>
      <xdr:rowOff>116193</xdr:rowOff>
    </xdr:to>
    <xdr:sp macro="" textlink="">
      <xdr:nvSpPr>
        <xdr:cNvPr id="257" name="Text Box 263" hidden="1">
          <a:extLst>
            <a:ext uri="{FF2B5EF4-FFF2-40B4-BE49-F238E27FC236}">
              <a16:creationId xmlns:a16="http://schemas.microsoft.com/office/drawing/2014/main" id="{7E521E80-2AC3-4060-AE47-0AF3F39B5AB8}"/>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 name="Text Box 262" hidden="1">
          <a:extLst>
            <a:ext uri="{FF2B5EF4-FFF2-40B4-BE49-F238E27FC236}">
              <a16:creationId xmlns:a16="http://schemas.microsoft.com/office/drawing/2014/main" id="{D1909C2D-D76B-4CAC-8226-DED436FDEA6D}"/>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29753</xdr:rowOff>
    </xdr:to>
    <xdr:sp macro="" textlink="">
      <xdr:nvSpPr>
        <xdr:cNvPr id="259" name="Text Box 344" hidden="1">
          <a:extLst>
            <a:ext uri="{FF2B5EF4-FFF2-40B4-BE49-F238E27FC236}">
              <a16:creationId xmlns:a16="http://schemas.microsoft.com/office/drawing/2014/main" id="{1450F7E8-B04E-48C8-8E49-E58704259F26}"/>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60" name="Text Box 343" hidden="1">
          <a:extLst>
            <a:ext uri="{FF2B5EF4-FFF2-40B4-BE49-F238E27FC236}">
              <a16:creationId xmlns:a16="http://schemas.microsoft.com/office/drawing/2014/main" id="{117DBE03-83C2-408D-82AD-508A6A5C638E}"/>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61" name="Text Box 342" hidden="1">
          <a:extLst>
            <a:ext uri="{FF2B5EF4-FFF2-40B4-BE49-F238E27FC236}">
              <a16:creationId xmlns:a16="http://schemas.microsoft.com/office/drawing/2014/main" id="{4A0083AD-DFA3-44BF-8094-5225F23B849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262" name="Text Box 341" hidden="1">
          <a:extLst>
            <a:ext uri="{FF2B5EF4-FFF2-40B4-BE49-F238E27FC236}">
              <a16:creationId xmlns:a16="http://schemas.microsoft.com/office/drawing/2014/main" id="{4528EB00-087C-4D18-82E8-60924E89AB93}"/>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263" name="Text Box 340" hidden="1">
          <a:extLst>
            <a:ext uri="{FF2B5EF4-FFF2-40B4-BE49-F238E27FC236}">
              <a16:creationId xmlns:a16="http://schemas.microsoft.com/office/drawing/2014/main" id="{8DD3AB5E-6CB5-4608-A1B8-95CAAB9572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295658</xdr:rowOff>
    </xdr:to>
    <xdr:sp macro="" textlink="">
      <xdr:nvSpPr>
        <xdr:cNvPr id="264" name="Text Box 339" hidden="1">
          <a:extLst>
            <a:ext uri="{FF2B5EF4-FFF2-40B4-BE49-F238E27FC236}">
              <a16:creationId xmlns:a16="http://schemas.microsoft.com/office/drawing/2014/main" id="{2514C04F-6B6C-457C-8D3C-BB13515B3FE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265" name="Text Box 338" hidden="1">
          <a:extLst>
            <a:ext uri="{FF2B5EF4-FFF2-40B4-BE49-F238E27FC236}">
              <a16:creationId xmlns:a16="http://schemas.microsoft.com/office/drawing/2014/main" id="{26081853-031A-4C45-B5B9-BC842E41318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102160</xdr:colOff>
      <xdr:row>73</xdr:row>
      <xdr:rowOff>169154</xdr:rowOff>
    </xdr:to>
    <xdr:sp macro="" textlink="">
      <xdr:nvSpPr>
        <xdr:cNvPr id="266" name="Text Box 337" hidden="1">
          <a:extLst>
            <a:ext uri="{FF2B5EF4-FFF2-40B4-BE49-F238E27FC236}">
              <a16:creationId xmlns:a16="http://schemas.microsoft.com/office/drawing/2014/main" id="{5B26815E-E707-4D10-9228-17B44078745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9894</xdr:rowOff>
    </xdr:from>
    <xdr:to>
      <xdr:col>5</xdr:col>
      <xdr:colOff>102160</xdr:colOff>
      <xdr:row>74</xdr:row>
      <xdr:rowOff>170150</xdr:rowOff>
    </xdr:to>
    <xdr:sp macro="" textlink="">
      <xdr:nvSpPr>
        <xdr:cNvPr id="267" name="Text Box 336" hidden="1">
          <a:extLst>
            <a:ext uri="{FF2B5EF4-FFF2-40B4-BE49-F238E27FC236}">
              <a16:creationId xmlns:a16="http://schemas.microsoft.com/office/drawing/2014/main" id="{E3E0D2CA-A281-4F7A-B513-6C81F5C3F6D9}"/>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12346</xdr:rowOff>
    </xdr:from>
    <xdr:to>
      <xdr:col>5</xdr:col>
      <xdr:colOff>102160</xdr:colOff>
      <xdr:row>74</xdr:row>
      <xdr:rowOff>170150</xdr:rowOff>
    </xdr:to>
    <xdr:sp macro="" textlink="">
      <xdr:nvSpPr>
        <xdr:cNvPr id="268" name="Text Box 335" hidden="1">
          <a:extLst>
            <a:ext uri="{FF2B5EF4-FFF2-40B4-BE49-F238E27FC236}">
              <a16:creationId xmlns:a16="http://schemas.microsoft.com/office/drawing/2014/main" id="{725C41A4-EC03-4BA0-8F9C-6EC294EF4E2E}"/>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106810</xdr:rowOff>
    </xdr:from>
    <xdr:to>
      <xdr:col>5</xdr:col>
      <xdr:colOff>102160</xdr:colOff>
      <xdr:row>192</xdr:row>
      <xdr:rowOff>107363</xdr:rowOff>
    </xdr:to>
    <xdr:sp macro="" textlink="">
      <xdr:nvSpPr>
        <xdr:cNvPr id="269" name="Text Box 334" hidden="1">
          <a:extLst>
            <a:ext uri="{FF2B5EF4-FFF2-40B4-BE49-F238E27FC236}">
              <a16:creationId xmlns:a16="http://schemas.microsoft.com/office/drawing/2014/main" id="{F0CA438A-442D-48D7-868F-7BE4F029261E}"/>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70" name="Text Box 333" hidden="1">
          <a:extLst>
            <a:ext uri="{FF2B5EF4-FFF2-40B4-BE49-F238E27FC236}">
              <a16:creationId xmlns:a16="http://schemas.microsoft.com/office/drawing/2014/main" id="{560E7E0B-1916-441B-8997-3AE6CC7011F2}"/>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71" name="Text Box 332" hidden="1">
          <a:extLst>
            <a:ext uri="{FF2B5EF4-FFF2-40B4-BE49-F238E27FC236}">
              <a16:creationId xmlns:a16="http://schemas.microsoft.com/office/drawing/2014/main" id="{5CAA6F53-3012-47AB-9688-F10E1FC7BD0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72" name="Text Box 331" hidden="1">
          <a:extLst>
            <a:ext uri="{FF2B5EF4-FFF2-40B4-BE49-F238E27FC236}">
              <a16:creationId xmlns:a16="http://schemas.microsoft.com/office/drawing/2014/main" id="{54B6169B-F8A2-4545-8A92-30EF0098227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8071</xdr:rowOff>
    </xdr:from>
    <xdr:to>
      <xdr:col>18</xdr:col>
      <xdr:colOff>235046</xdr:colOff>
      <xdr:row>36</xdr:row>
      <xdr:rowOff>67982</xdr:rowOff>
    </xdr:to>
    <xdr:sp macro="" textlink="">
      <xdr:nvSpPr>
        <xdr:cNvPr id="273" name="Text Box 330" hidden="1">
          <a:extLst>
            <a:ext uri="{FF2B5EF4-FFF2-40B4-BE49-F238E27FC236}">
              <a16:creationId xmlns:a16="http://schemas.microsoft.com/office/drawing/2014/main" id="{0DB43F6C-6B57-4A50-AC57-5B5EA9581C40}"/>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172944</xdr:rowOff>
    </xdr:from>
    <xdr:to>
      <xdr:col>5</xdr:col>
      <xdr:colOff>114225</xdr:colOff>
      <xdr:row>101</xdr:row>
      <xdr:rowOff>87682</xdr:rowOff>
    </xdr:to>
    <xdr:sp macro="" textlink="">
      <xdr:nvSpPr>
        <xdr:cNvPr id="274" name="Text Box 329" hidden="1">
          <a:extLst>
            <a:ext uri="{FF2B5EF4-FFF2-40B4-BE49-F238E27FC236}">
              <a16:creationId xmlns:a16="http://schemas.microsoft.com/office/drawing/2014/main" id="{20304111-F645-4AEF-AF10-74AF3BCF7946}"/>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100</xdr:row>
      <xdr:rowOff>102406</xdr:rowOff>
    </xdr:from>
    <xdr:to>
      <xdr:col>5</xdr:col>
      <xdr:colOff>114225</xdr:colOff>
      <xdr:row>102</xdr:row>
      <xdr:rowOff>225666</xdr:rowOff>
    </xdr:to>
    <xdr:sp macro="" textlink="">
      <xdr:nvSpPr>
        <xdr:cNvPr id="275" name="Text Box 328" hidden="1">
          <a:extLst>
            <a:ext uri="{FF2B5EF4-FFF2-40B4-BE49-F238E27FC236}">
              <a16:creationId xmlns:a16="http://schemas.microsoft.com/office/drawing/2014/main" id="{05FE1399-70AC-4645-B70E-98A587817610}"/>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101</xdr:row>
      <xdr:rowOff>160678</xdr:rowOff>
    </xdr:from>
    <xdr:to>
      <xdr:col>5</xdr:col>
      <xdr:colOff>114225</xdr:colOff>
      <xdr:row>105</xdr:row>
      <xdr:rowOff>86899</xdr:rowOff>
    </xdr:to>
    <xdr:sp macro="" textlink="">
      <xdr:nvSpPr>
        <xdr:cNvPr id="276" name="Text Box 327" hidden="1">
          <a:extLst>
            <a:ext uri="{FF2B5EF4-FFF2-40B4-BE49-F238E27FC236}">
              <a16:creationId xmlns:a16="http://schemas.microsoft.com/office/drawing/2014/main" id="{2B18986C-C30D-4F42-988E-CAC61FA507BA}"/>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102</xdr:row>
      <xdr:rowOff>196999</xdr:rowOff>
    </xdr:from>
    <xdr:to>
      <xdr:col>5</xdr:col>
      <xdr:colOff>114225</xdr:colOff>
      <xdr:row>106</xdr:row>
      <xdr:rowOff>1844</xdr:rowOff>
    </xdr:to>
    <xdr:sp macro="" textlink="">
      <xdr:nvSpPr>
        <xdr:cNvPr id="277" name="Text Box 326" hidden="1">
          <a:extLst>
            <a:ext uri="{FF2B5EF4-FFF2-40B4-BE49-F238E27FC236}">
              <a16:creationId xmlns:a16="http://schemas.microsoft.com/office/drawing/2014/main" id="{0EDDBB1D-B779-48F3-B6F7-A0889AE70192}"/>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90</xdr:row>
      <xdr:rowOff>94324</xdr:rowOff>
    </xdr:from>
    <xdr:to>
      <xdr:col>5</xdr:col>
      <xdr:colOff>114225</xdr:colOff>
      <xdr:row>94</xdr:row>
      <xdr:rowOff>164121</xdr:rowOff>
    </xdr:to>
    <xdr:sp macro="" textlink="">
      <xdr:nvSpPr>
        <xdr:cNvPr id="278" name="Text Box 325" hidden="1">
          <a:extLst>
            <a:ext uri="{FF2B5EF4-FFF2-40B4-BE49-F238E27FC236}">
              <a16:creationId xmlns:a16="http://schemas.microsoft.com/office/drawing/2014/main" id="{D596E528-C279-43F6-A228-62BC20B3859D}"/>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91</xdr:row>
      <xdr:rowOff>104019</xdr:rowOff>
    </xdr:from>
    <xdr:to>
      <xdr:col>5</xdr:col>
      <xdr:colOff>114225</xdr:colOff>
      <xdr:row>95</xdr:row>
      <xdr:rowOff>104872</xdr:rowOff>
    </xdr:to>
    <xdr:sp macro="" textlink="">
      <xdr:nvSpPr>
        <xdr:cNvPr id="279" name="Text Box 324" hidden="1">
          <a:extLst>
            <a:ext uri="{FF2B5EF4-FFF2-40B4-BE49-F238E27FC236}">
              <a16:creationId xmlns:a16="http://schemas.microsoft.com/office/drawing/2014/main" id="{DA3D415C-552C-4878-9759-F381995A8583}"/>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92</xdr:row>
      <xdr:rowOff>124471</xdr:rowOff>
    </xdr:from>
    <xdr:to>
      <xdr:col>5</xdr:col>
      <xdr:colOff>114225</xdr:colOff>
      <xdr:row>96</xdr:row>
      <xdr:rowOff>151270</xdr:rowOff>
    </xdr:to>
    <xdr:sp macro="" textlink="">
      <xdr:nvSpPr>
        <xdr:cNvPr id="280" name="Text Box 323" hidden="1">
          <a:extLst>
            <a:ext uri="{FF2B5EF4-FFF2-40B4-BE49-F238E27FC236}">
              <a16:creationId xmlns:a16="http://schemas.microsoft.com/office/drawing/2014/main" id="{A3228FF2-DFCB-45B2-BD07-22D520D9EC2F}"/>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93</xdr:row>
      <xdr:rowOff>85003</xdr:rowOff>
    </xdr:from>
    <xdr:to>
      <xdr:col>5</xdr:col>
      <xdr:colOff>114225</xdr:colOff>
      <xdr:row>97</xdr:row>
      <xdr:rowOff>126049</xdr:rowOff>
    </xdr:to>
    <xdr:sp macro="" textlink="">
      <xdr:nvSpPr>
        <xdr:cNvPr id="281" name="Text Box 322" hidden="1">
          <a:extLst>
            <a:ext uri="{FF2B5EF4-FFF2-40B4-BE49-F238E27FC236}">
              <a16:creationId xmlns:a16="http://schemas.microsoft.com/office/drawing/2014/main" id="{4C5F8DF3-EEAC-4BD3-97D6-34E977910CC7}"/>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29753</xdr:rowOff>
    </xdr:to>
    <xdr:sp macro="" textlink="">
      <xdr:nvSpPr>
        <xdr:cNvPr id="282" name="Text Box 321" hidden="1">
          <a:extLst>
            <a:ext uri="{FF2B5EF4-FFF2-40B4-BE49-F238E27FC236}">
              <a16:creationId xmlns:a16="http://schemas.microsoft.com/office/drawing/2014/main" id="{CAB0C575-6D1C-4E2F-94CF-2202DDA24858}"/>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83" name="Text Box 320" hidden="1">
          <a:extLst>
            <a:ext uri="{FF2B5EF4-FFF2-40B4-BE49-F238E27FC236}">
              <a16:creationId xmlns:a16="http://schemas.microsoft.com/office/drawing/2014/main" id="{7D425BEB-4C4F-46D9-A421-84B7C392A79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284" name="Text Box 319" hidden="1">
          <a:extLst>
            <a:ext uri="{FF2B5EF4-FFF2-40B4-BE49-F238E27FC236}">
              <a16:creationId xmlns:a16="http://schemas.microsoft.com/office/drawing/2014/main" id="{4518473E-B271-4600-B81F-6CB6A0C86AC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285" name="Text Box 318" hidden="1">
          <a:extLst>
            <a:ext uri="{FF2B5EF4-FFF2-40B4-BE49-F238E27FC236}">
              <a16:creationId xmlns:a16="http://schemas.microsoft.com/office/drawing/2014/main" id="{1DFE4527-5BA1-453B-B2D9-FE3D1B29E40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286" name="Text Box 317" hidden="1">
          <a:extLst>
            <a:ext uri="{FF2B5EF4-FFF2-40B4-BE49-F238E27FC236}">
              <a16:creationId xmlns:a16="http://schemas.microsoft.com/office/drawing/2014/main" id="{A62B6179-A6D9-4E89-B1E9-4261BA556DB1}"/>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295658</xdr:rowOff>
    </xdr:to>
    <xdr:sp macro="" textlink="">
      <xdr:nvSpPr>
        <xdr:cNvPr id="287" name="Text Box 316" hidden="1">
          <a:extLst>
            <a:ext uri="{FF2B5EF4-FFF2-40B4-BE49-F238E27FC236}">
              <a16:creationId xmlns:a16="http://schemas.microsoft.com/office/drawing/2014/main" id="{560A3252-46F1-4D79-A151-7B1A9BB8290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288" name="Text Box 315" hidden="1">
          <a:extLst>
            <a:ext uri="{FF2B5EF4-FFF2-40B4-BE49-F238E27FC236}">
              <a16:creationId xmlns:a16="http://schemas.microsoft.com/office/drawing/2014/main" id="{999D8E05-EB88-4523-82AB-2C8B9585323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102160</xdr:colOff>
      <xdr:row>73</xdr:row>
      <xdr:rowOff>169154</xdr:rowOff>
    </xdr:to>
    <xdr:sp macro="" textlink="">
      <xdr:nvSpPr>
        <xdr:cNvPr id="289" name="Text Box 314" hidden="1">
          <a:extLst>
            <a:ext uri="{FF2B5EF4-FFF2-40B4-BE49-F238E27FC236}">
              <a16:creationId xmlns:a16="http://schemas.microsoft.com/office/drawing/2014/main" id="{FD5C8835-7404-43EC-8A3E-84F7064D929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9894</xdr:rowOff>
    </xdr:from>
    <xdr:to>
      <xdr:col>5</xdr:col>
      <xdr:colOff>102160</xdr:colOff>
      <xdr:row>74</xdr:row>
      <xdr:rowOff>170150</xdr:rowOff>
    </xdr:to>
    <xdr:sp macro="" textlink="">
      <xdr:nvSpPr>
        <xdr:cNvPr id="290" name="Text Box 313" hidden="1">
          <a:extLst>
            <a:ext uri="{FF2B5EF4-FFF2-40B4-BE49-F238E27FC236}">
              <a16:creationId xmlns:a16="http://schemas.microsoft.com/office/drawing/2014/main" id="{229C7023-6694-4D4B-80C7-36C64EB8B41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12346</xdr:rowOff>
    </xdr:from>
    <xdr:to>
      <xdr:col>5</xdr:col>
      <xdr:colOff>102160</xdr:colOff>
      <xdr:row>74</xdr:row>
      <xdr:rowOff>170150</xdr:rowOff>
    </xdr:to>
    <xdr:sp macro="" textlink="">
      <xdr:nvSpPr>
        <xdr:cNvPr id="291" name="Text Box 312" hidden="1">
          <a:extLst>
            <a:ext uri="{FF2B5EF4-FFF2-40B4-BE49-F238E27FC236}">
              <a16:creationId xmlns:a16="http://schemas.microsoft.com/office/drawing/2014/main" id="{BCC9A783-FE27-413F-8A79-05CD72945AF1}"/>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106810</xdr:rowOff>
    </xdr:from>
    <xdr:to>
      <xdr:col>5</xdr:col>
      <xdr:colOff>102160</xdr:colOff>
      <xdr:row>192</xdr:row>
      <xdr:rowOff>107363</xdr:rowOff>
    </xdr:to>
    <xdr:sp macro="" textlink="">
      <xdr:nvSpPr>
        <xdr:cNvPr id="292" name="Text Box 311" hidden="1">
          <a:extLst>
            <a:ext uri="{FF2B5EF4-FFF2-40B4-BE49-F238E27FC236}">
              <a16:creationId xmlns:a16="http://schemas.microsoft.com/office/drawing/2014/main" id="{20DB2503-4F55-4B4A-A0B4-926CE9C0FE70}"/>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93" name="Text Box 310" hidden="1">
          <a:extLst>
            <a:ext uri="{FF2B5EF4-FFF2-40B4-BE49-F238E27FC236}">
              <a16:creationId xmlns:a16="http://schemas.microsoft.com/office/drawing/2014/main" id="{3476B9D8-F332-4392-8E90-F30D9B894D8A}"/>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94" name="Text Box 309" hidden="1">
          <a:extLst>
            <a:ext uri="{FF2B5EF4-FFF2-40B4-BE49-F238E27FC236}">
              <a16:creationId xmlns:a16="http://schemas.microsoft.com/office/drawing/2014/main" id="{EF028D2B-3CB9-43C3-91BF-2F2C57CA53C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95" name="Text Box 308" hidden="1">
          <a:extLst>
            <a:ext uri="{FF2B5EF4-FFF2-40B4-BE49-F238E27FC236}">
              <a16:creationId xmlns:a16="http://schemas.microsoft.com/office/drawing/2014/main" id="{35F216F9-5030-4F3B-A272-B3E3890DC8CC}"/>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8071</xdr:rowOff>
    </xdr:from>
    <xdr:to>
      <xdr:col>18</xdr:col>
      <xdr:colOff>235046</xdr:colOff>
      <xdr:row>36</xdr:row>
      <xdr:rowOff>67982</xdr:rowOff>
    </xdr:to>
    <xdr:sp macro="" textlink="">
      <xdr:nvSpPr>
        <xdr:cNvPr id="296" name="Text Box 307" hidden="1">
          <a:extLst>
            <a:ext uri="{FF2B5EF4-FFF2-40B4-BE49-F238E27FC236}">
              <a16:creationId xmlns:a16="http://schemas.microsoft.com/office/drawing/2014/main" id="{A5DD5362-0558-4489-9751-6FCDAAC7D4D3}"/>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172944</xdr:rowOff>
    </xdr:from>
    <xdr:to>
      <xdr:col>5</xdr:col>
      <xdr:colOff>114225</xdr:colOff>
      <xdr:row>101</xdr:row>
      <xdr:rowOff>87682</xdr:rowOff>
    </xdr:to>
    <xdr:sp macro="" textlink="">
      <xdr:nvSpPr>
        <xdr:cNvPr id="297" name="Text Box 306" hidden="1">
          <a:extLst>
            <a:ext uri="{FF2B5EF4-FFF2-40B4-BE49-F238E27FC236}">
              <a16:creationId xmlns:a16="http://schemas.microsoft.com/office/drawing/2014/main" id="{84ED9FA1-A922-4151-A257-1F285D563139}"/>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100</xdr:row>
      <xdr:rowOff>102406</xdr:rowOff>
    </xdr:from>
    <xdr:to>
      <xdr:col>5</xdr:col>
      <xdr:colOff>114225</xdr:colOff>
      <xdr:row>102</xdr:row>
      <xdr:rowOff>225666</xdr:rowOff>
    </xdr:to>
    <xdr:sp macro="" textlink="">
      <xdr:nvSpPr>
        <xdr:cNvPr id="298" name="Text Box 305" hidden="1">
          <a:extLst>
            <a:ext uri="{FF2B5EF4-FFF2-40B4-BE49-F238E27FC236}">
              <a16:creationId xmlns:a16="http://schemas.microsoft.com/office/drawing/2014/main" id="{0A20AFE3-8A1B-4271-9059-CB0D3BA90C19}"/>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101</xdr:row>
      <xdr:rowOff>160678</xdr:rowOff>
    </xdr:from>
    <xdr:to>
      <xdr:col>5</xdr:col>
      <xdr:colOff>114225</xdr:colOff>
      <xdr:row>105</xdr:row>
      <xdr:rowOff>86899</xdr:rowOff>
    </xdr:to>
    <xdr:sp macro="" textlink="">
      <xdr:nvSpPr>
        <xdr:cNvPr id="299" name="Text Box 304" hidden="1">
          <a:extLst>
            <a:ext uri="{FF2B5EF4-FFF2-40B4-BE49-F238E27FC236}">
              <a16:creationId xmlns:a16="http://schemas.microsoft.com/office/drawing/2014/main" id="{9694D6BC-9193-4E27-A5B4-0A2D0281C856}"/>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102</xdr:row>
      <xdr:rowOff>196999</xdr:rowOff>
    </xdr:from>
    <xdr:to>
      <xdr:col>5</xdr:col>
      <xdr:colOff>114225</xdr:colOff>
      <xdr:row>106</xdr:row>
      <xdr:rowOff>1844</xdr:rowOff>
    </xdr:to>
    <xdr:sp macro="" textlink="">
      <xdr:nvSpPr>
        <xdr:cNvPr id="300" name="Text Box 303" hidden="1">
          <a:extLst>
            <a:ext uri="{FF2B5EF4-FFF2-40B4-BE49-F238E27FC236}">
              <a16:creationId xmlns:a16="http://schemas.microsoft.com/office/drawing/2014/main" id="{0C4EF1AA-CC93-4B1D-BAAC-6E6FAC20713A}"/>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90</xdr:row>
      <xdr:rowOff>94324</xdr:rowOff>
    </xdr:from>
    <xdr:to>
      <xdr:col>5</xdr:col>
      <xdr:colOff>114225</xdr:colOff>
      <xdr:row>94</xdr:row>
      <xdr:rowOff>164121</xdr:rowOff>
    </xdr:to>
    <xdr:sp macro="" textlink="">
      <xdr:nvSpPr>
        <xdr:cNvPr id="301" name="Text Box 302" hidden="1">
          <a:extLst>
            <a:ext uri="{FF2B5EF4-FFF2-40B4-BE49-F238E27FC236}">
              <a16:creationId xmlns:a16="http://schemas.microsoft.com/office/drawing/2014/main" id="{459FE9E7-FCE1-4BA3-81D4-82DDEAF1303A}"/>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91</xdr:row>
      <xdr:rowOff>104019</xdr:rowOff>
    </xdr:from>
    <xdr:to>
      <xdr:col>5</xdr:col>
      <xdr:colOff>114225</xdr:colOff>
      <xdr:row>95</xdr:row>
      <xdr:rowOff>104872</xdr:rowOff>
    </xdr:to>
    <xdr:sp macro="" textlink="">
      <xdr:nvSpPr>
        <xdr:cNvPr id="302" name="Text Box 301" hidden="1">
          <a:extLst>
            <a:ext uri="{FF2B5EF4-FFF2-40B4-BE49-F238E27FC236}">
              <a16:creationId xmlns:a16="http://schemas.microsoft.com/office/drawing/2014/main" id="{F4C7DB05-381D-45CB-823A-E76F36D7D922}"/>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92</xdr:row>
      <xdr:rowOff>124471</xdr:rowOff>
    </xdr:from>
    <xdr:to>
      <xdr:col>5</xdr:col>
      <xdr:colOff>114225</xdr:colOff>
      <xdr:row>96</xdr:row>
      <xdr:rowOff>151270</xdr:rowOff>
    </xdr:to>
    <xdr:sp macro="" textlink="">
      <xdr:nvSpPr>
        <xdr:cNvPr id="303" name="Text Box 300" hidden="1">
          <a:extLst>
            <a:ext uri="{FF2B5EF4-FFF2-40B4-BE49-F238E27FC236}">
              <a16:creationId xmlns:a16="http://schemas.microsoft.com/office/drawing/2014/main" id="{7A3A25D0-5914-4255-B1D4-471A4E0F363B}"/>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93</xdr:row>
      <xdr:rowOff>85003</xdr:rowOff>
    </xdr:from>
    <xdr:to>
      <xdr:col>5</xdr:col>
      <xdr:colOff>114225</xdr:colOff>
      <xdr:row>97</xdr:row>
      <xdr:rowOff>126049</xdr:rowOff>
    </xdr:to>
    <xdr:sp macro="" textlink="">
      <xdr:nvSpPr>
        <xdr:cNvPr id="304" name="Text Box 299" hidden="1">
          <a:extLst>
            <a:ext uri="{FF2B5EF4-FFF2-40B4-BE49-F238E27FC236}">
              <a16:creationId xmlns:a16="http://schemas.microsoft.com/office/drawing/2014/main" id="{47861A2D-7C76-4B72-BE40-92DD70AD6542}"/>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29753</xdr:rowOff>
    </xdr:to>
    <xdr:sp macro="" textlink="">
      <xdr:nvSpPr>
        <xdr:cNvPr id="305" name="Text Box 289" hidden="1">
          <a:extLst>
            <a:ext uri="{FF2B5EF4-FFF2-40B4-BE49-F238E27FC236}">
              <a16:creationId xmlns:a16="http://schemas.microsoft.com/office/drawing/2014/main" id="{8DE1C5AE-7EA4-486C-9FCD-AF6A84266423}"/>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06" name="Text Box 288" hidden="1">
          <a:extLst>
            <a:ext uri="{FF2B5EF4-FFF2-40B4-BE49-F238E27FC236}">
              <a16:creationId xmlns:a16="http://schemas.microsoft.com/office/drawing/2014/main" id="{BBB45AE8-CC1F-45D8-8AB4-78924AFCEB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07" name="Text Box 287" hidden="1">
          <a:extLst>
            <a:ext uri="{FF2B5EF4-FFF2-40B4-BE49-F238E27FC236}">
              <a16:creationId xmlns:a16="http://schemas.microsoft.com/office/drawing/2014/main" id="{7B4F7439-AC5E-4737-9BBB-7476C26C8AD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308" name="Text Box 286" hidden="1">
          <a:extLst>
            <a:ext uri="{FF2B5EF4-FFF2-40B4-BE49-F238E27FC236}">
              <a16:creationId xmlns:a16="http://schemas.microsoft.com/office/drawing/2014/main" id="{F2918583-55A8-45C4-9CF3-47352402C164}"/>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309" name="Text Box 285" hidden="1">
          <a:extLst>
            <a:ext uri="{FF2B5EF4-FFF2-40B4-BE49-F238E27FC236}">
              <a16:creationId xmlns:a16="http://schemas.microsoft.com/office/drawing/2014/main" id="{CB4DE17A-4DD2-4FF9-9959-DAC55B85CA7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295658</xdr:rowOff>
    </xdr:to>
    <xdr:sp macro="" textlink="">
      <xdr:nvSpPr>
        <xdr:cNvPr id="310" name="Text Box 284" hidden="1">
          <a:extLst>
            <a:ext uri="{FF2B5EF4-FFF2-40B4-BE49-F238E27FC236}">
              <a16:creationId xmlns:a16="http://schemas.microsoft.com/office/drawing/2014/main" id="{79471AE0-772E-4179-AFB6-7B8370B93B02}"/>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311" name="Text Box 283" hidden="1">
          <a:extLst>
            <a:ext uri="{FF2B5EF4-FFF2-40B4-BE49-F238E27FC236}">
              <a16:creationId xmlns:a16="http://schemas.microsoft.com/office/drawing/2014/main" id="{3E4688E3-6C97-431F-8F6E-0C790F3DCA9F}"/>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102160</xdr:colOff>
      <xdr:row>73</xdr:row>
      <xdr:rowOff>169154</xdr:rowOff>
    </xdr:to>
    <xdr:sp macro="" textlink="">
      <xdr:nvSpPr>
        <xdr:cNvPr id="312" name="Text Box 282" hidden="1">
          <a:extLst>
            <a:ext uri="{FF2B5EF4-FFF2-40B4-BE49-F238E27FC236}">
              <a16:creationId xmlns:a16="http://schemas.microsoft.com/office/drawing/2014/main" id="{6BD31192-C8ED-4197-844F-4648A84633B3}"/>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9894</xdr:rowOff>
    </xdr:from>
    <xdr:to>
      <xdr:col>5</xdr:col>
      <xdr:colOff>102160</xdr:colOff>
      <xdr:row>74</xdr:row>
      <xdr:rowOff>170150</xdr:rowOff>
    </xdr:to>
    <xdr:sp macro="" textlink="">
      <xdr:nvSpPr>
        <xdr:cNvPr id="313" name="Text Box 281" hidden="1">
          <a:extLst>
            <a:ext uri="{FF2B5EF4-FFF2-40B4-BE49-F238E27FC236}">
              <a16:creationId xmlns:a16="http://schemas.microsoft.com/office/drawing/2014/main" id="{CFA1856B-82C1-4540-BF0F-90EC647E21DC}"/>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12346</xdr:rowOff>
    </xdr:from>
    <xdr:to>
      <xdr:col>5</xdr:col>
      <xdr:colOff>102160</xdr:colOff>
      <xdr:row>74</xdr:row>
      <xdr:rowOff>170150</xdr:rowOff>
    </xdr:to>
    <xdr:sp macro="" textlink="">
      <xdr:nvSpPr>
        <xdr:cNvPr id="314" name="Text Box 280" hidden="1">
          <a:extLst>
            <a:ext uri="{FF2B5EF4-FFF2-40B4-BE49-F238E27FC236}">
              <a16:creationId xmlns:a16="http://schemas.microsoft.com/office/drawing/2014/main" id="{5A1125F8-D4AC-45A7-9734-28427B8E76B8}"/>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106810</xdr:rowOff>
    </xdr:from>
    <xdr:to>
      <xdr:col>5</xdr:col>
      <xdr:colOff>102160</xdr:colOff>
      <xdr:row>192</xdr:row>
      <xdr:rowOff>107363</xdr:rowOff>
    </xdr:to>
    <xdr:sp macro="" textlink="">
      <xdr:nvSpPr>
        <xdr:cNvPr id="315" name="Text Box 279" hidden="1">
          <a:extLst>
            <a:ext uri="{FF2B5EF4-FFF2-40B4-BE49-F238E27FC236}">
              <a16:creationId xmlns:a16="http://schemas.microsoft.com/office/drawing/2014/main" id="{3C5015CC-3340-40E7-ABC2-D320ECEBC94C}"/>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16" name="Text Box 278" hidden="1">
          <a:extLst>
            <a:ext uri="{FF2B5EF4-FFF2-40B4-BE49-F238E27FC236}">
              <a16:creationId xmlns:a16="http://schemas.microsoft.com/office/drawing/2014/main" id="{485457AD-F232-4549-91DC-F5A035A7C2DC}"/>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17" name="Text Box 277" hidden="1">
          <a:extLst>
            <a:ext uri="{FF2B5EF4-FFF2-40B4-BE49-F238E27FC236}">
              <a16:creationId xmlns:a16="http://schemas.microsoft.com/office/drawing/2014/main" id="{1CB14E7C-E7C1-4241-9DF9-AA98169398BF}"/>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18" name="Text Box 276" hidden="1">
          <a:extLst>
            <a:ext uri="{FF2B5EF4-FFF2-40B4-BE49-F238E27FC236}">
              <a16:creationId xmlns:a16="http://schemas.microsoft.com/office/drawing/2014/main" id="{477E0BAC-2DFD-4B56-8B88-33DD69EC322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8071</xdr:rowOff>
    </xdr:from>
    <xdr:to>
      <xdr:col>18</xdr:col>
      <xdr:colOff>235046</xdr:colOff>
      <xdr:row>36</xdr:row>
      <xdr:rowOff>67982</xdr:rowOff>
    </xdr:to>
    <xdr:sp macro="" textlink="">
      <xdr:nvSpPr>
        <xdr:cNvPr id="319" name="Text Box 290" hidden="1">
          <a:extLst>
            <a:ext uri="{FF2B5EF4-FFF2-40B4-BE49-F238E27FC236}">
              <a16:creationId xmlns:a16="http://schemas.microsoft.com/office/drawing/2014/main" id="{A1A9212B-95F4-41B5-8654-DC6643EAC74B}"/>
            </a:ext>
          </a:extLst>
        </xdr:cNvPr>
        <xdr:cNvSpPr txBox="1">
          <a:spLocks noChangeArrowheads="1"/>
        </xdr:cNvSpPr>
      </xdr:nvSpPr>
      <xdr:spPr bwMode="auto">
        <a:xfrm>
          <a:off x="15209567" y="7050221"/>
          <a:ext cx="1256079" cy="7806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172944</xdr:rowOff>
    </xdr:from>
    <xdr:to>
      <xdr:col>5</xdr:col>
      <xdr:colOff>114225</xdr:colOff>
      <xdr:row>101</xdr:row>
      <xdr:rowOff>87682</xdr:rowOff>
    </xdr:to>
    <xdr:sp macro="" textlink="">
      <xdr:nvSpPr>
        <xdr:cNvPr id="320" name="Text Box 291" hidden="1">
          <a:extLst>
            <a:ext uri="{FF2B5EF4-FFF2-40B4-BE49-F238E27FC236}">
              <a16:creationId xmlns:a16="http://schemas.microsoft.com/office/drawing/2014/main" id="{9904A332-F910-401F-9BD3-A7241C019916}"/>
            </a:ext>
          </a:extLst>
        </xdr:cNvPr>
        <xdr:cNvSpPr txBox="1">
          <a:spLocks noChangeArrowheads="1"/>
        </xdr:cNvSpPr>
      </xdr:nvSpPr>
      <xdr:spPr bwMode="auto">
        <a:xfrm>
          <a:off x="3988883" y="21337494"/>
          <a:ext cx="1316467" cy="2766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100</xdr:row>
      <xdr:rowOff>102406</xdr:rowOff>
    </xdr:from>
    <xdr:to>
      <xdr:col>5</xdr:col>
      <xdr:colOff>114225</xdr:colOff>
      <xdr:row>102</xdr:row>
      <xdr:rowOff>225666</xdr:rowOff>
    </xdr:to>
    <xdr:sp macro="" textlink="">
      <xdr:nvSpPr>
        <xdr:cNvPr id="321" name="Text Box 292" hidden="1">
          <a:extLst>
            <a:ext uri="{FF2B5EF4-FFF2-40B4-BE49-F238E27FC236}">
              <a16:creationId xmlns:a16="http://schemas.microsoft.com/office/drawing/2014/main" id="{709CE7F5-469C-4639-A791-8BACE9EA76F2}"/>
            </a:ext>
          </a:extLst>
        </xdr:cNvPr>
        <xdr:cNvSpPr txBox="1">
          <a:spLocks noChangeArrowheads="1"/>
        </xdr:cNvSpPr>
      </xdr:nvSpPr>
      <xdr:spPr bwMode="auto">
        <a:xfrm>
          <a:off x="3988883" y="21447931"/>
          <a:ext cx="1316467" cy="488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101</xdr:row>
      <xdr:rowOff>160678</xdr:rowOff>
    </xdr:from>
    <xdr:to>
      <xdr:col>5</xdr:col>
      <xdr:colOff>114225</xdr:colOff>
      <xdr:row>105</xdr:row>
      <xdr:rowOff>86899</xdr:rowOff>
    </xdr:to>
    <xdr:sp macro="" textlink="">
      <xdr:nvSpPr>
        <xdr:cNvPr id="322" name="Text Box 293" hidden="1">
          <a:extLst>
            <a:ext uri="{FF2B5EF4-FFF2-40B4-BE49-F238E27FC236}">
              <a16:creationId xmlns:a16="http://schemas.microsoft.com/office/drawing/2014/main" id="{A26A17D9-4695-4290-9F80-66C8A4328EF4}"/>
            </a:ext>
          </a:extLst>
        </xdr:cNvPr>
        <xdr:cNvSpPr txBox="1">
          <a:spLocks noChangeArrowheads="1"/>
        </xdr:cNvSpPr>
      </xdr:nvSpPr>
      <xdr:spPr bwMode="auto">
        <a:xfrm>
          <a:off x="3988883" y="21687178"/>
          <a:ext cx="1316467" cy="8406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102</xdr:row>
      <xdr:rowOff>196999</xdr:rowOff>
    </xdr:from>
    <xdr:to>
      <xdr:col>5</xdr:col>
      <xdr:colOff>114225</xdr:colOff>
      <xdr:row>106</xdr:row>
      <xdr:rowOff>1844</xdr:rowOff>
    </xdr:to>
    <xdr:sp macro="" textlink="">
      <xdr:nvSpPr>
        <xdr:cNvPr id="323" name="Text Box 294" hidden="1">
          <a:extLst>
            <a:ext uri="{FF2B5EF4-FFF2-40B4-BE49-F238E27FC236}">
              <a16:creationId xmlns:a16="http://schemas.microsoft.com/office/drawing/2014/main" id="{8DAAFB9E-D5BB-495E-97DD-856746C875F1}"/>
            </a:ext>
          </a:extLst>
        </xdr:cNvPr>
        <xdr:cNvSpPr txBox="1">
          <a:spLocks noChangeArrowheads="1"/>
        </xdr:cNvSpPr>
      </xdr:nvSpPr>
      <xdr:spPr bwMode="auto">
        <a:xfrm>
          <a:off x="3988883" y="21907649"/>
          <a:ext cx="1316467" cy="773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90</xdr:row>
      <xdr:rowOff>94324</xdr:rowOff>
    </xdr:from>
    <xdr:to>
      <xdr:col>5</xdr:col>
      <xdr:colOff>114225</xdr:colOff>
      <xdr:row>94</xdr:row>
      <xdr:rowOff>164121</xdr:rowOff>
    </xdr:to>
    <xdr:sp macro="" textlink="">
      <xdr:nvSpPr>
        <xdr:cNvPr id="324" name="Text Box 295" hidden="1">
          <a:extLst>
            <a:ext uri="{FF2B5EF4-FFF2-40B4-BE49-F238E27FC236}">
              <a16:creationId xmlns:a16="http://schemas.microsoft.com/office/drawing/2014/main" id="{8F88BD54-51BD-4B18-B6C3-85FB93D280A0}"/>
            </a:ext>
          </a:extLst>
        </xdr:cNvPr>
        <xdr:cNvSpPr txBox="1">
          <a:spLocks noChangeArrowheads="1"/>
        </xdr:cNvSpPr>
      </xdr:nvSpPr>
      <xdr:spPr bwMode="auto">
        <a:xfrm>
          <a:off x="3988883" y="19633274"/>
          <a:ext cx="1316467" cy="7873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91</xdr:row>
      <xdr:rowOff>104019</xdr:rowOff>
    </xdr:from>
    <xdr:to>
      <xdr:col>5</xdr:col>
      <xdr:colOff>114225</xdr:colOff>
      <xdr:row>95</xdr:row>
      <xdr:rowOff>104872</xdr:rowOff>
    </xdr:to>
    <xdr:sp macro="" textlink="">
      <xdr:nvSpPr>
        <xdr:cNvPr id="325" name="Text Box 296" hidden="1">
          <a:extLst>
            <a:ext uri="{FF2B5EF4-FFF2-40B4-BE49-F238E27FC236}">
              <a16:creationId xmlns:a16="http://schemas.microsoft.com/office/drawing/2014/main" id="{3D766951-7EE7-4D54-88F7-DCCC53FBA9E6}"/>
            </a:ext>
          </a:extLst>
        </xdr:cNvPr>
        <xdr:cNvSpPr txBox="1">
          <a:spLocks noChangeArrowheads="1"/>
        </xdr:cNvSpPr>
      </xdr:nvSpPr>
      <xdr:spPr bwMode="auto">
        <a:xfrm>
          <a:off x="3988883" y="19820769"/>
          <a:ext cx="1316467" cy="721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92</xdr:row>
      <xdr:rowOff>124471</xdr:rowOff>
    </xdr:from>
    <xdr:to>
      <xdr:col>5</xdr:col>
      <xdr:colOff>114225</xdr:colOff>
      <xdr:row>96</xdr:row>
      <xdr:rowOff>151270</xdr:rowOff>
    </xdr:to>
    <xdr:sp macro="" textlink="">
      <xdr:nvSpPr>
        <xdr:cNvPr id="326" name="Text Box 297" hidden="1">
          <a:extLst>
            <a:ext uri="{FF2B5EF4-FFF2-40B4-BE49-F238E27FC236}">
              <a16:creationId xmlns:a16="http://schemas.microsoft.com/office/drawing/2014/main" id="{AAE303A8-140C-421D-AEDE-E7B23746C194}"/>
            </a:ext>
          </a:extLst>
        </xdr:cNvPr>
        <xdr:cNvSpPr txBox="1">
          <a:spLocks noChangeArrowheads="1"/>
        </xdr:cNvSpPr>
      </xdr:nvSpPr>
      <xdr:spPr bwMode="auto">
        <a:xfrm>
          <a:off x="3988883" y="20022196"/>
          <a:ext cx="1316467" cy="7538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93</xdr:row>
      <xdr:rowOff>85003</xdr:rowOff>
    </xdr:from>
    <xdr:to>
      <xdr:col>5</xdr:col>
      <xdr:colOff>114225</xdr:colOff>
      <xdr:row>97</xdr:row>
      <xdr:rowOff>126049</xdr:rowOff>
    </xdr:to>
    <xdr:sp macro="" textlink="">
      <xdr:nvSpPr>
        <xdr:cNvPr id="327" name="Text Box 298" hidden="1">
          <a:extLst>
            <a:ext uri="{FF2B5EF4-FFF2-40B4-BE49-F238E27FC236}">
              <a16:creationId xmlns:a16="http://schemas.microsoft.com/office/drawing/2014/main" id="{84AD2EBE-F485-4DD1-8373-7345A50C7FA6}"/>
            </a:ext>
          </a:extLst>
        </xdr:cNvPr>
        <xdr:cNvSpPr txBox="1">
          <a:spLocks noChangeArrowheads="1"/>
        </xdr:cNvSpPr>
      </xdr:nvSpPr>
      <xdr:spPr bwMode="auto">
        <a:xfrm>
          <a:off x="3988883" y="20163703"/>
          <a:ext cx="1316467" cy="764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107289</xdr:rowOff>
    </xdr:from>
    <xdr:to>
      <xdr:col>5</xdr:col>
      <xdr:colOff>287804</xdr:colOff>
      <xdr:row>195</xdr:row>
      <xdr:rowOff>29753</xdr:rowOff>
    </xdr:to>
    <xdr:sp macro="" textlink="">
      <xdr:nvSpPr>
        <xdr:cNvPr id="328" name="Text Box 413" hidden="1">
          <a:extLst>
            <a:ext uri="{FF2B5EF4-FFF2-40B4-BE49-F238E27FC236}">
              <a16:creationId xmlns:a16="http://schemas.microsoft.com/office/drawing/2014/main" id="{BF299731-FCF0-436D-B34C-E7E099F2E211}"/>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29" name="Text Box 412" hidden="1">
          <a:extLst>
            <a:ext uri="{FF2B5EF4-FFF2-40B4-BE49-F238E27FC236}">
              <a16:creationId xmlns:a16="http://schemas.microsoft.com/office/drawing/2014/main" id="{BDBF88F3-E7FD-408A-833A-83A48CBA3B79}"/>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30" name="Text Box 411" hidden="1">
          <a:extLst>
            <a:ext uri="{FF2B5EF4-FFF2-40B4-BE49-F238E27FC236}">
              <a16:creationId xmlns:a16="http://schemas.microsoft.com/office/drawing/2014/main" id="{5E48CC3B-8D9C-4D8D-9FC5-81079AB63D8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331" name="Text Box 410" hidden="1">
          <a:extLst>
            <a:ext uri="{FF2B5EF4-FFF2-40B4-BE49-F238E27FC236}">
              <a16:creationId xmlns:a16="http://schemas.microsoft.com/office/drawing/2014/main" id="{61EBAD47-B68D-49E6-898D-4AFC57A1409C}"/>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332" name="Text Box 409" hidden="1">
          <a:extLst>
            <a:ext uri="{FF2B5EF4-FFF2-40B4-BE49-F238E27FC236}">
              <a16:creationId xmlns:a16="http://schemas.microsoft.com/office/drawing/2014/main" id="{D1B7D4DC-E7D7-465E-990B-BE15C95D89A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295658</xdr:rowOff>
    </xdr:to>
    <xdr:sp macro="" textlink="">
      <xdr:nvSpPr>
        <xdr:cNvPr id="333" name="Text Box 408" hidden="1">
          <a:extLst>
            <a:ext uri="{FF2B5EF4-FFF2-40B4-BE49-F238E27FC236}">
              <a16:creationId xmlns:a16="http://schemas.microsoft.com/office/drawing/2014/main" id="{E9F1948F-9F41-4776-8FBA-FE8D1F1DB095}"/>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334" name="Text Box 407" hidden="1">
          <a:extLst>
            <a:ext uri="{FF2B5EF4-FFF2-40B4-BE49-F238E27FC236}">
              <a16:creationId xmlns:a16="http://schemas.microsoft.com/office/drawing/2014/main" id="{7FF8FA31-A9EA-47AB-971B-BA224C67CDE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102160</xdr:colOff>
      <xdr:row>73</xdr:row>
      <xdr:rowOff>169154</xdr:rowOff>
    </xdr:to>
    <xdr:sp macro="" textlink="">
      <xdr:nvSpPr>
        <xdr:cNvPr id="335" name="Text Box 406" hidden="1">
          <a:extLst>
            <a:ext uri="{FF2B5EF4-FFF2-40B4-BE49-F238E27FC236}">
              <a16:creationId xmlns:a16="http://schemas.microsoft.com/office/drawing/2014/main" id="{E060D7E0-80A5-42A1-9452-88FEDEA7A0CD}"/>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9894</xdr:rowOff>
    </xdr:from>
    <xdr:to>
      <xdr:col>5</xdr:col>
      <xdr:colOff>102160</xdr:colOff>
      <xdr:row>74</xdr:row>
      <xdr:rowOff>170150</xdr:rowOff>
    </xdr:to>
    <xdr:sp macro="" textlink="">
      <xdr:nvSpPr>
        <xdr:cNvPr id="336" name="Text Box 405" hidden="1">
          <a:extLst>
            <a:ext uri="{FF2B5EF4-FFF2-40B4-BE49-F238E27FC236}">
              <a16:creationId xmlns:a16="http://schemas.microsoft.com/office/drawing/2014/main" id="{FC533AB4-9C1E-4955-8422-F3A0AA54DEDF}"/>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12346</xdr:rowOff>
    </xdr:from>
    <xdr:to>
      <xdr:col>5</xdr:col>
      <xdr:colOff>102160</xdr:colOff>
      <xdr:row>74</xdr:row>
      <xdr:rowOff>170150</xdr:rowOff>
    </xdr:to>
    <xdr:sp macro="" textlink="">
      <xdr:nvSpPr>
        <xdr:cNvPr id="337" name="Text Box 404" hidden="1">
          <a:extLst>
            <a:ext uri="{FF2B5EF4-FFF2-40B4-BE49-F238E27FC236}">
              <a16:creationId xmlns:a16="http://schemas.microsoft.com/office/drawing/2014/main" id="{DA406874-A05E-4466-A874-A994784A7829}"/>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102160</xdr:colOff>
      <xdr:row>192</xdr:row>
      <xdr:rowOff>96425</xdr:rowOff>
    </xdr:to>
    <xdr:sp macro="" textlink="">
      <xdr:nvSpPr>
        <xdr:cNvPr id="338" name="Text Box 403" hidden="1">
          <a:extLst>
            <a:ext uri="{FF2B5EF4-FFF2-40B4-BE49-F238E27FC236}">
              <a16:creationId xmlns:a16="http://schemas.microsoft.com/office/drawing/2014/main" id="{B29F8ABF-83E7-44B4-8FBC-D9A3BA09B687}"/>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39" name="Text Box 402" hidden="1">
          <a:extLst>
            <a:ext uri="{FF2B5EF4-FFF2-40B4-BE49-F238E27FC236}">
              <a16:creationId xmlns:a16="http://schemas.microsoft.com/office/drawing/2014/main" id="{5C1A7892-7EB6-426B-BFED-E93F85298D19}"/>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40" name="Text Box 401" hidden="1">
          <a:extLst>
            <a:ext uri="{FF2B5EF4-FFF2-40B4-BE49-F238E27FC236}">
              <a16:creationId xmlns:a16="http://schemas.microsoft.com/office/drawing/2014/main" id="{B3A061CD-AA35-40A9-8CE2-0888041907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41" name="Text Box 400" hidden="1">
          <a:extLst>
            <a:ext uri="{FF2B5EF4-FFF2-40B4-BE49-F238E27FC236}">
              <a16:creationId xmlns:a16="http://schemas.microsoft.com/office/drawing/2014/main" id="{7C01896C-34EC-433E-BC56-58F23F983B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1823</xdr:rowOff>
    </xdr:from>
    <xdr:to>
      <xdr:col>18</xdr:col>
      <xdr:colOff>235046</xdr:colOff>
      <xdr:row>36</xdr:row>
      <xdr:rowOff>57187</xdr:rowOff>
    </xdr:to>
    <xdr:sp macro="" textlink="">
      <xdr:nvSpPr>
        <xdr:cNvPr id="342" name="Text Box 399" hidden="1">
          <a:extLst>
            <a:ext uri="{FF2B5EF4-FFF2-40B4-BE49-F238E27FC236}">
              <a16:creationId xmlns:a16="http://schemas.microsoft.com/office/drawing/2014/main" id="{DAC8B55C-5367-4FAC-9A00-8A18A7E690E3}"/>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124610</xdr:rowOff>
    </xdr:from>
    <xdr:to>
      <xdr:col>5</xdr:col>
      <xdr:colOff>112955</xdr:colOff>
      <xdr:row>101</xdr:row>
      <xdr:rowOff>87682</xdr:rowOff>
    </xdr:to>
    <xdr:sp macro="" textlink="">
      <xdr:nvSpPr>
        <xdr:cNvPr id="343" name="Text Box 398" hidden="1">
          <a:extLst>
            <a:ext uri="{FF2B5EF4-FFF2-40B4-BE49-F238E27FC236}">
              <a16:creationId xmlns:a16="http://schemas.microsoft.com/office/drawing/2014/main" id="{E7D3425D-CD5D-44C9-8125-8B300ECB3BF2}"/>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102406</xdr:rowOff>
    </xdr:from>
    <xdr:to>
      <xdr:col>5</xdr:col>
      <xdr:colOff>112955</xdr:colOff>
      <xdr:row>102</xdr:row>
      <xdr:rowOff>225984</xdr:rowOff>
    </xdr:to>
    <xdr:sp macro="" textlink="">
      <xdr:nvSpPr>
        <xdr:cNvPr id="344" name="Text Box 397" hidden="1">
          <a:extLst>
            <a:ext uri="{FF2B5EF4-FFF2-40B4-BE49-F238E27FC236}">
              <a16:creationId xmlns:a16="http://schemas.microsoft.com/office/drawing/2014/main" id="{B67CF650-5011-4FA9-8E35-804EE6817A6A}"/>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160678</xdr:rowOff>
    </xdr:from>
    <xdr:to>
      <xdr:col>5</xdr:col>
      <xdr:colOff>112955</xdr:colOff>
      <xdr:row>105</xdr:row>
      <xdr:rowOff>86899</xdr:rowOff>
    </xdr:to>
    <xdr:sp macro="" textlink="">
      <xdr:nvSpPr>
        <xdr:cNvPr id="345" name="Text Box 396" hidden="1">
          <a:extLst>
            <a:ext uri="{FF2B5EF4-FFF2-40B4-BE49-F238E27FC236}">
              <a16:creationId xmlns:a16="http://schemas.microsoft.com/office/drawing/2014/main" id="{B092F196-1364-4467-B6DB-3CCCC8F38BB9}"/>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196999</xdr:rowOff>
    </xdr:from>
    <xdr:to>
      <xdr:col>5</xdr:col>
      <xdr:colOff>112955</xdr:colOff>
      <xdr:row>106</xdr:row>
      <xdr:rowOff>1844</xdr:rowOff>
    </xdr:to>
    <xdr:sp macro="" textlink="">
      <xdr:nvSpPr>
        <xdr:cNvPr id="346" name="Text Box 395" hidden="1">
          <a:extLst>
            <a:ext uri="{FF2B5EF4-FFF2-40B4-BE49-F238E27FC236}">
              <a16:creationId xmlns:a16="http://schemas.microsoft.com/office/drawing/2014/main" id="{78DDB422-EE3F-4FC0-935C-B1377419F9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94324</xdr:rowOff>
    </xdr:from>
    <xdr:to>
      <xdr:col>5</xdr:col>
      <xdr:colOff>112955</xdr:colOff>
      <xdr:row>94</xdr:row>
      <xdr:rowOff>164121</xdr:rowOff>
    </xdr:to>
    <xdr:sp macro="" textlink="">
      <xdr:nvSpPr>
        <xdr:cNvPr id="347" name="Text Box 394" hidden="1">
          <a:extLst>
            <a:ext uri="{FF2B5EF4-FFF2-40B4-BE49-F238E27FC236}">
              <a16:creationId xmlns:a16="http://schemas.microsoft.com/office/drawing/2014/main" id="{1025C113-2DF1-4E13-8947-D1D7E0D6E1F2}"/>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104019</xdr:rowOff>
    </xdr:from>
    <xdr:to>
      <xdr:col>5</xdr:col>
      <xdr:colOff>112955</xdr:colOff>
      <xdr:row>95</xdr:row>
      <xdr:rowOff>104872</xdr:rowOff>
    </xdr:to>
    <xdr:sp macro="" textlink="">
      <xdr:nvSpPr>
        <xdr:cNvPr id="348" name="Text Box 393" hidden="1">
          <a:extLst>
            <a:ext uri="{FF2B5EF4-FFF2-40B4-BE49-F238E27FC236}">
              <a16:creationId xmlns:a16="http://schemas.microsoft.com/office/drawing/2014/main" id="{FCCD0BE8-4B05-45F6-ADED-CBE390205107}"/>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124471</xdr:rowOff>
    </xdr:from>
    <xdr:to>
      <xdr:col>5</xdr:col>
      <xdr:colOff>112955</xdr:colOff>
      <xdr:row>96</xdr:row>
      <xdr:rowOff>151270</xdr:rowOff>
    </xdr:to>
    <xdr:sp macro="" textlink="">
      <xdr:nvSpPr>
        <xdr:cNvPr id="349" name="Text Box 392" hidden="1">
          <a:extLst>
            <a:ext uri="{FF2B5EF4-FFF2-40B4-BE49-F238E27FC236}">
              <a16:creationId xmlns:a16="http://schemas.microsoft.com/office/drawing/2014/main" id="{2A7FE24D-E238-442A-B718-EF7AAF9EFA88}"/>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85003</xdr:rowOff>
    </xdr:from>
    <xdr:to>
      <xdr:col>5</xdr:col>
      <xdr:colOff>112955</xdr:colOff>
      <xdr:row>97</xdr:row>
      <xdr:rowOff>126049</xdr:rowOff>
    </xdr:to>
    <xdr:sp macro="" textlink="">
      <xdr:nvSpPr>
        <xdr:cNvPr id="350" name="Text Box 391" hidden="1">
          <a:extLst>
            <a:ext uri="{FF2B5EF4-FFF2-40B4-BE49-F238E27FC236}">
              <a16:creationId xmlns:a16="http://schemas.microsoft.com/office/drawing/2014/main" id="{BC58AAD9-932D-46FE-807C-ABC2840FFBB4}"/>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107289</xdr:rowOff>
    </xdr:from>
    <xdr:to>
      <xdr:col>5</xdr:col>
      <xdr:colOff>287804</xdr:colOff>
      <xdr:row>195</xdr:row>
      <xdr:rowOff>29753</xdr:rowOff>
    </xdr:to>
    <xdr:sp macro="" textlink="">
      <xdr:nvSpPr>
        <xdr:cNvPr id="351" name="Text Box 390" hidden="1">
          <a:extLst>
            <a:ext uri="{FF2B5EF4-FFF2-40B4-BE49-F238E27FC236}">
              <a16:creationId xmlns:a16="http://schemas.microsoft.com/office/drawing/2014/main" id="{41FFF9DE-2FD2-4F47-968D-27E75D545125}"/>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52" name="Text Box 389" hidden="1">
          <a:extLst>
            <a:ext uri="{FF2B5EF4-FFF2-40B4-BE49-F238E27FC236}">
              <a16:creationId xmlns:a16="http://schemas.microsoft.com/office/drawing/2014/main" id="{80A8DF40-BEC3-4DC5-96AC-491617CAD0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53" name="Text Box 388" hidden="1">
          <a:extLst>
            <a:ext uri="{FF2B5EF4-FFF2-40B4-BE49-F238E27FC236}">
              <a16:creationId xmlns:a16="http://schemas.microsoft.com/office/drawing/2014/main" id="{6B33B955-B88E-408B-A335-CFA5D67D2D33}"/>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354" name="Text Box 387" hidden="1">
          <a:extLst>
            <a:ext uri="{FF2B5EF4-FFF2-40B4-BE49-F238E27FC236}">
              <a16:creationId xmlns:a16="http://schemas.microsoft.com/office/drawing/2014/main" id="{1759469A-ED02-45A2-97B8-317B65D0FB1A}"/>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355" name="Text Box 386" hidden="1">
          <a:extLst>
            <a:ext uri="{FF2B5EF4-FFF2-40B4-BE49-F238E27FC236}">
              <a16:creationId xmlns:a16="http://schemas.microsoft.com/office/drawing/2014/main" id="{2F239B33-40EF-4FD4-8483-C8691EDD10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295658</xdr:rowOff>
    </xdr:to>
    <xdr:sp macro="" textlink="">
      <xdr:nvSpPr>
        <xdr:cNvPr id="356" name="Text Box 385" hidden="1">
          <a:extLst>
            <a:ext uri="{FF2B5EF4-FFF2-40B4-BE49-F238E27FC236}">
              <a16:creationId xmlns:a16="http://schemas.microsoft.com/office/drawing/2014/main" id="{50D0BA0A-16FC-4F4F-BCE0-047D0C6ED4C8}"/>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357" name="Text Box 384" hidden="1">
          <a:extLst>
            <a:ext uri="{FF2B5EF4-FFF2-40B4-BE49-F238E27FC236}">
              <a16:creationId xmlns:a16="http://schemas.microsoft.com/office/drawing/2014/main" id="{A7FD1936-E329-443D-B686-6D31AA2C5113}"/>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102160</xdr:colOff>
      <xdr:row>73</xdr:row>
      <xdr:rowOff>169154</xdr:rowOff>
    </xdr:to>
    <xdr:sp macro="" textlink="">
      <xdr:nvSpPr>
        <xdr:cNvPr id="358" name="Text Box 383" hidden="1">
          <a:extLst>
            <a:ext uri="{FF2B5EF4-FFF2-40B4-BE49-F238E27FC236}">
              <a16:creationId xmlns:a16="http://schemas.microsoft.com/office/drawing/2014/main" id="{0E036B38-0D85-49AE-B5E8-5DCD709B4744}"/>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9894</xdr:rowOff>
    </xdr:from>
    <xdr:to>
      <xdr:col>5</xdr:col>
      <xdr:colOff>102160</xdr:colOff>
      <xdr:row>74</xdr:row>
      <xdr:rowOff>170150</xdr:rowOff>
    </xdr:to>
    <xdr:sp macro="" textlink="">
      <xdr:nvSpPr>
        <xdr:cNvPr id="359" name="Text Box 382" hidden="1">
          <a:extLst>
            <a:ext uri="{FF2B5EF4-FFF2-40B4-BE49-F238E27FC236}">
              <a16:creationId xmlns:a16="http://schemas.microsoft.com/office/drawing/2014/main" id="{83D12F4C-1CDF-407B-AD8D-D1A11EF99E4D}"/>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12346</xdr:rowOff>
    </xdr:from>
    <xdr:to>
      <xdr:col>5</xdr:col>
      <xdr:colOff>102160</xdr:colOff>
      <xdr:row>74</xdr:row>
      <xdr:rowOff>170150</xdr:rowOff>
    </xdr:to>
    <xdr:sp macro="" textlink="">
      <xdr:nvSpPr>
        <xdr:cNvPr id="360" name="Text Box 381" hidden="1">
          <a:extLst>
            <a:ext uri="{FF2B5EF4-FFF2-40B4-BE49-F238E27FC236}">
              <a16:creationId xmlns:a16="http://schemas.microsoft.com/office/drawing/2014/main" id="{22A70832-955C-4559-8AAF-A05A4FD107F7}"/>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102160</xdr:colOff>
      <xdr:row>192</xdr:row>
      <xdr:rowOff>96425</xdr:rowOff>
    </xdr:to>
    <xdr:sp macro="" textlink="">
      <xdr:nvSpPr>
        <xdr:cNvPr id="361" name="Text Box 380" hidden="1">
          <a:extLst>
            <a:ext uri="{FF2B5EF4-FFF2-40B4-BE49-F238E27FC236}">
              <a16:creationId xmlns:a16="http://schemas.microsoft.com/office/drawing/2014/main" id="{E6367635-10E0-4109-B1F6-0C7F01226440}"/>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62" name="Text Box 379" hidden="1">
          <a:extLst>
            <a:ext uri="{FF2B5EF4-FFF2-40B4-BE49-F238E27FC236}">
              <a16:creationId xmlns:a16="http://schemas.microsoft.com/office/drawing/2014/main" id="{0EA4DF2D-4E2D-4D31-B126-AE8DDAEA5445}"/>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63" name="Text Box 378" hidden="1">
          <a:extLst>
            <a:ext uri="{FF2B5EF4-FFF2-40B4-BE49-F238E27FC236}">
              <a16:creationId xmlns:a16="http://schemas.microsoft.com/office/drawing/2014/main" id="{5CAFEC96-4B7F-459B-BAFD-548EBA2E13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64" name="Text Box 377" hidden="1">
          <a:extLst>
            <a:ext uri="{FF2B5EF4-FFF2-40B4-BE49-F238E27FC236}">
              <a16:creationId xmlns:a16="http://schemas.microsoft.com/office/drawing/2014/main" id="{8DA0CB2D-C5E6-4356-A037-8EE6000FED9B}"/>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1823</xdr:rowOff>
    </xdr:from>
    <xdr:to>
      <xdr:col>18</xdr:col>
      <xdr:colOff>235046</xdr:colOff>
      <xdr:row>36</xdr:row>
      <xdr:rowOff>57187</xdr:rowOff>
    </xdr:to>
    <xdr:sp macro="" textlink="">
      <xdr:nvSpPr>
        <xdr:cNvPr id="365" name="Text Box 376" hidden="1">
          <a:extLst>
            <a:ext uri="{FF2B5EF4-FFF2-40B4-BE49-F238E27FC236}">
              <a16:creationId xmlns:a16="http://schemas.microsoft.com/office/drawing/2014/main" id="{0B135235-5B2F-4663-8219-30E0C7EFF6F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124610</xdr:rowOff>
    </xdr:from>
    <xdr:to>
      <xdr:col>5</xdr:col>
      <xdr:colOff>112955</xdr:colOff>
      <xdr:row>101</xdr:row>
      <xdr:rowOff>87682</xdr:rowOff>
    </xdr:to>
    <xdr:sp macro="" textlink="">
      <xdr:nvSpPr>
        <xdr:cNvPr id="366" name="Text Box 375" hidden="1">
          <a:extLst>
            <a:ext uri="{FF2B5EF4-FFF2-40B4-BE49-F238E27FC236}">
              <a16:creationId xmlns:a16="http://schemas.microsoft.com/office/drawing/2014/main" id="{45D54560-4450-43C7-9F13-336963BC5A1C}"/>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102406</xdr:rowOff>
    </xdr:from>
    <xdr:to>
      <xdr:col>5</xdr:col>
      <xdr:colOff>112955</xdr:colOff>
      <xdr:row>102</xdr:row>
      <xdr:rowOff>225984</xdr:rowOff>
    </xdr:to>
    <xdr:sp macro="" textlink="">
      <xdr:nvSpPr>
        <xdr:cNvPr id="367" name="Text Box 374" hidden="1">
          <a:extLst>
            <a:ext uri="{FF2B5EF4-FFF2-40B4-BE49-F238E27FC236}">
              <a16:creationId xmlns:a16="http://schemas.microsoft.com/office/drawing/2014/main" id="{2BF61FF2-1A7E-4AFD-AD2F-A0EFE1615E38}"/>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160678</xdr:rowOff>
    </xdr:from>
    <xdr:to>
      <xdr:col>5</xdr:col>
      <xdr:colOff>112955</xdr:colOff>
      <xdr:row>105</xdr:row>
      <xdr:rowOff>86899</xdr:rowOff>
    </xdr:to>
    <xdr:sp macro="" textlink="">
      <xdr:nvSpPr>
        <xdr:cNvPr id="368" name="Text Box 373" hidden="1">
          <a:extLst>
            <a:ext uri="{FF2B5EF4-FFF2-40B4-BE49-F238E27FC236}">
              <a16:creationId xmlns:a16="http://schemas.microsoft.com/office/drawing/2014/main" id="{9D611994-F30A-4928-AFEB-0CE7384C3848}"/>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196999</xdr:rowOff>
    </xdr:from>
    <xdr:to>
      <xdr:col>5</xdr:col>
      <xdr:colOff>112955</xdr:colOff>
      <xdr:row>106</xdr:row>
      <xdr:rowOff>1844</xdr:rowOff>
    </xdr:to>
    <xdr:sp macro="" textlink="">
      <xdr:nvSpPr>
        <xdr:cNvPr id="369" name="Text Box 372" hidden="1">
          <a:extLst>
            <a:ext uri="{FF2B5EF4-FFF2-40B4-BE49-F238E27FC236}">
              <a16:creationId xmlns:a16="http://schemas.microsoft.com/office/drawing/2014/main" id="{6E369C75-CC4A-4315-A508-47EA6E9A03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94324</xdr:rowOff>
    </xdr:from>
    <xdr:to>
      <xdr:col>5</xdr:col>
      <xdr:colOff>112955</xdr:colOff>
      <xdr:row>94</xdr:row>
      <xdr:rowOff>164121</xdr:rowOff>
    </xdr:to>
    <xdr:sp macro="" textlink="">
      <xdr:nvSpPr>
        <xdr:cNvPr id="370" name="Text Box 371" hidden="1">
          <a:extLst>
            <a:ext uri="{FF2B5EF4-FFF2-40B4-BE49-F238E27FC236}">
              <a16:creationId xmlns:a16="http://schemas.microsoft.com/office/drawing/2014/main" id="{5F6785F7-E5F0-47A4-814F-D45EA0E4BA1D}"/>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104019</xdr:rowOff>
    </xdr:from>
    <xdr:to>
      <xdr:col>5</xdr:col>
      <xdr:colOff>112955</xdr:colOff>
      <xdr:row>95</xdr:row>
      <xdr:rowOff>104872</xdr:rowOff>
    </xdr:to>
    <xdr:sp macro="" textlink="">
      <xdr:nvSpPr>
        <xdr:cNvPr id="371" name="Text Box 370" hidden="1">
          <a:extLst>
            <a:ext uri="{FF2B5EF4-FFF2-40B4-BE49-F238E27FC236}">
              <a16:creationId xmlns:a16="http://schemas.microsoft.com/office/drawing/2014/main" id="{80C19BAD-81C9-4A88-8AE0-BA058C7873CA}"/>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124471</xdr:rowOff>
    </xdr:from>
    <xdr:to>
      <xdr:col>5</xdr:col>
      <xdr:colOff>112955</xdr:colOff>
      <xdr:row>96</xdr:row>
      <xdr:rowOff>151270</xdr:rowOff>
    </xdr:to>
    <xdr:sp macro="" textlink="">
      <xdr:nvSpPr>
        <xdr:cNvPr id="372" name="Text Box 369" hidden="1">
          <a:extLst>
            <a:ext uri="{FF2B5EF4-FFF2-40B4-BE49-F238E27FC236}">
              <a16:creationId xmlns:a16="http://schemas.microsoft.com/office/drawing/2014/main" id="{6197B2E6-E4B3-4B2A-8550-7123B6969835}"/>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85003</xdr:rowOff>
    </xdr:from>
    <xdr:to>
      <xdr:col>5</xdr:col>
      <xdr:colOff>112955</xdr:colOff>
      <xdr:row>97</xdr:row>
      <xdr:rowOff>126049</xdr:rowOff>
    </xdr:to>
    <xdr:sp macro="" textlink="">
      <xdr:nvSpPr>
        <xdr:cNvPr id="373" name="Text Box 368" hidden="1">
          <a:extLst>
            <a:ext uri="{FF2B5EF4-FFF2-40B4-BE49-F238E27FC236}">
              <a16:creationId xmlns:a16="http://schemas.microsoft.com/office/drawing/2014/main" id="{E01E4DBE-661E-408F-9264-265E15330CF6}"/>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107289</xdr:rowOff>
    </xdr:from>
    <xdr:to>
      <xdr:col>5</xdr:col>
      <xdr:colOff>287804</xdr:colOff>
      <xdr:row>195</xdr:row>
      <xdr:rowOff>29753</xdr:rowOff>
    </xdr:to>
    <xdr:sp macro="" textlink="">
      <xdr:nvSpPr>
        <xdr:cNvPr id="374" name="Text Box 367" hidden="1">
          <a:extLst>
            <a:ext uri="{FF2B5EF4-FFF2-40B4-BE49-F238E27FC236}">
              <a16:creationId xmlns:a16="http://schemas.microsoft.com/office/drawing/2014/main" id="{482748B5-C83B-40CF-85D7-BF871901A12A}"/>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75" name="Text Box 366" hidden="1">
          <a:extLst>
            <a:ext uri="{FF2B5EF4-FFF2-40B4-BE49-F238E27FC236}">
              <a16:creationId xmlns:a16="http://schemas.microsoft.com/office/drawing/2014/main" id="{7E26766F-3F76-447D-B90C-6306E6ECCC9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76" name="Text Box 365" hidden="1">
          <a:extLst>
            <a:ext uri="{FF2B5EF4-FFF2-40B4-BE49-F238E27FC236}">
              <a16:creationId xmlns:a16="http://schemas.microsoft.com/office/drawing/2014/main" id="{8EB649C8-9BE4-40D3-B64F-C33049428DB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377" name="Text Box 364" hidden="1">
          <a:extLst>
            <a:ext uri="{FF2B5EF4-FFF2-40B4-BE49-F238E27FC236}">
              <a16:creationId xmlns:a16="http://schemas.microsoft.com/office/drawing/2014/main" id="{4D35589E-B6D8-43EF-953C-1BD6970A1B70}"/>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378" name="Text Box 363" hidden="1">
          <a:extLst>
            <a:ext uri="{FF2B5EF4-FFF2-40B4-BE49-F238E27FC236}">
              <a16:creationId xmlns:a16="http://schemas.microsoft.com/office/drawing/2014/main" id="{A57908B8-D969-4887-9ACF-324F387C4713}"/>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295658</xdr:rowOff>
    </xdr:to>
    <xdr:sp macro="" textlink="">
      <xdr:nvSpPr>
        <xdr:cNvPr id="379" name="Text Box 362" hidden="1">
          <a:extLst>
            <a:ext uri="{FF2B5EF4-FFF2-40B4-BE49-F238E27FC236}">
              <a16:creationId xmlns:a16="http://schemas.microsoft.com/office/drawing/2014/main" id="{0A119C5B-D3BD-4968-9CCD-8B54B0F5BD2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380" name="Text Box 361" hidden="1">
          <a:extLst>
            <a:ext uri="{FF2B5EF4-FFF2-40B4-BE49-F238E27FC236}">
              <a16:creationId xmlns:a16="http://schemas.microsoft.com/office/drawing/2014/main" id="{03743D97-11CA-443A-A9A3-2FE050C502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102160</xdr:colOff>
      <xdr:row>73</xdr:row>
      <xdr:rowOff>169154</xdr:rowOff>
    </xdr:to>
    <xdr:sp macro="" textlink="">
      <xdr:nvSpPr>
        <xdr:cNvPr id="381" name="Text Box 360" hidden="1">
          <a:extLst>
            <a:ext uri="{FF2B5EF4-FFF2-40B4-BE49-F238E27FC236}">
              <a16:creationId xmlns:a16="http://schemas.microsoft.com/office/drawing/2014/main" id="{02A81A5D-C9BF-4AC2-9827-3336ADD73AEB}"/>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9894</xdr:rowOff>
    </xdr:from>
    <xdr:to>
      <xdr:col>5</xdr:col>
      <xdr:colOff>102160</xdr:colOff>
      <xdr:row>74</xdr:row>
      <xdr:rowOff>170150</xdr:rowOff>
    </xdr:to>
    <xdr:sp macro="" textlink="">
      <xdr:nvSpPr>
        <xdr:cNvPr id="382" name="Text Box 359" hidden="1">
          <a:extLst>
            <a:ext uri="{FF2B5EF4-FFF2-40B4-BE49-F238E27FC236}">
              <a16:creationId xmlns:a16="http://schemas.microsoft.com/office/drawing/2014/main" id="{6C09A98B-0AD4-47D3-AE40-058CD006F6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12346</xdr:rowOff>
    </xdr:from>
    <xdr:to>
      <xdr:col>5</xdr:col>
      <xdr:colOff>102160</xdr:colOff>
      <xdr:row>74</xdr:row>
      <xdr:rowOff>170150</xdr:rowOff>
    </xdr:to>
    <xdr:sp macro="" textlink="">
      <xdr:nvSpPr>
        <xdr:cNvPr id="383" name="Text Box 358" hidden="1">
          <a:extLst>
            <a:ext uri="{FF2B5EF4-FFF2-40B4-BE49-F238E27FC236}">
              <a16:creationId xmlns:a16="http://schemas.microsoft.com/office/drawing/2014/main" id="{72538B6B-152F-4948-BB4A-A71FD5B502B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102160</xdr:colOff>
      <xdr:row>192</xdr:row>
      <xdr:rowOff>96425</xdr:rowOff>
    </xdr:to>
    <xdr:sp macro="" textlink="">
      <xdr:nvSpPr>
        <xdr:cNvPr id="384" name="Text Box 357" hidden="1">
          <a:extLst>
            <a:ext uri="{FF2B5EF4-FFF2-40B4-BE49-F238E27FC236}">
              <a16:creationId xmlns:a16="http://schemas.microsoft.com/office/drawing/2014/main" id="{FF084F23-07A0-4597-BD9E-7FD81A869556}"/>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85" name="Text Box 356" hidden="1">
          <a:extLst>
            <a:ext uri="{FF2B5EF4-FFF2-40B4-BE49-F238E27FC236}">
              <a16:creationId xmlns:a16="http://schemas.microsoft.com/office/drawing/2014/main" id="{8A117519-E414-413C-A97B-57DBD286FCB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386" name="Text Box 355" hidden="1">
          <a:extLst>
            <a:ext uri="{FF2B5EF4-FFF2-40B4-BE49-F238E27FC236}">
              <a16:creationId xmlns:a16="http://schemas.microsoft.com/office/drawing/2014/main" id="{4D8D625E-152D-4358-8762-AABE6B089A37}"/>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87" name="Text Box 354" hidden="1">
          <a:extLst>
            <a:ext uri="{FF2B5EF4-FFF2-40B4-BE49-F238E27FC236}">
              <a16:creationId xmlns:a16="http://schemas.microsoft.com/office/drawing/2014/main" id="{87A93F9D-2178-40CF-948A-0DEA335D484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1823</xdr:rowOff>
    </xdr:from>
    <xdr:to>
      <xdr:col>18</xdr:col>
      <xdr:colOff>235046</xdr:colOff>
      <xdr:row>36</xdr:row>
      <xdr:rowOff>57187</xdr:rowOff>
    </xdr:to>
    <xdr:sp macro="" textlink="">
      <xdr:nvSpPr>
        <xdr:cNvPr id="388" name="Text Box 353" hidden="1">
          <a:extLst>
            <a:ext uri="{FF2B5EF4-FFF2-40B4-BE49-F238E27FC236}">
              <a16:creationId xmlns:a16="http://schemas.microsoft.com/office/drawing/2014/main" id="{CB394F52-5A40-4037-8B03-C35F0AFFD094}"/>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124610</xdr:rowOff>
    </xdr:from>
    <xdr:to>
      <xdr:col>5</xdr:col>
      <xdr:colOff>112955</xdr:colOff>
      <xdr:row>101</xdr:row>
      <xdr:rowOff>87682</xdr:rowOff>
    </xdr:to>
    <xdr:sp macro="" textlink="">
      <xdr:nvSpPr>
        <xdr:cNvPr id="389" name="Text Box 352" hidden="1">
          <a:extLst>
            <a:ext uri="{FF2B5EF4-FFF2-40B4-BE49-F238E27FC236}">
              <a16:creationId xmlns:a16="http://schemas.microsoft.com/office/drawing/2014/main" id="{C3EC1DA8-1BA1-44B4-A82E-2777A709435B}"/>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102406</xdr:rowOff>
    </xdr:from>
    <xdr:to>
      <xdr:col>5</xdr:col>
      <xdr:colOff>112955</xdr:colOff>
      <xdr:row>102</xdr:row>
      <xdr:rowOff>225984</xdr:rowOff>
    </xdr:to>
    <xdr:sp macro="" textlink="">
      <xdr:nvSpPr>
        <xdr:cNvPr id="390" name="Text Box 351" hidden="1">
          <a:extLst>
            <a:ext uri="{FF2B5EF4-FFF2-40B4-BE49-F238E27FC236}">
              <a16:creationId xmlns:a16="http://schemas.microsoft.com/office/drawing/2014/main" id="{7986544E-24CE-4C9A-800E-BC4DC249C669}"/>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160678</xdr:rowOff>
    </xdr:from>
    <xdr:to>
      <xdr:col>5</xdr:col>
      <xdr:colOff>112955</xdr:colOff>
      <xdr:row>105</xdr:row>
      <xdr:rowOff>86899</xdr:rowOff>
    </xdr:to>
    <xdr:sp macro="" textlink="">
      <xdr:nvSpPr>
        <xdr:cNvPr id="391" name="Text Box 350" hidden="1">
          <a:extLst>
            <a:ext uri="{FF2B5EF4-FFF2-40B4-BE49-F238E27FC236}">
              <a16:creationId xmlns:a16="http://schemas.microsoft.com/office/drawing/2014/main" id="{A1B499B5-02AF-49D9-B423-96D0DA7A8552}"/>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196999</xdr:rowOff>
    </xdr:from>
    <xdr:to>
      <xdr:col>5</xdr:col>
      <xdr:colOff>112955</xdr:colOff>
      <xdr:row>106</xdr:row>
      <xdr:rowOff>1844</xdr:rowOff>
    </xdr:to>
    <xdr:sp macro="" textlink="">
      <xdr:nvSpPr>
        <xdr:cNvPr id="392" name="Text Box 349" hidden="1">
          <a:extLst>
            <a:ext uri="{FF2B5EF4-FFF2-40B4-BE49-F238E27FC236}">
              <a16:creationId xmlns:a16="http://schemas.microsoft.com/office/drawing/2014/main" id="{D13BD22C-F09F-47D7-91EB-889BE7543ADC}"/>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94324</xdr:rowOff>
    </xdr:from>
    <xdr:to>
      <xdr:col>5</xdr:col>
      <xdr:colOff>112955</xdr:colOff>
      <xdr:row>94</xdr:row>
      <xdr:rowOff>164121</xdr:rowOff>
    </xdr:to>
    <xdr:sp macro="" textlink="">
      <xdr:nvSpPr>
        <xdr:cNvPr id="393" name="Text Box 348" hidden="1">
          <a:extLst>
            <a:ext uri="{FF2B5EF4-FFF2-40B4-BE49-F238E27FC236}">
              <a16:creationId xmlns:a16="http://schemas.microsoft.com/office/drawing/2014/main" id="{0F92BEF5-8A46-4B2E-B498-6E473E369B8A}"/>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104019</xdr:rowOff>
    </xdr:from>
    <xdr:to>
      <xdr:col>5</xdr:col>
      <xdr:colOff>112955</xdr:colOff>
      <xdr:row>95</xdr:row>
      <xdr:rowOff>104872</xdr:rowOff>
    </xdr:to>
    <xdr:sp macro="" textlink="">
      <xdr:nvSpPr>
        <xdr:cNvPr id="394" name="Text Box 347" hidden="1">
          <a:extLst>
            <a:ext uri="{FF2B5EF4-FFF2-40B4-BE49-F238E27FC236}">
              <a16:creationId xmlns:a16="http://schemas.microsoft.com/office/drawing/2014/main" id="{30F74A54-8268-4851-916A-51BF326207E8}"/>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124471</xdr:rowOff>
    </xdr:from>
    <xdr:to>
      <xdr:col>5</xdr:col>
      <xdr:colOff>112955</xdr:colOff>
      <xdr:row>96</xdr:row>
      <xdr:rowOff>151270</xdr:rowOff>
    </xdr:to>
    <xdr:sp macro="" textlink="">
      <xdr:nvSpPr>
        <xdr:cNvPr id="395" name="Text Box 346" hidden="1">
          <a:extLst>
            <a:ext uri="{FF2B5EF4-FFF2-40B4-BE49-F238E27FC236}">
              <a16:creationId xmlns:a16="http://schemas.microsoft.com/office/drawing/2014/main" id="{DDE1B4B1-F3B4-4F92-8D72-90C36B8D2F61}"/>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85003</xdr:rowOff>
    </xdr:from>
    <xdr:to>
      <xdr:col>5</xdr:col>
      <xdr:colOff>112955</xdr:colOff>
      <xdr:row>97</xdr:row>
      <xdr:rowOff>126049</xdr:rowOff>
    </xdr:to>
    <xdr:sp macro="" textlink="">
      <xdr:nvSpPr>
        <xdr:cNvPr id="396" name="Text Box 345" hidden="1">
          <a:extLst>
            <a:ext uri="{FF2B5EF4-FFF2-40B4-BE49-F238E27FC236}">
              <a16:creationId xmlns:a16="http://schemas.microsoft.com/office/drawing/2014/main" id="{3B7A24F1-9A5F-4BD1-99DE-40256D9A05B1}"/>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77301</xdr:rowOff>
    </xdr:from>
    <xdr:to>
      <xdr:col>5</xdr:col>
      <xdr:colOff>287804</xdr:colOff>
      <xdr:row>195</xdr:row>
      <xdr:rowOff>29753</xdr:rowOff>
    </xdr:to>
    <xdr:sp macro="" textlink="">
      <xdr:nvSpPr>
        <xdr:cNvPr id="397" name="Text Box 436" hidden="1">
          <a:extLst>
            <a:ext uri="{FF2B5EF4-FFF2-40B4-BE49-F238E27FC236}">
              <a16:creationId xmlns:a16="http://schemas.microsoft.com/office/drawing/2014/main" id="{49BBD117-AFD8-4DCD-8503-EDCFF9A3972F}"/>
            </a:ext>
          </a:extLst>
        </xdr:cNvPr>
        <xdr:cNvSpPr txBox="1">
          <a:spLocks noChangeArrowheads="1"/>
        </xdr:cNvSpPr>
      </xdr:nvSpPr>
      <xdr:spPr bwMode="auto">
        <a:xfrm>
          <a:off x="4057463" y="37472451"/>
          <a:ext cx="1421466" cy="14002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98" name="Text Box 435" hidden="1">
          <a:extLst>
            <a:ext uri="{FF2B5EF4-FFF2-40B4-BE49-F238E27FC236}">
              <a16:creationId xmlns:a16="http://schemas.microsoft.com/office/drawing/2014/main" id="{2AABA402-A0C1-49AD-BC90-1BE60C2ADF2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399" name="Text Box 434" hidden="1">
          <a:extLst>
            <a:ext uri="{FF2B5EF4-FFF2-40B4-BE49-F238E27FC236}">
              <a16:creationId xmlns:a16="http://schemas.microsoft.com/office/drawing/2014/main" id="{020949A7-CAB7-4BBA-93DC-BC33FB5FECC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400" name="Text Box 433" hidden="1">
          <a:extLst>
            <a:ext uri="{FF2B5EF4-FFF2-40B4-BE49-F238E27FC236}">
              <a16:creationId xmlns:a16="http://schemas.microsoft.com/office/drawing/2014/main" id="{41DFC8E3-8B87-4CE7-A59B-343D1DDF093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401" name="Text Box 432" hidden="1">
          <a:extLst>
            <a:ext uri="{FF2B5EF4-FFF2-40B4-BE49-F238E27FC236}">
              <a16:creationId xmlns:a16="http://schemas.microsoft.com/office/drawing/2014/main" id="{468D1039-3CB0-4370-84E4-E492559519BF}"/>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295658</xdr:rowOff>
    </xdr:to>
    <xdr:sp macro="" textlink="">
      <xdr:nvSpPr>
        <xdr:cNvPr id="402" name="Text Box 431" hidden="1">
          <a:extLst>
            <a:ext uri="{FF2B5EF4-FFF2-40B4-BE49-F238E27FC236}">
              <a16:creationId xmlns:a16="http://schemas.microsoft.com/office/drawing/2014/main" id="{EE9660C5-284C-4B43-A1F7-4A1F760FDB0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403" name="Text Box 430" hidden="1">
          <a:extLst>
            <a:ext uri="{FF2B5EF4-FFF2-40B4-BE49-F238E27FC236}">
              <a16:creationId xmlns:a16="http://schemas.microsoft.com/office/drawing/2014/main" id="{0873FA31-F8AC-47A4-969C-46655C3788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102160</xdr:colOff>
      <xdr:row>73</xdr:row>
      <xdr:rowOff>169154</xdr:rowOff>
    </xdr:to>
    <xdr:sp macro="" textlink="">
      <xdr:nvSpPr>
        <xdr:cNvPr id="404" name="Text Box 429" hidden="1">
          <a:extLst>
            <a:ext uri="{FF2B5EF4-FFF2-40B4-BE49-F238E27FC236}">
              <a16:creationId xmlns:a16="http://schemas.microsoft.com/office/drawing/2014/main" id="{B1CB0697-78CB-4DFB-910B-96F865E23BB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9894</xdr:rowOff>
    </xdr:from>
    <xdr:to>
      <xdr:col>5</xdr:col>
      <xdr:colOff>102160</xdr:colOff>
      <xdr:row>74</xdr:row>
      <xdr:rowOff>170150</xdr:rowOff>
    </xdr:to>
    <xdr:sp macro="" textlink="">
      <xdr:nvSpPr>
        <xdr:cNvPr id="405" name="Text Box 428" hidden="1">
          <a:extLst>
            <a:ext uri="{FF2B5EF4-FFF2-40B4-BE49-F238E27FC236}">
              <a16:creationId xmlns:a16="http://schemas.microsoft.com/office/drawing/2014/main" id="{EC226135-39DB-46C5-A6ED-7D98903D3E38}"/>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12346</xdr:rowOff>
    </xdr:from>
    <xdr:to>
      <xdr:col>5</xdr:col>
      <xdr:colOff>102160</xdr:colOff>
      <xdr:row>74</xdr:row>
      <xdr:rowOff>170150</xdr:rowOff>
    </xdr:to>
    <xdr:sp macro="" textlink="">
      <xdr:nvSpPr>
        <xdr:cNvPr id="406" name="Text Box 427" hidden="1">
          <a:extLst>
            <a:ext uri="{FF2B5EF4-FFF2-40B4-BE49-F238E27FC236}">
              <a16:creationId xmlns:a16="http://schemas.microsoft.com/office/drawing/2014/main" id="{C6B9A811-7A33-49B5-B752-ED7848EC6B1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102160</xdr:colOff>
      <xdr:row>192</xdr:row>
      <xdr:rowOff>96425</xdr:rowOff>
    </xdr:to>
    <xdr:sp macro="" textlink="">
      <xdr:nvSpPr>
        <xdr:cNvPr id="407" name="Text Box 426" hidden="1">
          <a:extLst>
            <a:ext uri="{FF2B5EF4-FFF2-40B4-BE49-F238E27FC236}">
              <a16:creationId xmlns:a16="http://schemas.microsoft.com/office/drawing/2014/main" id="{C91C5BF7-6FC5-4A99-9F74-7BF1DC64399D}"/>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408" name="Text Box 425" hidden="1">
          <a:extLst>
            <a:ext uri="{FF2B5EF4-FFF2-40B4-BE49-F238E27FC236}">
              <a16:creationId xmlns:a16="http://schemas.microsoft.com/office/drawing/2014/main" id="{B7586188-BDAB-41E0-B668-C6C6FE6CB4CB}"/>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409" name="Text Box 424" hidden="1">
          <a:extLst>
            <a:ext uri="{FF2B5EF4-FFF2-40B4-BE49-F238E27FC236}">
              <a16:creationId xmlns:a16="http://schemas.microsoft.com/office/drawing/2014/main" id="{064A850E-4A57-449B-A014-ED0D6D409910}"/>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410" name="Text Box 423" hidden="1">
          <a:extLst>
            <a:ext uri="{FF2B5EF4-FFF2-40B4-BE49-F238E27FC236}">
              <a16:creationId xmlns:a16="http://schemas.microsoft.com/office/drawing/2014/main" id="{1CF7C31B-C2E1-40CD-9380-E909FFFD28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1823</xdr:rowOff>
    </xdr:from>
    <xdr:to>
      <xdr:col>18</xdr:col>
      <xdr:colOff>235046</xdr:colOff>
      <xdr:row>36</xdr:row>
      <xdr:rowOff>57187</xdr:rowOff>
    </xdr:to>
    <xdr:sp macro="" textlink="">
      <xdr:nvSpPr>
        <xdr:cNvPr id="411" name="Text Box 422" hidden="1">
          <a:extLst>
            <a:ext uri="{FF2B5EF4-FFF2-40B4-BE49-F238E27FC236}">
              <a16:creationId xmlns:a16="http://schemas.microsoft.com/office/drawing/2014/main" id="{FC17C865-1DAC-465B-B6BF-C09E350FF19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124610</xdr:rowOff>
    </xdr:from>
    <xdr:to>
      <xdr:col>5</xdr:col>
      <xdr:colOff>102160</xdr:colOff>
      <xdr:row>101</xdr:row>
      <xdr:rowOff>87682</xdr:rowOff>
    </xdr:to>
    <xdr:sp macro="" textlink="">
      <xdr:nvSpPr>
        <xdr:cNvPr id="412" name="Text Box 421" hidden="1">
          <a:extLst>
            <a:ext uri="{FF2B5EF4-FFF2-40B4-BE49-F238E27FC236}">
              <a16:creationId xmlns:a16="http://schemas.microsoft.com/office/drawing/2014/main" id="{CF0FD43F-BD7B-4AA4-8556-995D69A65464}"/>
            </a:ext>
          </a:extLst>
        </xdr:cNvPr>
        <xdr:cNvSpPr txBox="1">
          <a:spLocks noChangeArrowheads="1"/>
        </xdr:cNvSpPr>
      </xdr:nvSpPr>
      <xdr:spPr bwMode="auto">
        <a:xfrm>
          <a:off x="3981263" y="21289160"/>
          <a:ext cx="1312022"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102406</xdr:rowOff>
    </xdr:from>
    <xdr:to>
      <xdr:col>5</xdr:col>
      <xdr:colOff>102160</xdr:colOff>
      <xdr:row>102</xdr:row>
      <xdr:rowOff>225984</xdr:rowOff>
    </xdr:to>
    <xdr:sp macro="" textlink="">
      <xdr:nvSpPr>
        <xdr:cNvPr id="413" name="Text Box 420" hidden="1">
          <a:extLst>
            <a:ext uri="{FF2B5EF4-FFF2-40B4-BE49-F238E27FC236}">
              <a16:creationId xmlns:a16="http://schemas.microsoft.com/office/drawing/2014/main" id="{B4189554-42DC-4AE3-92D1-D8D6F157D550}"/>
            </a:ext>
          </a:extLst>
        </xdr:cNvPr>
        <xdr:cNvSpPr txBox="1">
          <a:spLocks noChangeArrowheads="1"/>
        </xdr:cNvSpPr>
      </xdr:nvSpPr>
      <xdr:spPr bwMode="auto">
        <a:xfrm>
          <a:off x="3981263" y="21447931"/>
          <a:ext cx="1312022"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160678</xdr:rowOff>
    </xdr:from>
    <xdr:to>
      <xdr:col>5</xdr:col>
      <xdr:colOff>102160</xdr:colOff>
      <xdr:row>105</xdr:row>
      <xdr:rowOff>86899</xdr:rowOff>
    </xdr:to>
    <xdr:sp macro="" textlink="">
      <xdr:nvSpPr>
        <xdr:cNvPr id="414" name="Text Box 419" hidden="1">
          <a:extLst>
            <a:ext uri="{FF2B5EF4-FFF2-40B4-BE49-F238E27FC236}">
              <a16:creationId xmlns:a16="http://schemas.microsoft.com/office/drawing/2014/main" id="{48761E79-73A0-4A1A-92E5-CDC5418D14BA}"/>
            </a:ext>
          </a:extLst>
        </xdr:cNvPr>
        <xdr:cNvSpPr txBox="1">
          <a:spLocks noChangeArrowheads="1"/>
        </xdr:cNvSpPr>
      </xdr:nvSpPr>
      <xdr:spPr bwMode="auto">
        <a:xfrm>
          <a:off x="3981263" y="21687178"/>
          <a:ext cx="1312022"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196999</xdr:rowOff>
    </xdr:from>
    <xdr:to>
      <xdr:col>5</xdr:col>
      <xdr:colOff>102160</xdr:colOff>
      <xdr:row>106</xdr:row>
      <xdr:rowOff>1844</xdr:rowOff>
    </xdr:to>
    <xdr:sp macro="" textlink="">
      <xdr:nvSpPr>
        <xdr:cNvPr id="415" name="Text Box 418" hidden="1">
          <a:extLst>
            <a:ext uri="{FF2B5EF4-FFF2-40B4-BE49-F238E27FC236}">
              <a16:creationId xmlns:a16="http://schemas.microsoft.com/office/drawing/2014/main" id="{79FB7CC9-2DEC-434F-94FD-90BBBA10E063}"/>
            </a:ext>
          </a:extLst>
        </xdr:cNvPr>
        <xdr:cNvSpPr txBox="1">
          <a:spLocks noChangeArrowheads="1"/>
        </xdr:cNvSpPr>
      </xdr:nvSpPr>
      <xdr:spPr bwMode="auto">
        <a:xfrm>
          <a:off x="3981263" y="21907649"/>
          <a:ext cx="1312022"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94324</xdr:rowOff>
    </xdr:from>
    <xdr:to>
      <xdr:col>5</xdr:col>
      <xdr:colOff>102160</xdr:colOff>
      <xdr:row>94</xdr:row>
      <xdr:rowOff>164121</xdr:rowOff>
    </xdr:to>
    <xdr:sp macro="" textlink="">
      <xdr:nvSpPr>
        <xdr:cNvPr id="416" name="Text Box 417" hidden="1">
          <a:extLst>
            <a:ext uri="{FF2B5EF4-FFF2-40B4-BE49-F238E27FC236}">
              <a16:creationId xmlns:a16="http://schemas.microsoft.com/office/drawing/2014/main" id="{BB910527-6B27-4D3A-95C8-396A8ABA6EF5}"/>
            </a:ext>
          </a:extLst>
        </xdr:cNvPr>
        <xdr:cNvSpPr txBox="1">
          <a:spLocks noChangeArrowheads="1"/>
        </xdr:cNvSpPr>
      </xdr:nvSpPr>
      <xdr:spPr bwMode="auto">
        <a:xfrm>
          <a:off x="3981263" y="19633274"/>
          <a:ext cx="1312022"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104019</xdr:rowOff>
    </xdr:from>
    <xdr:to>
      <xdr:col>5</xdr:col>
      <xdr:colOff>102160</xdr:colOff>
      <xdr:row>95</xdr:row>
      <xdr:rowOff>104872</xdr:rowOff>
    </xdr:to>
    <xdr:sp macro="" textlink="">
      <xdr:nvSpPr>
        <xdr:cNvPr id="417" name="Text Box 416" hidden="1">
          <a:extLst>
            <a:ext uri="{FF2B5EF4-FFF2-40B4-BE49-F238E27FC236}">
              <a16:creationId xmlns:a16="http://schemas.microsoft.com/office/drawing/2014/main" id="{272FDDCB-4DDC-4096-8441-EFBAF5A979D2}"/>
            </a:ext>
          </a:extLst>
        </xdr:cNvPr>
        <xdr:cNvSpPr txBox="1">
          <a:spLocks noChangeArrowheads="1"/>
        </xdr:cNvSpPr>
      </xdr:nvSpPr>
      <xdr:spPr bwMode="auto">
        <a:xfrm>
          <a:off x="3981263" y="19820769"/>
          <a:ext cx="1312022"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124471</xdr:rowOff>
    </xdr:from>
    <xdr:to>
      <xdr:col>5</xdr:col>
      <xdr:colOff>102160</xdr:colOff>
      <xdr:row>96</xdr:row>
      <xdr:rowOff>151270</xdr:rowOff>
    </xdr:to>
    <xdr:sp macro="" textlink="">
      <xdr:nvSpPr>
        <xdr:cNvPr id="418" name="Text Box 415" hidden="1">
          <a:extLst>
            <a:ext uri="{FF2B5EF4-FFF2-40B4-BE49-F238E27FC236}">
              <a16:creationId xmlns:a16="http://schemas.microsoft.com/office/drawing/2014/main" id="{51B8753C-1B57-42EC-BDBA-A1A63A76D766}"/>
            </a:ext>
          </a:extLst>
        </xdr:cNvPr>
        <xdr:cNvSpPr txBox="1">
          <a:spLocks noChangeArrowheads="1"/>
        </xdr:cNvSpPr>
      </xdr:nvSpPr>
      <xdr:spPr bwMode="auto">
        <a:xfrm>
          <a:off x="3981263" y="20022196"/>
          <a:ext cx="1312022"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85003</xdr:rowOff>
    </xdr:from>
    <xdr:to>
      <xdr:col>5</xdr:col>
      <xdr:colOff>102160</xdr:colOff>
      <xdr:row>97</xdr:row>
      <xdr:rowOff>126049</xdr:rowOff>
    </xdr:to>
    <xdr:sp macro="" textlink="">
      <xdr:nvSpPr>
        <xdr:cNvPr id="419" name="Text Box 414" hidden="1">
          <a:extLst>
            <a:ext uri="{FF2B5EF4-FFF2-40B4-BE49-F238E27FC236}">
              <a16:creationId xmlns:a16="http://schemas.microsoft.com/office/drawing/2014/main" id="{8CE634AC-4F71-4B08-818D-32284D653D69}"/>
            </a:ext>
          </a:extLst>
        </xdr:cNvPr>
        <xdr:cNvSpPr txBox="1">
          <a:spLocks noChangeArrowheads="1"/>
        </xdr:cNvSpPr>
      </xdr:nvSpPr>
      <xdr:spPr bwMode="auto">
        <a:xfrm>
          <a:off x="3981263" y="20163703"/>
          <a:ext cx="1312022"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88</xdr:row>
      <xdr:rowOff>28608</xdr:rowOff>
    </xdr:from>
    <xdr:to>
      <xdr:col>5</xdr:col>
      <xdr:colOff>287804</xdr:colOff>
      <xdr:row>95</xdr:row>
      <xdr:rowOff>125192</xdr:rowOff>
    </xdr:to>
    <xdr:sp macro="" textlink="">
      <xdr:nvSpPr>
        <xdr:cNvPr id="420" name="Text Box 459" hidden="1">
          <a:extLst>
            <a:ext uri="{FF2B5EF4-FFF2-40B4-BE49-F238E27FC236}">
              <a16:creationId xmlns:a16="http://schemas.microsoft.com/office/drawing/2014/main" id="{06BDD23D-EC67-4289-B3E8-36B661DF99AA}"/>
            </a:ext>
          </a:extLst>
        </xdr:cNvPr>
        <xdr:cNvSpPr txBox="1">
          <a:spLocks noChangeArrowheads="1"/>
        </xdr:cNvSpPr>
      </xdr:nvSpPr>
      <xdr:spPr bwMode="auto">
        <a:xfrm>
          <a:off x="4057463" y="19202433"/>
          <a:ext cx="1421466" cy="1360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421" name="Text Box 458" hidden="1">
          <a:extLst>
            <a:ext uri="{FF2B5EF4-FFF2-40B4-BE49-F238E27FC236}">
              <a16:creationId xmlns:a16="http://schemas.microsoft.com/office/drawing/2014/main" id="{C0347F46-25A1-43E1-B556-A1F9C0A195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422" name="Text Box 457" hidden="1">
          <a:extLst>
            <a:ext uri="{FF2B5EF4-FFF2-40B4-BE49-F238E27FC236}">
              <a16:creationId xmlns:a16="http://schemas.microsoft.com/office/drawing/2014/main" id="{51A5C054-C9B0-4913-A56B-03AC5969DAA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423" name="Text Box 456" hidden="1">
          <a:extLst>
            <a:ext uri="{FF2B5EF4-FFF2-40B4-BE49-F238E27FC236}">
              <a16:creationId xmlns:a16="http://schemas.microsoft.com/office/drawing/2014/main" id="{3A286F71-827C-4125-BBDB-C11C108F0DF8}"/>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424" name="Text Box 455" hidden="1">
          <a:extLst>
            <a:ext uri="{FF2B5EF4-FFF2-40B4-BE49-F238E27FC236}">
              <a16:creationId xmlns:a16="http://schemas.microsoft.com/office/drawing/2014/main" id="{B50C1822-263C-4639-BEF7-1DE3124E880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295658</xdr:rowOff>
    </xdr:to>
    <xdr:sp macro="" textlink="">
      <xdr:nvSpPr>
        <xdr:cNvPr id="425" name="Text Box 454" hidden="1">
          <a:extLst>
            <a:ext uri="{FF2B5EF4-FFF2-40B4-BE49-F238E27FC236}">
              <a16:creationId xmlns:a16="http://schemas.microsoft.com/office/drawing/2014/main" id="{B998C754-5D2C-4E7C-91A9-33DDE976E0DF}"/>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426" name="Text Box 453" hidden="1">
          <a:extLst>
            <a:ext uri="{FF2B5EF4-FFF2-40B4-BE49-F238E27FC236}">
              <a16:creationId xmlns:a16="http://schemas.microsoft.com/office/drawing/2014/main" id="{50F7B297-F98A-433C-9270-BBD54A32B40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102160</xdr:colOff>
      <xdr:row>73</xdr:row>
      <xdr:rowOff>169154</xdr:rowOff>
    </xdr:to>
    <xdr:sp macro="" textlink="">
      <xdr:nvSpPr>
        <xdr:cNvPr id="427" name="Text Box 452" hidden="1">
          <a:extLst>
            <a:ext uri="{FF2B5EF4-FFF2-40B4-BE49-F238E27FC236}">
              <a16:creationId xmlns:a16="http://schemas.microsoft.com/office/drawing/2014/main" id="{2CD43D90-68DF-47C2-805F-2D1E3DF1ABE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9894</xdr:rowOff>
    </xdr:from>
    <xdr:to>
      <xdr:col>5</xdr:col>
      <xdr:colOff>102160</xdr:colOff>
      <xdr:row>74</xdr:row>
      <xdr:rowOff>170150</xdr:rowOff>
    </xdr:to>
    <xdr:sp macro="" textlink="">
      <xdr:nvSpPr>
        <xdr:cNvPr id="428" name="Text Box 451" hidden="1">
          <a:extLst>
            <a:ext uri="{FF2B5EF4-FFF2-40B4-BE49-F238E27FC236}">
              <a16:creationId xmlns:a16="http://schemas.microsoft.com/office/drawing/2014/main" id="{05AF986D-AC41-43F2-9791-979D5DF6E04A}"/>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12346</xdr:rowOff>
    </xdr:from>
    <xdr:to>
      <xdr:col>5</xdr:col>
      <xdr:colOff>102160</xdr:colOff>
      <xdr:row>74</xdr:row>
      <xdr:rowOff>170150</xdr:rowOff>
    </xdr:to>
    <xdr:sp macro="" textlink="">
      <xdr:nvSpPr>
        <xdr:cNvPr id="429" name="Text Box 450" hidden="1">
          <a:extLst>
            <a:ext uri="{FF2B5EF4-FFF2-40B4-BE49-F238E27FC236}">
              <a16:creationId xmlns:a16="http://schemas.microsoft.com/office/drawing/2014/main" id="{2832836F-9ECC-4304-9A62-2BBD48991823}"/>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12089</xdr:rowOff>
    </xdr:from>
    <xdr:to>
      <xdr:col>5</xdr:col>
      <xdr:colOff>102160</xdr:colOff>
      <xdr:row>92</xdr:row>
      <xdr:rowOff>101611</xdr:rowOff>
    </xdr:to>
    <xdr:sp macro="" textlink="">
      <xdr:nvSpPr>
        <xdr:cNvPr id="430" name="Text Box 449" hidden="1">
          <a:extLst>
            <a:ext uri="{FF2B5EF4-FFF2-40B4-BE49-F238E27FC236}">
              <a16:creationId xmlns:a16="http://schemas.microsoft.com/office/drawing/2014/main" id="{754BD9B1-0D46-4907-82A1-A48DBC762A6E}"/>
            </a:ext>
          </a:extLst>
        </xdr:cNvPr>
        <xdr:cNvSpPr txBox="1">
          <a:spLocks noChangeArrowheads="1"/>
        </xdr:cNvSpPr>
      </xdr:nvSpPr>
      <xdr:spPr bwMode="auto">
        <a:xfrm>
          <a:off x="4019363" y="19909814"/>
          <a:ext cx="1273922" cy="8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85003</xdr:rowOff>
    </xdr:from>
    <xdr:to>
      <xdr:col>5</xdr:col>
      <xdr:colOff>102160</xdr:colOff>
      <xdr:row>118</xdr:row>
      <xdr:rowOff>20779</xdr:rowOff>
    </xdr:to>
    <xdr:sp macro="" textlink="">
      <xdr:nvSpPr>
        <xdr:cNvPr id="431" name="Text Box 448" hidden="1">
          <a:extLst>
            <a:ext uri="{FF2B5EF4-FFF2-40B4-BE49-F238E27FC236}">
              <a16:creationId xmlns:a16="http://schemas.microsoft.com/office/drawing/2014/main" id="{D0897031-40CE-43E2-BFF5-72351EE2B3A7}"/>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85003</xdr:rowOff>
    </xdr:from>
    <xdr:to>
      <xdr:col>5</xdr:col>
      <xdr:colOff>102160</xdr:colOff>
      <xdr:row>118</xdr:row>
      <xdr:rowOff>20779</xdr:rowOff>
    </xdr:to>
    <xdr:sp macro="" textlink="">
      <xdr:nvSpPr>
        <xdr:cNvPr id="432" name="Text Box 447" hidden="1">
          <a:extLst>
            <a:ext uri="{FF2B5EF4-FFF2-40B4-BE49-F238E27FC236}">
              <a16:creationId xmlns:a16="http://schemas.microsoft.com/office/drawing/2014/main" id="{10F916B6-6C06-4301-89C5-EE76742F5B41}"/>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433" name="Text Box 446" hidden="1">
          <a:extLst>
            <a:ext uri="{FF2B5EF4-FFF2-40B4-BE49-F238E27FC236}">
              <a16:creationId xmlns:a16="http://schemas.microsoft.com/office/drawing/2014/main" id="{1AC7F5C7-8609-4180-B478-0A5D4EA5FFA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142805</xdr:rowOff>
    </xdr:from>
    <xdr:to>
      <xdr:col>5</xdr:col>
      <xdr:colOff>102160</xdr:colOff>
      <xdr:row>194</xdr:row>
      <xdr:rowOff>83293</xdr:rowOff>
    </xdr:to>
    <xdr:sp macro="" textlink="">
      <xdr:nvSpPr>
        <xdr:cNvPr id="434" name="Text Box 444" hidden="1">
          <a:extLst>
            <a:ext uri="{FF2B5EF4-FFF2-40B4-BE49-F238E27FC236}">
              <a16:creationId xmlns:a16="http://schemas.microsoft.com/office/drawing/2014/main" id="{26CF4074-F96C-4AC5-BF65-7420E9495F6A}"/>
            </a:ext>
          </a:extLst>
        </xdr:cNvPr>
        <xdr:cNvSpPr txBox="1">
          <a:spLocks noChangeArrowheads="1"/>
        </xdr:cNvSpPr>
      </xdr:nvSpPr>
      <xdr:spPr bwMode="auto">
        <a:xfrm>
          <a:off x="3981263" y="38261855"/>
          <a:ext cx="1312022" cy="4834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96227</xdr:rowOff>
    </xdr:from>
    <xdr:to>
      <xdr:col>5</xdr:col>
      <xdr:colOff>102160</xdr:colOff>
      <xdr:row>194</xdr:row>
      <xdr:rowOff>143281</xdr:rowOff>
    </xdr:to>
    <xdr:sp macro="" textlink="">
      <xdr:nvSpPr>
        <xdr:cNvPr id="435" name="Text Box 443" hidden="1">
          <a:extLst>
            <a:ext uri="{FF2B5EF4-FFF2-40B4-BE49-F238E27FC236}">
              <a16:creationId xmlns:a16="http://schemas.microsoft.com/office/drawing/2014/main" id="{AF6E653A-4CAF-4566-86D8-97F4A90C0E00}"/>
            </a:ext>
          </a:extLst>
        </xdr:cNvPr>
        <xdr:cNvSpPr txBox="1">
          <a:spLocks noChangeArrowheads="1"/>
        </xdr:cNvSpPr>
      </xdr:nvSpPr>
      <xdr:spPr bwMode="auto">
        <a:xfrm>
          <a:off x="3981263" y="38396252"/>
          <a:ext cx="1312022" cy="40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83143</xdr:rowOff>
    </xdr:from>
    <xdr:to>
      <xdr:col>5</xdr:col>
      <xdr:colOff>102160</xdr:colOff>
      <xdr:row>198</xdr:row>
      <xdr:rowOff>29935</xdr:rowOff>
    </xdr:to>
    <xdr:sp macro="" textlink="">
      <xdr:nvSpPr>
        <xdr:cNvPr id="436" name="Text Box 442" hidden="1">
          <a:extLst>
            <a:ext uri="{FF2B5EF4-FFF2-40B4-BE49-F238E27FC236}">
              <a16:creationId xmlns:a16="http://schemas.microsoft.com/office/drawing/2014/main" id="{C081EE04-472F-46DC-843C-0A18895977C4}"/>
            </a:ext>
          </a:extLst>
        </xdr:cNvPr>
        <xdr:cNvSpPr txBox="1">
          <a:spLocks noChangeArrowheads="1"/>
        </xdr:cNvSpPr>
      </xdr:nvSpPr>
      <xdr:spPr bwMode="auto">
        <a:xfrm>
          <a:off x="3981263" y="38564143"/>
          <a:ext cx="1312022" cy="8516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82658</xdr:rowOff>
    </xdr:from>
    <xdr:to>
      <xdr:col>5</xdr:col>
      <xdr:colOff>102160</xdr:colOff>
      <xdr:row>199</xdr:row>
      <xdr:rowOff>12157</xdr:rowOff>
    </xdr:to>
    <xdr:sp macro="" textlink="">
      <xdr:nvSpPr>
        <xdr:cNvPr id="437" name="Text Box 441" hidden="1">
          <a:extLst>
            <a:ext uri="{FF2B5EF4-FFF2-40B4-BE49-F238E27FC236}">
              <a16:creationId xmlns:a16="http://schemas.microsoft.com/office/drawing/2014/main" id="{BB3EA400-6C3A-409C-AED8-ECC8D16A6290}"/>
            </a:ext>
          </a:extLst>
        </xdr:cNvPr>
        <xdr:cNvSpPr txBox="1">
          <a:spLocks noChangeArrowheads="1"/>
        </xdr:cNvSpPr>
      </xdr:nvSpPr>
      <xdr:spPr bwMode="auto">
        <a:xfrm>
          <a:off x="3981263" y="38744633"/>
          <a:ext cx="1312022" cy="8343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22135</xdr:rowOff>
    </xdr:from>
    <xdr:to>
      <xdr:col>5</xdr:col>
      <xdr:colOff>102160</xdr:colOff>
      <xdr:row>140</xdr:row>
      <xdr:rowOff>126323</xdr:rowOff>
    </xdr:to>
    <xdr:sp macro="" textlink="">
      <xdr:nvSpPr>
        <xdr:cNvPr id="438" name="Text Box 440" hidden="1">
          <a:extLst>
            <a:ext uri="{FF2B5EF4-FFF2-40B4-BE49-F238E27FC236}">
              <a16:creationId xmlns:a16="http://schemas.microsoft.com/office/drawing/2014/main" id="{02ED87C6-1A01-4E95-BBE3-3731109E3374}"/>
            </a:ext>
          </a:extLst>
        </xdr:cNvPr>
        <xdr:cNvSpPr txBox="1">
          <a:spLocks noChangeArrowheads="1"/>
        </xdr:cNvSpPr>
      </xdr:nvSpPr>
      <xdr:spPr bwMode="auto">
        <a:xfrm>
          <a:off x="3981263" y="28006585"/>
          <a:ext cx="1312022" cy="10090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136</xdr:row>
      <xdr:rowOff>29846</xdr:rowOff>
    </xdr:from>
    <xdr:to>
      <xdr:col>5</xdr:col>
      <xdr:colOff>102160</xdr:colOff>
      <xdr:row>185</xdr:row>
      <xdr:rowOff>123905</xdr:rowOff>
    </xdr:to>
    <xdr:sp macro="" textlink="">
      <xdr:nvSpPr>
        <xdr:cNvPr id="439" name="Text Box 439" hidden="1">
          <a:extLst>
            <a:ext uri="{FF2B5EF4-FFF2-40B4-BE49-F238E27FC236}">
              <a16:creationId xmlns:a16="http://schemas.microsoft.com/office/drawing/2014/main" id="{5054B6B3-20DA-4D38-9F33-F4D3F2F6C126}"/>
            </a:ext>
          </a:extLst>
        </xdr:cNvPr>
        <xdr:cNvSpPr txBox="1">
          <a:spLocks noChangeArrowheads="1"/>
        </xdr:cNvSpPr>
      </xdr:nvSpPr>
      <xdr:spPr bwMode="auto">
        <a:xfrm>
          <a:off x="3981263" y="28195271"/>
          <a:ext cx="1312022" cy="8961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29120</xdr:rowOff>
    </xdr:from>
    <xdr:to>
      <xdr:col>5</xdr:col>
      <xdr:colOff>102160</xdr:colOff>
      <xdr:row>186</xdr:row>
      <xdr:rowOff>1351</xdr:rowOff>
    </xdr:to>
    <xdr:sp macro="" textlink="">
      <xdr:nvSpPr>
        <xdr:cNvPr id="440" name="Text Box 438" hidden="1">
          <a:extLst>
            <a:ext uri="{FF2B5EF4-FFF2-40B4-BE49-F238E27FC236}">
              <a16:creationId xmlns:a16="http://schemas.microsoft.com/office/drawing/2014/main" id="{3AC56F98-9C41-4FB5-921A-E9D431F8EF39}"/>
            </a:ext>
          </a:extLst>
        </xdr:cNvPr>
        <xdr:cNvSpPr txBox="1">
          <a:spLocks noChangeArrowheads="1"/>
        </xdr:cNvSpPr>
      </xdr:nvSpPr>
      <xdr:spPr bwMode="auto">
        <a:xfrm>
          <a:off x="3981263" y="28375520"/>
          <a:ext cx="1312022" cy="8840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29119</xdr:rowOff>
    </xdr:from>
    <xdr:to>
      <xdr:col>5</xdr:col>
      <xdr:colOff>102160</xdr:colOff>
      <xdr:row>187</xdr:row>
      <xdr:rowOff>60247</xdr:rowOff>
    </xdr:to>
    <xdr:sp macro="" textlink="">
      <xdr:nvSpPr>
        <xdr:cNvPr id="441" name="Text Box 437" hidden="1">
          <a:extLst>
            <a:ext uri="{FF2B5EF4-FFF2-40B4-BE49-F238E27FC236}">
              <a16:creationId xmlns:a16="http://schemas.microsoft.com/office/drawing/2014/main" id="{F22AFC83-AB33-434A-B6AD-B078F4E7C241}"/>
            </a:ext>
          </a:extLst>
        </xdr:cNvPr>
        <xdr:cNvSpPr txBox="1">
          <a:spLocks noChangeArrowheads="1"/>
        </xdr:cNvSpPr>
      </xdr:nvSpPr>
      <xdr:spPr bwMode="auto">
        <a:xfrm>
          <a:off x="3981263" y="28556494"/>
          <a:ext cx="1312022" cy="88989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87</xdr:row>
      <xdr:rowOff>143129</xdr:rowOff>
    </xdr:from>
    <xdr:to>
      <xdr:col>5</xdr:col>
      <xdr:colOff>287804</xdr:colOff>
      <xdr:row>95</xdr:row>
      <xdr:rowOff>82647</xdr:rowOff>
    </xdr:to>
    <xdr:sp macro="" textlink="">
      <xdr:nvSpPr>
        <xdr:cNvPr id="442" name="Text Box 481" hidden="1">
          <a:extLst>
            <a:ext uri="{FF2B5EF4-FFF2-40B4-BE49-F238E27FC236}">
              <a16:creationId xmlns:a16="http://schemas.microsoft.com/office/drawing/2014/main" id="{DEB17F1C-4554-4347-AB31-BD75DDFA4F2F}"/>
            </a:ext>
          </a:extLst>
        </xdr:cNvPr>
        <xdr:cNvSpPr txBox="1">
          <a:spLocks noChangeArrowheads="1"/>
        </xdr:cNvSpPr>
      </xdr:nvSpPr>
      <xdr:spPr bwMode="auto">
        <a:xfrm>
          <a:off x="4057463" y="19135979"/>
          <a:ext cx="1421466" cy="13904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443" name="Text Box 480" hidden="1">
          <a:extLst>
            <a:ext uri="{FF2B5EF4-FFF2-40B4-BE49-F238E27FC236}">
              <a16:creationId xmlns:a16="http://schemas.microsoft.com/office/drawing/2014/main" id="{7A204CF8-1976-40F4-AB02-5D2A2B3024D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61</xdr:row>
      <xdr:rowOff>322717</xdr:rowOff>
    </xdr:to>
    <xdr:sp macro="" textlink="">
      <xdr:nvSpPr>
        <xdr:cNvPr id="444" name="Text Box 479" hidden="1">
          <a:extLst>
            <a:ext uri="{FF2B5EF4-FFF2-40B4-BE49-F238E27FC236}">
              <a16:creationId xmlns:a16="http://schemas.microsoft.com/office/drawing/2014/main" id="{F939C310-B758-443E-94A2-033F3A3E5B4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58</xdr:row>
      <xdr:rowOff>58211</xdr:rowOff>
    </xdr:to>
    <xdr:sp macro="" textlink="">
      <xdr:nvSpPr>
        <xdr:cNvPr id="445" name="Text Box 478" hidden="1">
          <a:extLst>
            <a:ext uri="{FF2B5EF4-FFF2-40B4-BE49-F238E27FC236}">
              <a16:creationId xmlns:a16="http://schemas.microsoft.com/office/drawing/2014/main" id="{0BF1C570-F711-4496-B40A-A2185BDD1E96}"/>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58</xdr:row>
      <xdr:rowOff>20671</xdr:rowOff>
    </xdr:to>
    <xdr:sp macro="" textlink="">
      <xdr:nvSpPr>
        <xdr:cNvPr id="446" name="Text Box 477" hidden="1">
          <a:extLst>
            <a:ext uri="{FF2B5EF4-FFF2-40B4-BE49-F238E27FC236}">
              <a16:creationId xmlns:a16="http://schemas.microsoft.com/office/drawing/2014/main" id="{8ACAFB7A-8FFF-43D7-9221-6E2C2EA79AF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283883</xdr:rowOff>
    </xdr:from>
    <xdr:to>
      <xdr:col>5</xdr:col>
      <xdr:colOff>102160</xdr:colOff>
      <xdr:row>59</xdr:row>
      <xdr:rowOff>295658</xdr:rowOff>
    </xdr:to>
    <xdr:sp macro="" textlink="">
      <xdr:nvSpPr>
        <xdr:cNvPr id="447" name="Text Box 476" hidden="1">
          <a:extLst>
            <a:ext uri="{FF2B5EF4-FFF2-40B4-BE49-F238E27FC236}">
              <a16:creationId xmlns:a16="http://schemas.microsoft.com/office/drawing/2014/main" id="{FD6021B6-AABA-40EB-836E-CA4C14B15C69}"/>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38649</xdr:rowOff>
    </xdr:from>
    <xdr:to>
      <xdr:col>5</xdr:col>
      <xdr:colOff>102160</xdr:colOff>
      <xdr:row>71</xdr:row>
      <xdr:rowOff>27651</xdr:rowOff>
    </xdr:to>
    <xdr:sp macro="" textlink="">
      <xdr:nvSpPr>
        <xdr:cNvPr id="448" name="Text Box 475" hidden="1">
          <a:extLst>
            <a:ext uri="{FF2B5EF4-FFF2-40B4-BE49-F238E27FC236}">
              <a16:creationId xmlns:a16="http://schemas.microsoft.com/office/drawing/2014/main" id="{09D88D67-9CC2-4817-8377-DFCB75D9AB34}"/>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102160</xdr:colOff>
      <xdr:row>73</xdr:row>
      <xdr:rowOff>169154</xdr:rowOff>
    </xdr:to>
    <xdr:sp macro="" textlink="">
      <xdr:nvSpPr>
        <xdr:cNvPr id="449" name="Text Box 474" hidden="1">
          <a:extLst>
            <a:ext uri="{FF2B5EF4-FFF2-40B4-BE49-F238E27FC236}">
              <a16:creationId xmlns:a16="http://schemas.microsoft.com/office/drawing/2014/main" id="{6CCC98D3-975F-4DF9-9FC1-F65378B07858}"/>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9894</xdr:rowOff>
    </xdr:from>
    <xdr:to>
      <xdr:col>5</xdr:col>
      <xdr:colOff>102160</xdr:colOff>
      <xdr:row>74</xdr:row>
      <xdr:rowOff>170150</xdr:rowOff>
    </xdr:to>
    <xdr:sp macro="" textlink="">
      <xdr:nvSpPr>
        <xdr:cNvPr id="450" name="Text Box 473" hidden="1">
          <a:extLst>
            <a:ext uri="{FF2B5EF4-FFF2-40B4-BE49-F238E27FC236}">
              <a16:creationId xmlns:a16="http://schemas.microsoft.com/office/drawing/2014/main" id="{F1C1EFC1-6E7C-41E4-82FE-ACE1D68B88E2}"/>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12346</xdr:rowOff>
    </xdr:from>
    <xdr:to>
      <xdr:col>5</xdr:col>
      <xdr:colOff>102160</xdr:colOff>
      <xdr:row>74</xdr:row>
      <xdr:rowOff>170150</xdr:rowOff>
    </xdr:to>
    <xdr:sp macro="" textlink="">
      <xdr:nvSpPr>
        <xdr:cNvPr id="451" name="Text Box 472" hidden="1">
          <a:extLst>
            <a:ext uri="{FF2B5EF4-FFF2-40B4-BE49-F238E27FC236}">
              <a16:creationId xmlns:a16="http://schemas.microsoft.com/office/drawing/2014/main" id="{2E200AB2-8CED-4A54-8908-129754CCDDC4}"/>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10819</xdr:rowOff>
    </xdr:from>
    <xdr:to>
      <xdr:col>5</xdr:col>
      <xdr:colOff>102160</xdr:colOff>
      <xdr:row>92</xdr:row>
      <xdr:rowOff>67006</xdr:rowOff>
    </xdr:to>
    <xdr:sp macro="" textlink="">
      <xdr:nvSpPr>
        <xdr:cNvPr id="452" name="Text Box 471" hidden="1">
          <a:extLst>
            <a:ext uri="{FF2B5EF4-FFF2-40B4-BE49-F238E27FC236}">
              <a16:creationId xmlns:a16="http://schemas.microsoft.com/office/drawing/2014/main" id="{6EEBA4EF-ED87-4037-A391-E481819523D7}"/>
            </a:ext>
          </a:extLst>
        </xdr:cNvPr>
        <xdr:cNvSpPr txBox="1">
          <a:spLocks noChangeArrowheads="1"/>
        </xdr:cNvSpPr>
      </xdr:nvSpPr>
      <xdr:spPr bwMode="auto">
        <a:xfrm>
          <a:off x="4019363" y="19908544"/>
          <a:ext cx="1273922" cy="56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85003</xdr:rowOff>
    </xdr:from>
    <xdr:to>
      <xdr:col>5</xdr:col>
      <xdr:colOff>102160</xdr:colOff>
      <xdr:row>118</xdr:row>
      <xdr:rowOff>21414</xdr:rowOff>
    </xdr:to>
    <xdr:sp macro="" textlink="">
      <xdr:nvSpPr>
        <xdr:cNvPr id="453" name="Text Box 470" hidden="1">
          <a:extLst>
            <a:ext uri="{FF2B5EF4-FFF2-40B4-BE49-F238E27FC236}">
              <a16:creationId xmlns:a16="http://schemas.microsoft.com/office/drawing/2014/main" id="{B7959E95-30A6-4A5D-BD71-F79F2438EA08}"/>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85003</xdr:rowOff>
    </xdr:from>
    <xdr:to>
      <xdr:col>5</xdr:col>
      <xdr:colOff>102160</xdr:colOff>
      <xdr:row>118</xdr:row>
      <xdr:rowOff>21414</xdr:rowOff>
    </xdr:to>
    <xdr:sp macro="" textlink="">
      <xdr:nvSpPr>
        <xdr:cNvPr id="454" name="Text Box 469" hidden="1">
          <a:extLst>
            <a:ext uri="{FF2B5EF4-FFF2-40B4-BE49-F238E27FC236}">
              <a16:creationId xmlns:a16="http://schemas.microsoft.com/office/drawing/2014/main" id="{430A0430-01F9-49A1-A9D9-11D489D27F91}"/>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455" name="Text Box 468" hidden="1">
          <a:extLst>
            <a:ext uri="{FF2B5EF4-FFF2-40B4-BE49-F238E27FC236}">
              <a16:creationId xmlns:a16="http://schemas.microsoft.com/office/drawing/2014/main" id="{17C9733E-D1DA-4805-81C9-EA52D07DCEB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116864</xdr:rowOff>
    </xdr:from>
    <xdr:to>
      <xdr:col>5</xdr:col>
      <xdr:colOff>102160</xdr:colOff>
      <xdr:row>194</xdr:row>
      <xdr:rowOff>83293</xdr:rowOff>
    </xdr:to>
    <xdr:sp macro="" textlink="">
      <xdr:nvSpPr>
        <xdr:cNvPr id="456" name="Text Box 467" hidden="1">
          <a:extLst>
            <a:ext uri="{FF2B5EF4-FFF2-40B4-BE49-F238E27FC236}">
              <a16:creationId xmlns:a16="http://schemas.microsoft.com/office/drawing/2014/main" id="{4A2142F2-7B57-438C-8180-2B309006DB19}"/>
            </a:ext>
          </a:extLst>
        </xdr:cNvPr>
        <xdr:cNvSpPr txBox="1">
          <a:spLocks noChangeArrowheads="1"/>
        </xdr:cNvSpPr>
      </xdr:nvSpPr>
      <xdr:spPr bwMode="auto">
        <a:xfrm>
          <a:off x="3981263" y="38235914"/>
          <a:ext cx="1312022" cy="5093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102160</xdr:colOff>
      <xdr:row>194</xdr:row>
      <xdr:rowOff>151657</xdr:rowOff>
    </xdr:to>
    <xdr:sp macro="" textlink="">
      <xdr:nvSpPr>
        <xdr:cNvPr id="457" name="Text Box 466" hidden="1">
          <a:extLst>
            <a:ext uri="{FF2B5EF4-FFF2-40B4-BE49-F238E27FC236}">
              <a16:creationId xmlns:a16="http://schemas.microsoft.com/office/drawing/2014/main" id="{DBB97301-3AA0-4470-BF34-B6BEFC44D217}"/>
            </a:ext>
          </a:extLst>
        </xdr:cNvPr>
        <xdr:cNvSpPr txBox="1">
          <a:spLocks noChangeArrowheads="1"/>
        </xdr:cNvSpPr>
      </xdr:nvSpPr>
      <xdr:spPr bwMode="auto">
        <a:xfrm>
          <a:off x="3981263" y="38395607"/>
          <a:ext cx="1312022" cy="418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102160</xdr:colOff>
      <xdr:row>198</xdr:row>
      <xdr:rowOff>1515</xdr:rowOff>
    </xdr:to>
    <xdr:sp macro="" textlink="">
      <xdr:nvSpPr>
        <xdr:cNvPr id="458" name="Text Box 465" hidden="1">
          <a:extLst>
            <a:ext uri="{FF2B5EF4-FFF2-40B4-BE49-F238E27FC236}">
              <a16:creationId xmlns:a16="http://schemas.microsoft.com/office/drawing/2014/main" id="{6B10A93D-0FD2-4D00-813E-5453CC51DBDF}"/>
            </a:ext>
          </a:extLst>
        </xdr:cNvPr>
        <xdr:cNvSpPr txBox="1">
          <a:spLocks noChangeArrowheads="1"/>
        </xdr:cNvSpPr>
      </xdr:nvSpPr>
      <xdr:spPr bwMode="auto">
        <a:xfrm>
          <a:off x="3981263" y="38576580"/>
          <a:ext cx="1312022" cy="810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67421</xdr:rowOff>
    </xdr:from>
    <xdr:to>
      <xdr:col>5</xdr:col>
      <xdr:colOff>102160</xdr:colOff>
      <xdr:row>199</xdr:row>
      <xdr:rowOff>11522</xdr:rowOff>
    </xdr:to>
    <xdr:sp macro="" textlink="">
      <xdr:nvSpPr>
        <xdr:cNvPr id="459" name="Text Box 464" hidden="1">
          <a:extLst>
            <a:ext uri="{FF2B5EF4-FFF2-40B4-BE49-F238E27FC236}">
              <a16:creationId xmlns:a16="http://schemas.microsoft.com/office/drawing/2014/main" id="{17F4F14D-6E6B-41D9-8992-E9E862DF8121}"/>
            </a:ext>
          </a:extLst>
        </xdr:cNvPr>
        <xdr:cNvSpPr txBox="1">
          <a:spLocks noChangeArrowheads="1"/>
        </xdr:cNvSpPr>
      </xdr:nvSpPr>
      <xdr:spPr bwMode="auto">
        <a:xfrm>
          <a:off x="3981263" y="38729396"/>
          <a:ext cx="1312022" cy="84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29174</xdr:rowOff>
    </xdr:from>
    <xdr:to>
      <xdr:col>5</xdr:col>
      <xdr:colOff>102160</xdr:colOff>
      <xdr:row>140</xdr:row>
      <xdr:rowOff>126323</xdr:rowOff>
    </xdr:to>
    <xdr:sp macro="" textlink="">
      <xdr:nvSpPr>
        <xdr:cNvPr id="460" name="Text Box 463" hidden="1">
          <a:extLst>
            <a:ext uri="{FF2B5EF4-FFF2-40B4-BE49-F238E27FC236}">
              <a16:creationId xmlns:a16="http://schemas.microsoft.com/office/drawing/2014/main" id="{E68E4E2B-A154-4792-9691-6C03E5882B56}"/>
            </a:ext>
          </a:extLst>
        </xdr:cNvPr>
        <xdr:cNvSpPr txBox="1">
          <a:spLocks noChangeArrowheads="1"/>
        </xdr:cNvSpPr>
      </xdr:nvSpPr>
      <xdr:spPr bwMode="auto">
        <a:xfrm>
          <a:off x="3981263" y="28013624"/>
          <a:ext cx="1312022" cy="1002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136</xdr:row>
      <xdr:rowOff>29846</xdr:rowOff>
    </xdr:from>
    <xdr:to>
      <xdr:col>5</xdr:col>
      <xdr:colOff>102160</xdr:colOff>
      <xdr:row>185</xdr:row>
      <xdr:rowOff>124540</xdr:rowOff>
    </xdr:to>
    <xdr:sp macro="" textlink="">
      <xdr:nvSpPr>
        <xdr:cNvPr id="461" name="Text Box 462" hidden="1">
          <a:extLst>
            <a:ext uri="{FF2B5EF4-FFF2-40B4-BE49-F238E27FC236}">
              <a16:creationId xmlns:a16="http://schemas.microsoft.com/office/drawing/2014/main" id="{7F22480D-C1BF-4704-AA7D-3DB436BE8456}"/>
            </a:ext>
          </a:extLst>
        </xdr:cNvPr>
        <xdr:cNvSpPr txBox="1">
          <a:spLocks noChangeArrowheads="1"/>
        </xdr:cNvSpPr>
      </xdr:nvSpPr>
      <xdr:spPr bwMode="auto">
        <a:xfrm>
          <a:off x="3981263" y="28195271"/>
          <a:ext cx="1312022" cy="89624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29847</xdr:rowOff>
    </xdr:from>
    <xdr:to>
      <xdr:col>5</xdr:col>
      <xdr:colOff>102160</xdr:colOff>
      <xdr:row>186</xdr:row>
      <xdr:rowOff>10240</xdr:rowOff>
    </xdr:to>
    <xdr:sp macro="" textlink="">
      <xdr:nvSpPr>
        <xdr:cNvPr id="462" name="Text Box 461" hidden="1">
          <a:extLst>
            <a:ext uri="{FF2B5EF4-FFF2-40B4-BE49-F238E27FC236}">
              <a16:creationId xmlns:a16="http://schemas.microsoft.com/office/drawing/2014/main" id="{9532D766-29DD-44E2-A6A3-A8DB2E588DE7}"/>
            </a:ext>
          </a:extLst>
        </xdr:cNvPr>
        <xdr:cNvSpPr txBox="1">
          <a:spLocks noChangeArrowheads="1"/>
        </xdr:cNvSpPr>
      </xdr:nvSpPr>
      <xdr:spPr bwMode="auto">
        <a:xfrm>
          <a:off x="3981263" y="28376247"/>
          <a:ext cx="1312022" cy="8848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29847</xdr:rowOff>
    </xdr:from>
    <xdr:to>
      <xdr:col>5</xdr:col>
      <xdr:colOff>102160</xdr:colOff>
      <xdr:row>187</xdr:row>
      <xdr:rowOff>60247</xdr:rowOff>
    </xdr:to>
    <xdr:sp macro="" textlink="">
      <xdr:nvSpPr>
        <xdr:cNvPr id="463" name="Text Box 460" hidden="1">
          <a:extLst>
            <a:ext uri="{FF2B5EF4-FFF2-40B4-BE49-F238E27FC236}">
              <a16:creationId xmlns:a16="http://schemas.microsoft.com/office/drawing/2014/main" id="{D7E2C1D7-6486-428F-9111-4F35929DD5C8}"/>
            </a:ext>
          </a:extLst>
        </xdr:cNvPr>
        <xdr:cNvSpPr txBox="1">
          <a:spLocks noChangeArrowheads="1"/>
        </xdr:cNvSpPr>
      </xdr:nvSpPr>
      <xdr:spPr bwMode="auto">
        <a:xfrm>
          <a:off x="3981263" y="28557222"/>
          <a:ext cx="1312022" cy="889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89</xdr:row>
      <xdr:rowOff>9068</xdr:rowOff>
    </xdr:from>
    <xdr:to>
      <xdr:col>5</xdr:col>
      <xdr:colOff>287804</xdr:colOff>
      <xdr:row>96</xdr:row>
      <xdr:rowOff>123255</xdr:rowOff>
    </xdr:to>
    <xdr:sp macro="" textlink="">
      <xdr:nvSpPr>
        <xdr:cNvPr id="464" name="Text Box 503" hidden="1">
          <a:extLst>
            <a:ext uri="{FF2B5EF4-FFF2-40B4-BE49-F238E27FC236}">
              <a16:creationId xmlns:a16="http://schemas.microsoft.com/office/drawing/2014/main" id="{D64728A2-7602-42B2-A9E7-7F8F090624EA}"/>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88794</xdr:rowOff>
    </xdr:from>
    <xdr:to>
      <xdr:col>5</xdr:col>
      <xdr:colOff>102160</xdr:colOff>
      <xdr:row>62</xdr:row>
      <xdr:rowOff>286751</xdr:rowOff>
    </xdr:to>
    <xdr:sp macro="" textlink="">
      <xdr:nvSpPr>
        <xdr:cNvPr id="465" name="Text Box 502" hidden="1">
          <a:extLst>
            <a:ext uri="{FF2B5EF4-FFF2-40B4-BE49-F238E27FC236}">
              <a16:creationId xmlns:a16="http://schemas.microsoft.com/office/drawing/2014/main" id="{E69185DB-296C-4454-AD55-254D511D2B28}"/>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88794</xdr:rowOff>
    </xdr:from>
    <xdr:to>
      <xdr:col>5</xdr:col>
      <xdr:colOff>102160</xdr:colOff>
      <xdr:row>62</xdr:row>
      <xdr:rowOff>286751</xdr:rowOff>
    </xdr:to>
    <xdr:sp macro="" textlink="">
      <xdr:nvSpPr>
        <xdr:cNvPr id="466" name="Text Box 501" hidden="1">
          <a:extLst>
            <a:ext uri="{FF2B5EF4-FFF2-40B4-BE49-F238E27FC236}">
              <a16:creationId xmlns:a16="http://schemas.microsoft.com/office/drawing/2014/main" id="{38F4C32C-A7BC-470D-B694-4AD7EE8DB985}"/>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105775</xdr:rowOff>
    </xdr:from>
    <xdr:to>
      <xdr:col>5</xdr:col>
      <xdr:colOff>102160</xdr:colOff>
      <xdr:row>58</xdr:row>
      <xdr:rowOff>279376</xdr:rowOff>
    </xdr:to>
    <xdr:sp macro="" textlink="">
      <xdr:nvSpPr>
        <xdr:cNvPr id="467" name="Text Box 500" hidden="1">
          <a:extLst>
            <a:ext uri="{FF2B5EF4-FFF2-40B4-BE49-F238E27FC236}">
              <a16:creationId xmlns:a16="http://schemas.microsoft.com/office/drawing/2014/main" id="{5DFAFF66-8C0D-4583-BC81-EE4E74C9814F}"/>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49384</xdr:rowOff>
    </xdr:from>
    <xdr:to>
      <xdr:col>5</xdr:col>
      <xdr:colOff>102160</xdr:colOff>
      <xdr:row>58</xdr:row>
      <xdr:rowOff>180820</xdr:rowOff>
    </xdr:to>
    <xdr:sp macro="" textlink="">
      <xdr:nvSpPr>
        <xdr:cNvPr id="468" name="Text Box 499" hidden="1">
          <a:extLst>
            <a:ext uri="{FF2B5EF4-FFF2-40B4-BE49-F238E27FC236}">
              <a16:creationId xmlns:a16="http://schemas.microsoft.com/office/drawing/2014/main" id="{F07EA5E0-7900-44D1-B3E9-B50CDC637848}"/>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279376</xdr:rowOff>
    </xdr:from>
    <xdr:to>
      <xdr:col>5</xdr:col>
      <xdr:colOff>102160</xdr:colOff>
      <xdr:row>60</xdr:row>
      <xdr:rowOff>76469</xdr:rowOff>
    </xdr:to>
    <xdr:sp macro="" textlink="">
      <xdr:nvSpPr>
        <xdr:cNvPr id="469" name="Text Box 498" hidden="1">
          <a:extLst>
            <a:ext uri="{FF2B5EF4-FFF2-40B4-BE49-F238E27FC236}">
              <a16:creationId xmlns:a16="http://schemas.microsoft.com/office/drawing/2014/main" id="{6F576309-F95E-40EA-BB71-B0F61C6CE7F1}"/>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102160</xdr:colOff>
      <xdr:row>72</xdr:row>
      <xdr:rowOff>6657</xdr:rowOff>
    </xdr:to>
    <xdr:sp macro="" textlink="">
      <xdr:nvSpPr>
        <xdr:cNvPr id="470" name="Text Box 497" hidden="1">
          <a:extLst>
            <a:ext uri="{FF2B5EF4-FFF2-40B4-BE49-F238E27FC236}">
              <a16:creationId xmlns:a16="http://schemas.microsoft.com/office/drawing/2014/main" id="{5929BB8C-02F8-48F7-9B11-2F854A5F5A76}"/>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9894</xdr:rowOff>
    </xdr:from>
    <xdr:to>
      <xdr:col>5</xdr:col>
      <xdr:colOff>102160</xdr:colOff>
      <xdr:row>74</xdr:row>
      <xdr:rowOff>104564</xdr:rowOff>
    </xdr:to>
    <xdr:sp macro="" textlink="">
      <xdr:nvSpPr>
        <xdr:cNvPr id="471" name="Text Box 496" hidden="1">
          <a:extLst>
            <a:ext uri="{FF2B5EF4-FFF2-40B4-BE49-F238E27FC236}">
              <a16:creationId xmlns:a16="http://schemas.microsoft.com/office/drawing/2014/main" id="{A78D72FB-EB5E-4F50-8DB2-C8AD2FEB0270}"/>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12346</xdr:rowOff>
    </xdr:from>
    <xdr:to>
      <xdr:col>5</xdr:col>
      <xdr:colOff>102160</xdr:colOff>
      <xdr:row>75</xdr:row>
      <xdr:rowOff>125709</xdr:rowOff>
    </xdr:to>
    <xdr:sp macro="" textlink="">
      <xdr:nvSpPr>
        <xdr:cNvPr id="472" name="Text Box 495" hidden="1">
          <a:extLst>
            <a:ext uri="{FF2B5EF4-FFF2-40B4-BE49-F238E27FC236}">
              <a16:creationId xmlns:a16="http://schemas.microsoft.com/office/drawing/2014/main" id="{4E434C2A-5A9B-4886-9924-4E493B1DB124}"/>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162328</xdr:rowOff>
    </xdr:from>
    <xdr:to>
      <xdr:col>5</xdr:col>
      <xdr:colOff>102160</xdr:colOff>
      <xdr:row>75</xdr:row>
      <xdr:rowOff>125709</xdr:rowOff>
    </xdr:to>
    <xdr:sp macro="" textlink="">
      <xdr:nvSpPr>
        <xdr:cNvPr id="473" name="Text Box 494" hidden="1">
          <a:extLst>
            <a:ext uri="{FF2B5EF4-FFF2-40B4-BE49-F238E27FC236}">
              <a16:creationId xmlns:a16="http://schemas.microsoft.com/office/drawing/2014/main" id="{6EA51D2F-8FFE-4C3D-B139-838B56D88DBB}"/>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161286</xdr:rowOff>
    </xdr:from>
    <xdr:to>
      <xdr:col>5</xdr:col>
      <xdr:colOff>102160</xdr:colOff>
      <xdr:row>93</xdr:row>
      <xdr:rowOff>10365</xdr:rowOff>
    </xdr:to>
    <xdr:sp macro="" textlink="">
      <xdr:nvSpPr>
        <xdr:cNvPr id="474" name="Text Box 493" hidden="1">
          <a:extLst>
            <a:ext uri="{FF2B5EF4-FFF2-40B4-BE49-F238E27FC236}">
              <a16:creationId xmlns:a16="http://schemas.microsoft.com/office/drawing/2014/main" id="{43F800EC-DD62-4203-AAE9-D4AD17B611B9}"/>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124729</xdr:rowOff>
    </xdr:from>
    <xdr:to>
      <xdr:col>5</xdr:col>
      <xdr:colOff>102160</xdr:colOff>
      <xdr:row>118</xdr:row>
      <xdr:rowOff>174449</xdr:rowOff>
    </xdr:to>
    <xdr:sp macro="" textlink="">
      <xdr:nvSpPr>
        <xdr:cNvPr id="475" name="Text Box 492" hidden="1">
          <a:extLst>
            <a:ext uri="{FF2B5EF4-FFF2-40B4-BE49-F238E27FC236}">
              <a16:creationId xmlns:a16="http://schemas.microsoft.com/office/drawing/2014/main" id="{070AEC8C-9DBD-4576-9270-96AA275251BC}"/>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124729</xdr:rowOff>
    </xdr:from>
    <xdr:to>
      <xdr:col>5</xdr:col>
      <xdr:colOff>102160</xdr:colOff>
      <xdr:row>118</xdr:row>
      <xdr:rowOff>174449</xdr:rowOff>
    </xdr:to>
    <xdr:sp macro="" textlink="">
      <xdr:nvSpPr>
        <xdr:cNvPr id="476" name="Text Box 491" hidden="1">
          <a:extLst>
            <a:ext uri="{FF2B5EF4-FFF2-40B4-BE49-F238E27FC236}">
              <a16:creationId xmlns:a16="http://schemas.microsoft.com/office/drawing/2014/main" id="{FF031346-B6B8-44FA-9C48-9FDACB81E315}"/>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477" name="Text Box 490" hidden="1">
          <a:extLst>
            <a:ext uri="{FF2B5EF4-FFF2-40B4-BE49-F238E27FC236}">
              <a16:creationId xmlns:a16="http://schemas.microsoft.com/office/drawing/2014/main" id="{CD525E59-4077-4D70-8036-66FFF8565B8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102160</xdr:colOff>
      <xdr:row>196</xdr:row>
      <xdr:rowOff>29752</xdr:rowOff>
    </xdr:to>
    <xdr:sp macro="" textlink="">
      <xdr:nvSpPr>
        <xdr:cNvPr id="478" name="Text Box 489" hidden="1">
          <a:extLst>
            <a:ext uri="{FF2B5EF4-FFF2-40B4-BE49-F238E27FC236}">
              <a16:creationId xmlns:a16="http://schemas.microsoft.com/office/drawing/2014/main" id="{5667BC2F-DEF7-43A3-B904-D1E2C52B5522}"/>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102160</xdr:colOff>
      <xdr:row>195</xdr:row>
      <xdr:rowOff>173852</xdr:rowOff>
    </xdr:to>
    <xdr:sp macro="" textlink="">
      <xdr:nvSpPr>
        <xdr:cNvPr id="479" name="Text Box 488" hidden="1">
          <a:extLst>
            <a:ext uri="{FF2B5EF4-FFF2-40B4-BE49-F238E27FC236}">
              <a16:creationId xmlns:a16="http://schemas.microsoft.com/office/drawing/2014/main" id="{A60ECFB1-9424-4AAF-9156-3DFE9FFD8231}"/>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83293</xdr:rowOff>
    </xdr:from>
    <xdr:to>
      <xdr:col>5</xdr:col>
      <xdr:colOff>102160</xdr:colOff>
      <xdr:row>199</xdr:row>
      <xdr:rowOff>1517</xdr:rowOff>
    </xdr:to>
    <xdr:sp macro="" textlink="">
      <xdr:nvSpPr>
        <xdr:cNvPr id="480" name="Text Box 487" hidden="1">
          <a:extLst>
            <a:ext uri="{FF2B5EF4-FFF2-40B4-BE49-F238E27FC236}">
              <a16:creationId xmlns:a16="http://schemas.microsoft.com/office/drawing/2014/main" id="{6EC093C0-7652-4423-85B9-E6F80FC97681}"/>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21523</xdr:rowOff>
    </xdr:from>
    <xdr:to>
      <xdr:col>5</xdr:col>
      <xdr:colOff>102160</xdr:colOff>
      <xdr:row>200</xdr:row>
      <xdr:rowOff>1517</xdr:rowOff>
    </xdr:to>
    <xdr:sp macro="" textlink="">
      <xdr:nvSpPr>
        <xdr:cNvPr id="481" name="Text Box 486" hidden="1">
          <a:extLst>
            <a:ext uri="{FF2B5EF4-FFF2-40B4-BE49-F238E27FC236}">
              <a16:creationId xmlns:a16="http://schemas.microsoft.com/office/drawing/2014/main" id="{53F480A6-8057-4647-921C-33CE246D5B1D}"/>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171654</xdr:rowOff>
    </xdr:from>
    <xdr:to>
      <xdr:col>5</xdr:col>
      <xdr:colOff>102160</xdr:colOff>
      <xdr:row>186</xdr:row>
      <xdr:rowOff>59160</xdr:rowOff>
    </xdr:to>
    <xdr:sp macro="" textlink="">
      <xdr:nvSpPr>
        <xdr:cNvPr id="482" name="Text Box 485" hidden="1">
          <a:extLst>
            <a:ext uri="{FF2B5EF4-FFF2-40B4-BE49-F238E27FC236}">
              <a16:creationId xmlns:a16="http://schemas.microsoft.com/office/drawing/2014/main" id="{535CA2D9-71BB-46F1-95CB-9272BF5F4362}"/>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29847</xdr:rowOff>
    </xdr:from>
    <xdr:to>
      <xdr:col>5</xdr:col>
      <xdr:colOff>102160</xdr:colOff>
      <xdr:row>186</xdr:row>
      <xdr:rowOff>96760</xdr:rowOff>
    </xdr:to>
    <xdr:sp macro="" textlink="">
      <xdr:nvSpPr>
        <xdr:cNvPr id="483" name="Text Box 484" hidden="1">
          <a:extLst>
            <a:ext uri="{FF2B5EF4-FFF2-40B4-BE49-F238E27FC236}">
              <a16:creationId xmlns:a16="http://schemas.microsoft.com/office/drawing/2014/main" id="{4AD43AE6-7A03-4209-B0D3-02AACCB1F0FB}"/>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29847</xdr:rowOff>
    </xdr:from>
    <xdr:to>
      <xdr:col>5</xdr:col>
      <xdr:colOff>102160</xdr:colOff>
      <xdr:row>186</xdr:row>
      <xdr:rowOff>162874</xdr:rowOff>
    </xdr:to>
    <xdr:sp macro="" textlink="">
      <xdr:nvSpPr>
        <xdr:cNvPr id="484" name="Text Box 483" hidden="1">
          <a:extLst>
            <a:ext uri="{FF2B5EF4-FFF2-40B4-BE49-F238E27FC236}">
              <a16:creationId xmlns:a16="http://schemas.microsoft.com/office/drawing/2014/main" id="{AF7D52F5-3BBA-4736-B986-3407881CC5FC}"/>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139</xdr:row>
      <xdr:rowOff>2034</xdr:rowOff>
    </xdr:from>
    <xdr:to>
      <xdr:col>5</xdr:col>
      <xdr:colOff>102160</xdr:colOff>
      <xdr:row>188</xdr:row>
      <xdr:rowOff>30637</xdr:rowOff>
    </xdr:to>
    <xdr:sp macro="" textlink="">
      <xdr:nvSpPr>
        <xdr:cNvPr id="485" name="Text Box 482" hidden="1">
          <a:extLst>
            <a:ext uri="{FF2B5EF4-FFF2-40B4-BE49-F238E27FC236}">
              <a16:creationId xmlns:a16="http://schemas.microsoft.com/office/drawing/2014/main" id="{B9A8C46D-C416-4B71-99B4-CB9C2A5CC686}"/>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89</xdr:row>
      <xdr:rowOff>9068</xdr:rowOff>
    </xdr:from>
    <xdr:to>
      <xdr:col>5</xdr:col>
      <xdr:colOff>287804</xdr:colOff>
      <xdr:row>96</xdr:row>
      <xdr:rowOff>123255</xdr:rowOff>
    </xdr:to>
    <xdr:sp macro="" textlink="">
      <xdr:nvSpPr>
        <xdr:cNvPr id="486" name="Text Box 525" hidden="1">
          <a:extLst>
            <a:ext uri="{FF2B5EF4-FFF2-40B4-BE49-F238E27FC236}">
              <a16:creationId xmlns:a16="http://schemas.microsoft.com/office/drawing/2014/main" id="{7895E023-F1C7-4230-85F4-CB203AD7D837}"/>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88794</xdr:rowOff>
    </xdr:from>
    <xdr:to>
      <xdr:col>5</xdr:col>
      <xdr:colOff>102160</xdr:colOff>
      <xdr:row>62</xdr:row>
      <xdr:rowOff>286751</xdr:rowOff>
    </xdr:to>
    <xdr:sp macro="" textlink="">
      <xdr:nvSpPr>
        <xdr:cNvPr id="487" name="Text Box 524" hidden="1">
          <a:extLst>
            <a:ext uri="{FF2B5EF4-FFF2-40B4-BE49-F238E27FC236}">
              <a16:creationId xmlns:a16="http://schemas.microsoft.com/office/drawing/2014/main" id="{2469E7B4-F8C8-4DAA-924A-E1EF1831817C}"/>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88794</xdr:rowOff>
    </xdr:from>
    <xdr:to>
      <xdr:col>5</xdr:col>
      <xdr:colOff>102160</xdr:colOff>
      <xdr:row>62</xdr:row>
      <xdr:rowOff>286751</xdr:rowOff>
    </xdr:to>
    <xdr:sp macro="" textlink="">
      <xdr:nvSpPr>
        <xdr:cNvPr id="488" name="Text Box 523" hidden="1">
          <a:extLst>
            <a:ext uri="{FF2B5EF4-FFF2-40B4-BE49-F238E27FC236}">
              <a16:creationId xmlns:a16="http://schemas.microsoft.com/office/drawing/2014/main" id="{94168941-A07F-438A-921E-15C0772B6204}"/>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105775</xdr:rowOff>
    </xdr:from>
    <xdr:to>
      <xdr:col>5</xdr:col>
      <xdr:colOff>102160</xdr:colOff>
      <xdr:row>58</xdr:row>
      <xdr:rowOff>279376</xdr:rowOff>
    </xdr:to>
    <xdr:sp macro="" textlink="">
      <xdr:nvSpPr>
        <xdr:cNvPr id="489" name="Text Box 522" hidden="1">
          <a:extLst>
            <a:ext uri="{FF2B5EF4-FFF2-40B4-BE49-F238E27FC236}">
              <a16:creationId xmlns:a16="http://schemas.microsoft.com/office/drawing/2014/main" id="{B7F19B8E-3CA1-494C-8836-3C9C251A563C}"/>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49384</xdr:rowOff>
    </xdr:from>
    <xdr:to>
      <xdr:col>5</xdr:col>
      <xdr:colOff>102160</xdr:colOff>
      <xdr:row>58</xdr:row>
      <xdr:rowOff>180820</xdr:rowOff>
    </xdr:to>
    <xdr:sp macro="" textlink="">
      <xdr:nvSpPr>
        <xdr:cNvPr id="490" name="Text Box 521" hidden="1">
          <a:extLst>
            <a:ext uri="{FF2B5EF4-FFF2-40B4-BE49-F238E27FC236}">
              <a16:creationId xmlns:a16="http://schemas.microsoft.com/office/drawing/2014/main" id="{F6728EC3-0982-4629-9445-2D32049F6417}"/>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279376</xdr:rowOff>
    </xdr:from>
    <xdr:to>
      <xdr:col>5</xdr:col>
      <xdr:colOff>102160</xdr:colOff>
      <xdr:row>60</xdr:row>
      <xdr:rowOff>76469</xdr:rowOff>
    </xdr:to>
    <xdr:sp macro="" textlink="">
      <xdr:nvSpPr>
        <xdr:cNvPr id="491" name="Text Box 520" hidden="1">
          <a:extLst>
            <a:ext uri="{FF2B5EF4-FFF2-40B4-BE49-F238E27FC236}">
              <a16:creationId xmlns:a16="http://schemas.microsoft.com/office/drawing/2014/main" id="{8C13DB30-EEE0-4B6E-B9FF-82B5078091CD}"/>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63787</xdr:rowOff>
    </xdr:from>
    <xdr:to>
      <xdr:col>5</xdr:col>
      <xdr:colOff>102160</xdr:colOff>
      <xdr:row>72</xdr:row>
      <xdr:rowOff>6657</xdr:rowOff>
    </xdr:to>
    <xdr:sp macro="" textlink="">
      <xdr:nvSpPr>
        <xdr:cNvPr id="492" name="Text Box 519" hidden="1">
          <a:extLst>
            <a:ext uri="{FF2B5EF4-FFF2-40B4-BE49-F238E27FC236}">
              <a16:creationId xmlns:a16="http://schemas.microsoft.com/office/drawing/2014/main" id="{2843EA38-A0F6-4429-BEA8-31CEE18988A7}"/>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9894</xdr:rowOff>
    </xdr:from>
    <xdr:to>
      <xdr:col>5</xdr:col>
      <xdr:colOff>102160</xdr:colOff>
      <xdr:row>74</xdr:row>
      <xdr:rowOff>104564</xdr:rowOff>
    </xdr:to>
    <xdr:sp macro="" textlink="">
      <xdr:nvSpPr>
        <xdr:cNvPr id="493" name="Text Box 518" hidden="1">
          <a:extLst>
            <a:ext uri="{FF2B5EF4-FFF2-40B4-BE49-F238E27FC236}">
              <a16:creationId xmlns:a16="http://schemas.microsoft.com/office/drawing/2014/main" id="{B5FD1C25-77B5-412F-969D-65D5B2C6A7FC}"/>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12346</xdr:rowOff>
    </xdr:from>
    <xdr:to>
      <xdr:col>5</xdr:col>
      <xdr:colOff>102160</xdr:colOff>
      <xdr:row>75</xdr:row>
      <xdr:rowOff>125709</xdr:rowOff>
    </xdr:to>
    <xdr:sp macro="" textlink="">
      <xdr:nvSpPr>
        <xdr:cNvPr id="494" name="Text Box 517" hidden="1">
          <a:extLst>
            <a:ext uri="{FF2B5EF4-FFF2-40B4-BE49-F238E27FC236}">
              <a16:creationId xmlns:a16="http://schemas.microsoft.com/office/drawing/2014/main" id="{EEC7EB16-A18A-42EF-A342-A20C19461BDF}"/>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162328</xdr:rowOff>
    </xdr:from>
    <xdr:to>
      <xdr:col>5</xdr:col>
      <xdr:colOff>102160</xdr:colOff>
      <xdr:row>75</xdr:row>
      <xdr:rowOff>125709</xdr:rowOff>
    </xdr:to>
    <xdr:sp macro="" textlink="">
      <xdr:nvSpPr>
        <xdr:cNvPr id="495" name="Text Box 516" hidden="1">
          <a:extLst>
            <a:ext uri="{FF2B5EF4-FFF2-40B4-BE49-F238E27FC236}">
              <a16:creationId xmlns:a16="http://schemas.microsoft.com/office/drawing/2014/main" id="{046336FD-2137-4594-A520-CF489649BC8E}"/>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161286</xdr:rowOff>
    </xdr:from>
    <xdr:to>
      <xdr:col>5</xdr:col>
      <xdr:colOff>102160</xdr:colOff>
      <xdr:row>93</xdr:row>
      <xdr:rowOff>10365</xdr:rowOff>
    </xdr:to>
    <xdr:sp macro="" textlink="">
      <xdr:nvSpPr>
        <xdr:cNvPr id="496" name="Text Box 515" hidden="1">
          <a:extLst>
            <a:ext uri="{FF2B5EF4-FFF2-40B4-BE49-F238E27FC236}">
              <a16:creationId xmlns:a16="http://schemas.microsoft.com/office/drawing/2014/main" id="{B3D0C0D7-18CC-4881-A03D-2C47106251EF}"/>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124729</xdr:rowOff>
    </xdr:from>
    <xdr:to>
      <xdr:col>5</xdr:col>
      <xdr:colOff>102160</xdr:colOff>
      <xdr:row>118</xdr:row>
      <xdr:rowOff>174449</xdr:rowOff>
    </xdr:to>
    <xdr:sp macro="" textlink="">
      <xdr:nvSpPr>
        <xdr:cNvPr id="497" name="Text Box 514" hidden="1">
          <a:extLst>
            <a:ext uri="{FF2B5EF4-FFF2-40B4-BE49-F238E27FC236}">
              <a16:creationId xmlns:a16="http://schemas.microsoft.com/office/drawing/2014/main" id="{758C7BEE-E798-4C25-95BA-2BFE70ABD9DB}"/>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124729</xdr:rowOff>
    </xdr:from>
    <xdr:to>
      <xdr:col>5</xdr:col>
      <xdr:colOff>102160</xdr:colOff>
      <xdr:row>118</xdr:row>
      <xdr:rowOff>174449</xdr:rowOff>
    </xdr:to>
    <xdr:sp macro="" textlink="">
      <xdr:nvSpPr>
        <xdr:cNvPr id="498" name="Text Box 513" hidden="1">
          <a:extLst>
            <a:ext uri="{FF2B5EF4-FFF2-40B4-BE49-F238E27FC236}">
              <a16:creationId xmlns:a16="http://schemas.microsoft.com/office/drawing/2014/main" id="{85E93178-816B-41FB-8DCF-4A746C770A77}"/>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499" name="Text Box 512" hidden="1">
          <a:extLst>
            <a:ext uri="{FF2B5EF4-FFF2-40B4-BE49-F238E27FC236}">
              <a16:creationId xmlns:a16="http://schemas.microsoft.com/office/drawing/2014/main" id="{8023BD1C-1EB7-45C8-96BE-366657A8CDD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102160</xdr:colOff>
      <xdr:row>196</xdr:row>
      <xdr:rowOff>29752</xdr:rowOff>
    </xdr:to>
    <xdr:sp macro="" textlink="">
      <xdr:nvSpPr>
        <xdr:cNvPr id="500" name="Text Box 511" hidden="1">
          <a:extLst>
            <a:ext uri="{FF2B5EF4-FFF2-40B4-BE49-F238E27FC236}">
              <a16:creationId xmlns:a16="http://schemas.microsoft.com/office/drawing/2014/main" id="{61936751-D785-4C2A-99B1-675DA29B1FD6}"/>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102160</xdr:colOff>
      <xdr:row>195</xdr:row>
      <xdr:rowOff>173852</xdr:rowOff>
    </xdr:to>
    <xdr:sp macro="" textlink="">
      <xdr:nvSpPr>
        <xdr:cNvPr id="501" name="Text Box 510" hidden="1">
          <a:extLst>
            <a:ext uri="{FF2B5EF4-FFF2-40B4-BE49-F238E27FC236}">
              <a16:creationId xmlns:a16="http://schemas.microsoft.com/office/drawing/2014/main" id="{B49944B9-67CD-49A2-B003-301CE73679C7}"/>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83293</xdr:rowOff>
    </xdr:from>
    <xdr:to>
      <xdr:col>5</xdr:col>
      <xdr:colOff>102160</xdr:colOff>
      <xdr:row>199</xdr:row>
      <xdr:rowOff>1517</xdr:rowOff>
    </xdr:to>
    <xdr:sp macro="" textlink="">
      <xdr:nvSpPr>
        <xdr:cNvPr id="502" name="Text Box 509" hidden="1">
          <a:extLst>
            <a:ext uri="{FF2B5EF4-FFF2-40B4-BE49-F238E27FC236}">
              <a16:creationId xmlns:a16="http://schemas.microsoft.com/office/drawing/2014/main" id="{7B2A85BB-A504-4F20-9309-74F8168AF2B3}"/>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21523</xdr:rowOff>
    </xdr:from>
    <xdr:to>
      <xdr:col>5</xdr:col>
      <xdr:colOff>102160</xdr:colOff>
      <xdr:row>200</xdr:row>
      <xdr:rowOff>1517</xdr:rowOff>
    </xdr:to>
    <xdr:sp macro="" textlink="">
      <xdr:nvSpPr>
        <xdr:cNvPr id="503" name="Text Box 508" hidden="1">
          <a:extLst>
            <a:ext uri="{FF2B5EF4-FFF2-40B4-BE49-F238E27FC236}">
              <a16:creationId xmlns:a16="http://schemas.microsoft.com/office/drawing/2014/main" id="{DC3F3508-B3F9-42E1-9008-064CE23A52A7}"/>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171654</xdr:rowOff>
    </xdr:from>
    <xdr:to>
      <xdr:col>5</xdr:col>
      <xdr:colOff>102160</xdr:colOff>
      <xdr:row>186</xdr:row>
      <xdr:rowOff>59160</xdr:rowOff>
    </xdr:to>
    <xdr:sp macro="" textlink="">
      <xdr:nvSpPr>
        <xdr:cNvPr id="504" name="Text Box 507" hidden="1">
          <a:extLst>
            <a:ext uri="{FF2B5EF4-FFF2-40B4-BE49-F238E27FC236}">
              <a16:creationId xmlns:a16="http://schemas.microsoft.com/office/drawing/2014/main" id="{C4CEC630-B77C-44F1-839F-8FFF5A55A165}"/>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29847</xdr:rowOff>
    </xdr:from>
    <xdr:to>
      <xdr:col>5</xdr:col>
      <xdr:colOff>102160</xdr:colOff>
      <xdr:row>186</xdr:row>
      <xdr:rowOff>96760</xdr:rowOff>
    </xdr:to>
    <xdr:sp macro="" textlink="">
      <xdr:nvSpPr>
        <xdr:cNvPr id="505" name="Text Box 506" hidden="1">
          <a:extLst>
            <a:ext uri="{FF2B5EF4-FFF2-40B4-BE49-F238E27FC236}">
              <a16:creationId xmlns:a16="http://schemas.microsoft.com/office/drawing/2014/main" id="{FE6D9A29-AE71-476C-B43D-0C9AEE28E435}"/>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29847</xdr:rowOff>
    </xdr:from>
    <xdr:to>
      <xdr:col>5</xdr:col>
      <xdr:colOff>102160</xdr:colOff>
      <xdr:row>186</xdr:row>
      <xdr:rowOff>162874</xdr:rowOff>
    </xdr:to>
    <xdr:sp macro="" textlink="">
      <xdr:nvSpPr>
        <xdr:cNvPr id="506" name="Text Box 505" hidden="1">
          <a:extLst>
            <a:ext uri="{FF2B5EF4-FFF2-40B4-BE49-F238E27FC236}">
              <a16:creationId xmlns:a16="http://schemas.microsoft.com/office/drawing/2014/main" id="{ADE3BEDA-79FD-4324-A5EA-DEE9C4F8D790}"/>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139</xdr:row>
      <xdr:rowOff>2034</xdr:rowOff>
    </xdr:from>
    <xdr:to>
      <xdr:col>5</xdr:col>
      <xdr:colOff>102160</xdr:colOff>
      <xdr:row>188</xdr:row>
      <xdr:rowOff>30637</xdr:rowOff>
    </xdr:to>
    <xdr:sp macro="" textlink="">
      <xdr:nvSpPr>
        <xdr:cNvPr id="507" name="Text Box 504" hidden="1">
          <a:extLst>
            <a:ext uri="{FF2B5EF4-FFF2-40B4-BE49-F238E27FC236}">
              <a16:creationId xmlns:a16="http://schemas.microsoft.com/office/drawing/2014/main" id="{22D56514-6A04-45F5-B0D3-2CB0BF2377E8}"/>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508" name="Text Box 534" hidden="1">
          <a:extLst>
            <a:ext uri="{FF2B5EF4-FFF2-40B4-BE49-F238E27FC236}">
              <a16:creationId xmlns:a16="http://schemas.microsoft.com/office/drawing/2014/main" id="{A8777793-C97C-467A-90E5-EA6D05B51DA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102726</xdr:rowOff>
    </xdr:from>
    <xdr:to>
      <xdr:col>5</xdr:col>
      <xdr:colOff>102160</xdr:colOff>
      <xdr:row>237</xdr:row>
      <xdr:rowOff>125745</xdr:rowOff>
    </xdr:to>
    <xdr:sp macro="" textlink="">
      <xdr:nvSpPr>
        <xdr:cNvPr id="509" name="Text Box 533" hidden="1">
          <a:extLst>
            <a:ext uri="{FF2B5EF4-FFF2-40B4-BE49-F238E27FC236}">
              <a16:creationId xmlns:a16="http://schemas.microsoft.com/office/drawing/2014/main" id="{324A8645-D530-47FA-AD46-F2C97648ACB2}"/>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102160</xdr:colOff>
      <xdr:row>237</xdr:row>
      <xdr:rowOff>29725</xdr:rowOff>
    </xdr:to>
    <xdr:sp macro="" textlink="">
      <xdr:nvSpPr>
        <xdr:cNvPr id="510" name="Text Box 532" hidden="1">
          <a:extLst>
            <a:ext uri="{FF2B5EF4-FFF2-40B4-BE49-F238E27FC236}">
              <a16:creationId xmlns:a16="http://schemas.microsoft.com/office/drawing/2014/main" id="{768E8EBD-01A6-4E38-A740-6871096809AE}"/>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102160</xdr:colOff>
      <xdr:row>238</xdr:row>
      <xdr:rowOff>125744</xdr:rowOff>
    </xdr:to>
    <xdr:sp macro="" textlink="">
      <xdr:nvSpPr>
        <xdr:cNvPr id="511" name="Text Box 531" hidden="1">
          <a:extLst>
            <a:ext uri="{FF2B5EF4-FFF2-40B4-BE49-F238E27FC236}">
              <a16:creationId xmlns:a16="http://schemas.microsoft.com/office/drawing/2014/main" id="{0FEBD091-5FC7-440A-ADE7-B36B8F67A89F}"/>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102160</xdr:colOff>
      <xdr:row>226</xdr:row>
      <xdr:rowOff>20728</xdr:rowOff>
    </xdr:to>
    <xdr:sp macro="" textlink="">
      <xdr:nvSpPr>
        <xdr:cNvPr id="512" name="Text Box 530" hidden="1">
          <a:extLst>
            <a:ext uri="{FF2B5EF4-FFF2-40B4-BE49-F238E27FC236}">
              <a16:creationId xmlns:a16="http://schemas.microsoft.com/office/drawing/2014/main" id="{861A231C-7483-405D-8063-C6C02283760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102160</xdr:colOff>
      <xdr:row>203</xdr:row>
      <xdr:rowOff>29725</xdr:rowOff>
    </xdr:to>
    <xdr:sp macro="" textlink="">
      <xdr:nvSpPr>
        <xdr:cNvPr id="513" name="Text Box 529" hidden="1">
          <a:extLst>
            <a:ext uri="{FF2B5EF4-FFF2-40B4-BE49-F238E27FC236}">
              <a16:creationId xmlns:a16="http://schemas.microsoft.com/office/drawing/2014/main" id="{344572D7-F92D-49E8-9F33-4681F98D7310}"/>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88608</xdr:rowOff>
    </xdr:from>
    <xdr:to>
      <xdr:col>5</xdr:col>
      <xdr:colOff>102160</xdr:colOff>
      <xdr:row>204</xdr:row>
      <xdr:rowOff>60106</xdr:rowOff>
    </xdr:to>
    <xdr:sp macro="" textlink="">
      <xdr:nvSpPr>
        <xdr:cNvPr id="514" name="Text Box 528" hidden="1">
          <a:extLst>
            <a:ext uri="{FF2B5EF4-FFF2-40B4-BE49-F238E27FC236}">
              <a16:creationId xmlns:a16="http://schemas.microsoft.com/office/drawing/2014/main" id="{9DB2FB11-9331-487A-9A80-6405FEA1354A}"/>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63835</xdr:rowOff>
    </xdr:from>
    <xdr:to>
      <xdr:col>5</xdr:col>
      <xdr:colOff>102160</xdr:colOff>
      <xdr:row>205</xdr:row>
      <xdr:rowOff>125744</xdr:rowOff>
    </xdr:to>
    <xdr:sp macro="" textlink="">
      <xdr:nvSpPr>
        <xdr:cNvPr id="515" name="Text Box 527" hidden="1">
          <a:extLst>
            <a:ext uri="{FF2B5EF4-FFF2-40B4-BE49-F238E27FC236}">
              <a16:creationId xmlns:a16="http://schemas.microsoft.com/office/drawing/2014/main" id="{5A41235A-B7C9-4803-9E7F-7F0032D515DE}"/>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102160</xdr:colOff>
      <xdr:row>212</xdr:row>
      <xdr:rowOff>77039</xdr:rowOff>
    </xdr:to>
    <xdr:sp macro="" textlink="">
      <xdr:nvSpPr>
        <xdr:cNvPr id="516" name="Text Box 526" hidden="1">
          <a:extLst>
            <a:ext uri="{FF2B5EF4-FFF2-40B4-BE49-F238E27FC236}">
              <a16:creationId xmlns:a16="http://schemas.microsoft.com/office/drawing/2014/main" id="{C9F92394-68E6-411B-8875-3680B838BFDD}"/>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517" name="Text Box 553" hidden="1">
          <a:extLst>
            <a:ext uri="{FF2B5EF4-FFF2-40B4-BE49-F238E27FC236}">
              <a16:creationId xmlns:a16="http://schemas.microsoft.com/office/drawing/2014/main" id="{DDDDDC53-3F81-42F6-967C-C0C1CD564249}"/>
            </a:ext>
          </a:extLst>
        </xdr:cNvPr>
        <xdr:cNvSpPr txBox="1">
          <a:spLocks noChangeArrowheads="1"/>
        </xdr:cNvSpPr>
      </xdr:nvSpPr>
      <xdr:spPr bwMode="auto">
        <a:xfrm>
          <a:off x="3981263" y="3679452"/>
          <a:ext cx="1312022" cy="77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493826</xdr:rowOff>
    </xdr:from>
    <xdr:to>
      <xdr:col>5</xdr:col>
      <xdr:colOff>121210</xdr:colOff>
      <xdr:row>59</xdr:row>
      <xdr:rowOff>293768</xdr:rowOff>
    </xdr:to>
    <xdr:sp macro="" textlink="">
      <xdr:nvSpPr>
        <xdr:cNvPr id="518" name="Text Box 570" hidden="1">
          <a:extLst>
            <a:ext uri="{FF2B5EF4-FFF2-40B4-BE49-F238E27FC236}">
              <a16:creationId xmlns:a16="http://schemas.microsoft.com/office/drawing/2014/main" id="{75B4A65A-3238-434D-B88B-74FA583D6E20}"/>
            </a:ext>
          </a:extLst>
        </xdr:cNvPr>
        <xdr:cNvSpPr txBox="1">
          <a:spLocks noChangeArrowheads="1"/>
        </xdr:cNvSpPr>
      </xdr:nvSpPr>
      <xdr:spPr bwMode="auto">
        <a:xfrm>
          <a:off x="4000313" y="12060351"/>
          <a:ext cx="1312022" cy="7143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133684</xdr:rowOff>
    </xdr:from>
    <xdr:to>
      <xdr:col>5</xdr:col>
      <xdr:colOff>121210</xdr:colOff>
      <xdr:row>58</xdr:row>
      <xdr:rowOff>369768</xdr:rowOff>
    </xdr:to>
    <xdr:sp macro="" textlink="">
      <xdr:nvSpPr>
        <xdr:cNvPr id="519" name="Text Box 571" hidden="1">
          <a:extLst>
            <a:ext uri="{FF2B5EF4-FFF2-40B4-BE49-F238E27FC236}">
              <a16:creationId xmlns:a16="http://schemas.microsoft.com/office/drawing/2014/main" id="{4E216251-61C1-4621-AED1-21E989AE936F}"/>
            </a:ext>
          </a:extLst>
        </xdr:cNvPr>
        <xdr:cNvSpPr txBox="1">
          <a:spLocks noChangeArrowheads="1"/>
        </xdr:cNvSpPr>
      </xdr:nvSpPr>
      <xdr:spPr bwMode="auto">
        <a:xfrm>
          <a:off x="4000313" y="11697034"/>
          <a:ext cx="1312022" cy="7631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1655</xdr:rowOff>
    </xdr:from>
    <xdr:to>
      <xdr:col>5</xdr:col>
      <xdr:colOff>121210</xdr:colOff>
      <xdr:row>60</xdr:row>
      <xdr:rowOff>312224</xdr:rowOff>
    </xdr:to>
    <xdr:sp macro="" textlink="">
      <xdr:nvSpPr>
        <xdr:cNvPr id="520" name="Text Box 573" hidden="1">
          <a:extLst>
            <a:ext uri="{FF2B5EF4-FFF2-40B4-BE49-F238E27FC236}">
              <a16:creationId xmlns:a16="http://schemas.microsoft.com/office/drawing/2014/main" id="{5514C732-7497-4DCF-97DD-56D8B6F85677}"/>
            </a:ext>
          </a:extLst>
        </xdr:cNvPr>
        <xdr:cNvSpPr txBox="1">
          <a:spLocks noChangeArrowheads="1"/>
        </xdr:cNvSpPr>
      </xdr:nvSpPr>
      <xdr:spPr bwMode="auto">
        <a:xfrm>
          <a:off x="4000313" y="12479405"/>
          <a:ext cx="1312022" cy="701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163596</xdr:rowOff>
    </xdr:from>
    <xdr:to>
      <xdr:col>5</xdr:col>
      <xdr:colOff>121210</xdr:colOff>
      <xdr:row>60</xdr:row>
      <xdr:rowOff>130205</xdr:rowOff>
    </xdr:to>
    <xdr:sp macro="" textlink="">
      <xdr:nvSpPr>
        <xdr:cNvPr id="521" name="Text Box 574" hidden="1">
          <a:extLst>
            <a:ext uri="{FF2B5EF4-FFF2-40B4-BE49-F238E27FC236}">
              <a16:creationId xmlns:a16="http://schemas.microsoft.com/office/drawing/2014/main" id="{70C923AE-D1D6-40AA-971F-822896A6A93D}"/>
            </a:ext>
          </a:extLst>
        </xdr:cNvPr>
        <xdr:cNvSpPr txBox="1">
          <a:spLocks noChangeArrowheads="1"/>
        </xdr:cNvSpPr>
      </xdr:nvSpPr>
      <xdr:spPr bwMode="auto">
        <a:xfrm>
          <a:off x="4000313" y="12250821"/>
          <a:ext cx="1312022" cy="750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150896</xdr:rowOff>
    </xdr:from>
    <xdr:to>
      <xdr:col>5</xdr:col>
      <xdr:colOff>121210</xdr:colOff>
      <xdr:row>62</xdr:row>
      <xdr:rowOff>60243</xdr:rowOff>
    </xdr:to>
    <xdr:sp macro="" textlink="">
      <xdr:nvSpPr>
        <xdr:cNvPr id="522" name="Text Box 580" hidden="1">
          <a:extLst>
            <a:ext uri="{FF2B5EF4-FFF2-40B4-BE49-F238E27FC236}">
              <a16:creationId xmlns:a16="http://schemas.microsoft.com/office/drawing/2014/main" id="{1FF99845-E14A-4227-88B2-B7A5E5D4947B}"/>
            </a:ext>
          </a:extLst>
        </xdr:cNvPr>
        <xdr:cNvSpPr txBox="1">
          <a:spLocks noChangeArrowheads="1"/>
        </xdr:cNvSpPr>
      </xdr:nvSpPr>
      <xdr:spPr bwMode="auto">
        <a:xfrm>
          <a:off x="4000313" y="13019171"/>
          <a:ext cx="1312022" cy="6903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344594</xdr:rowOff>
    </xdr:from>
    <xdr:to>
      <xdr:col>5</xdr:col>
      <xdr:colOff>121210</xdr:colOff>
      <xdr:row>61</xdr:row>
      <xdr:rowOff>288909</xdr:rowOff>
    </xdr:to>
    <xdr:sp macro="" textlink="">
      <xdr:nvSpPr>
        <xdr:cNvPr id="523" name="Text Box 581" hidden="1">
          <a:extLst>
            <a:ext uri="{FF2B5EF4-FFF2-40B4-BE49-F238E27FC236}">
              <a16:creationId xmlns:a16="http://schemas.microsoft.com/office/drawing/2014/main" id="{0B148939-DA98-41D4-87CF-A9D46A9A1F0B}"/>
            </a:ext>
          </a:extLst>
        </xdr:cNvPr>
        <xdr:cNvSpPr txBox="1">
          <a:spLocks noChangeArrowheads="1"/>
        </xdr:cNvSpPr>
      </xdr:nvSpPr>
      <xdr:spPr bwMode="auto">
        <a:xfrm>
          <a:off x="4000313" y="12819169"/>
          <a:ext cx="1312022" cy="7285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131397</xdr:rowOff>
    </xdr:from>
    <xdr:to>
      <xdr:col>5</xdr:col>
      <xdr:colOff>121210</xdr:colOff>
      <xdr:row>63</xdr:row>
      <xdr:rowOff>2284</xdr:rowOff>
    </xdr:to>
    <xdr:sp macro="" textlink="">
      <xdr:nvSpPr>
        <xdr:cNvPr id="524" name="Text Box 584" hidden="1">
          <a:extLst>
            <a:ext uri="{FF2B5EF4-FFF2-40B4-BE49-F238E27FC236}">
              <a16:creationId xmlns:a16="http://schemas.microsoft.com/office/drawing/2014/main" id="{AF730437-9421-4D45-939D-0FA89654381A}"/>
            </a:ext>
          </a:extLst>
        </xdr:cNvPr>
        <xdr:cNvSpPr txBox="1">
          <a:spLocks noChangeArrowheads="1"/>
        </xdr:cNvSpPr>
      </xdr:nvSpPr>
      <xdr:spPr bwMode="auto">
        <a:xfrm>
          <a:off x="4000313" y="13390197"/>
          <a:ext cx="1312022" cy="6519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332628</xdr:rowOff>
    </xdr:from>
    <xdr:to>
      <xdr:col>5</xdr:col>
      <xdr:colOff>121210</xdr:colOff>
      <xdr:row>62</xdr:row>
      <xdr:rowOff>197883</xdr:rowOff>
    </xdr:to>
    <xdr:sp macro="" textlink="">
      <xdr:nvSpPr>
        <xdr:cNvPr id="525" name="Text Box 585" hidden="1">
          <a:extLst>
            <a:ext uri="{FF2B5EF4-FFF2-40B4-BE49-F238E27FC236}">
              <a16:creationId xmlns:a16="http://schemas.microsoft.com/office/drawing/2014/main" id="{833B2F33-9D88-47A2-A5AB-42F3FE97A39A}"/>
            </a:ext>
          </a:extLst>
        </xdr:cNvPr>
        <xdr:cNvSpPr txBox="1">
          <a:spLocks noChangeArrowheads="1"/>
        </xdr:cNvSpPr>
      </xdr:nvSpPr>
      <xdr:spPr bwMode="auto">
        <a:xfrm>
          <a:off x="4000313" y="13204078"/>
          <a:ext cx="1312022" cy="6463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96862</xdr:rowOff>
    </xdr:from>
    <xdr:to>
      <xdr:col>5</xdr:col>
      <xdr:colOff>121210</xdr:colOff>
      <xdr:row>65</xdr:row>
      <xdr:rowOff>2802</xdr:rowOff>
    </xdr:to>
    <xdr:sp macro="" textlink="">
      <xdr:nvSpPr>
        <xdr:cNvPr id="526" name="Text Box 587" hidden="1">
          <a:extLst>
            <a:ext uri="{FF2B5EF4-FFF2-40B4-BE49-F238E27FC236}">
              <a16:creationId xmlns:a16="http://schemas.microsoft.com/office/drawing/2014/main" id="{3D1627FE-A991-4B63-9F43-BAEA5B4FAA2F}"/>
            </a:ext>
          </a:extLst>
        </xdr:cNvPr>
        <xdr:cNvSpPr txBox="1">
          <a:spLocks noChangeArrowheads="1"/>
        </xdr:cNvSpPr>
      </xdr:nvSpPr>
      <xdr:spPr bwMode="auto">
        <a:xfrm>
          <a:off x="4000313" y="13743012"/>
          <a:ext cx="1312022" cy="690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345033</xdr:rowOff>
    </xdr:from>
    <xdr:to>
      <xdr:col>5</xdr:col>
      <xdr:colOff>121210</xdr:colOff>
      <xdr:row>63</xdr:row>
      <xdr:rowOff>207894</xdr:rowOff>
    </xdr:to>
    <xdr:sp macro="" textlink="">
      <xdr:nvSpPr>
        <xdr:cNvPr id="527" name="Text Box 588" hidden="1">
          <a:extLst>
            <a:ext uri="{FF2B5EF4-FFF2-40B4-BE49-F238E27FC236}">
              <a16:creationId xmlns:a16="http://schemas.microsoft.com/office/drawing/2014/main" id="{243E7455-6FC2-4FFC-B2AD-6A3193064FB8}"/>
            </a:ext>
          </a:extLst>
        </xdr:cNvPr>
        <xdr:cNvSpPr txBox="1">
          <a:spLocks noChangeArrowheads="1"/>
        </xdr:cNvSpPr>
      </xdr:nvSpPr>
      <xdr:spPr bwMode="auto">
        <a:xfrm>
          <a:off x="4000313" y="13600658"/>
          <a:ext cx="1312022" cy="6502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250529</xdr:rowOff>
    </xdr:from>
    <xdr:to>
      <xdr:col>5</xdr:col>
      <xdr:colOff>121210</xdr:colOff>
      <xdr:row>82</xdr:row>
      <xdr:rowOff>49523</xdr:rowOff>
    </xdr:to>
    <xdr:sp macro="" textlink="">
      <xdr:nvSpPr>
        <xdr:cNvPr id="528" name="Text Box 593" hidden="1">
          <a:extLst>
            <a:ext uri="{FF2B5EF4-FFF2-40B4-BE49-F238E27FC236}">
              <a16:creationId xmlns:a16="http://schemas.microsoft.com/office/drawing/2014/main" id="{B3436D03-2F38-40DC-BD8C-FCC89B3EEB71}"/>
            </a:ext>
          </a:extLst>
        </xdr:cNvPr>
        <xdr:cNvSpPr txBox="1">
          <a:spLocks noChangeArrowheads="1"/>
        </xdr:cNvSpPr>
      </xdr:nvSpPr>
      <xdr:spPr bwMode="auto">
        <a:xfrm>
          <a:off x="4000313" y="17214554"/>
          <a:ext cx="1312022" cy="7197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68236</xdr:rowOff>
    </xdr:from>
    <xdr:to>
      <xdr:col>5</xdr:col>
      <xdr:colOff>121210</xdr:colOff>
      <xdr:row>81</xdr:row>
      <xdr:rowOff>75318</xdr:rowOff>
    </xdr:to>
    <xdr:sp macro="" textlink="">
      <xdr:nvSpPr>
        <xdr:cNvPr id="529" name="Text Box 594" hidden="1">
          <a:extLst>
            <a:ext uri="{FF2B5EF4-FFF2-40B4-BE49-F238E27FC236}">
              <a16:creationId xmlns:a16="http://schemas.microsoft.com/office/drawing/2014/main" id="{C81618EC-117D-4D83-A27E-F8F2227BF680}"/>
            </a:ext>
          </a:extLst>
        </xdr:cNvPr>
        <xdr:cNvSpPr txBox="1">
          <a:spLocks noChangeArrowheads="1"/>
        </xdr:cNvSpPr>
      </xdr:nvSpPr>
      <xdr:spPr bwMode="auto">
        <a:xfrm>
          <a:off x="4000313" y="17029086"/>
          <a:ext cx="1312022" cy="756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1770</xdr:rowOff>
    </xdr:from>
    <xdr:to>
      <xdr:col>5</xdr:col>
      <xdr:colOff>121210</xdr:colOff>
      <xdr:row>84</xdr:row>
      <xdr:rowOff>28774</xdr:rowOff>
    </xdr:to>
    <xdr:sp macro="" textlink="">
      <xdr:nvSpPr>
        <xdr:cNvPr id="530" name="Text Box 596" hidden="1">
          <a:extLst>
            <a:ext uri="{FF2B5EF4-FFF2-40B4-BE49-F238E27FC236}">
              <a16:creationId xmlns:a16="http://schemas.microsoft.com/office/drawing/2014/main" id="{A63B0292-C1C9-4A4F-ACF8-8DA091373481}"/>
            </a:ext>
          </a:extLst>
        </xdr:cNvPr>
        <xdr:cNvSpPr txBox="1">
          <a:spLocks noChangeArrowheads="1"/>
        </xdr:cNvSpPr>
      </xdr:nvSpPr>
      <xdr:spPr bwMode="auto">
        <a:xfrm>
          <a:off x="4000313" y="17527770"/>
          <a:ext cx="1312022" cy="7509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31372</xdr:rowOff>
    </xdr:from>
    <xdr:to>
      <xdr:col>5</xdr:col>
      <xdr:colOff>121210</xdr:colOff>
      <xdr:row>83</xdr:row>
      <xdr:rowOff>45142</xdr:rowOff>
    </xdr:to>
    <xdr:sp macro="" textlink="">
      <xdr:nvSpPr>
        <xdr:cNvPr id="531" name="Text Box 597" hidden="1">
          <a:extLst>
            <a:ext uri="{FF2B5EF4-FFF2-40B4-BE49-F238E27FC236}">
              <a16:creationId xmlns:a16="http://schemas.microsoft.com/office/drawing/2014/main" id="{564693A3-F835-410D-8F69-5DA3E3C53BBB}"/>
            </a:ext>
          </a:extLst>
        </xdr:cNvPr>
        <xdr:cNvSpPr txBox="1">
          <a:spLocks noChangeArrowheads="1"/>
        </xdr:cNvSpPr>
      </xdr:nvSpPr>
      <xdr:spPr bwMode="auto">
        <a:xfrm>
          <a:off x="4000313" y="17376397"/>
          <a:ext cx="1312022" cy="7376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121210</xdr:colOff>
      <xdr:row>86</xdr:row>
      <xdr:rowOff>10492</xdr:rowOff>
    </xdr:to>
    <xdr:sp macro="" textlink="">
      <xdr:nvSpPr>
        <xdr:cNvPr id="532" name="Text Box 599" hidden="1">
          <a:extLst>
            <a:ext uri="{FF2B5EF4-FFF2-40B4-BE49-F238E27FC236}">
              <a16:creationId xmlns:a16="http://schemas.microsoft.com/office/drawing/2014/main" id="{E6E28112-3930-4230-8C17-D7AE57D665B7}"/>
            </a:ext>
          </a:extLst>
        </xdr:cNvPr>
        <xdr:cNvSpPr txBox="1">
          <a:spLocks noChangeArrowheads="1"/>
        </xdr:cNvSpPr>
      </xdr:nvSpPr>
      <xdr:spPr bwMode="auto">
        <a:xfrm>
          <a:off x="4000313" y="17888695"/>
          <a:ext cx="1312022" cy="7336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6784</xdr:rowOff>
    </xdr:from>
    <xdr:to>
      <xdr:col>5</xdr:col>
      <xdr:colOff>121210</xdr:colOff>
      <xdr:row>85</xdr:row>
      <xdr:rowOff>26398</xdr:rowOff>
    </xdr:to>
    <xdr:sp macro="" textlink="">
      <xdr:nvSpPr>
        <xdr:cNvPr id="533" name="Text Box 600" hidden="1">
          <a:extLst>
            <a:ext uri="{FF2B5EF4-FFF2-40B4-BE49-F238E27FC236}">
              <a16:creationId xmlns:a16="http://schemas.microsoft.com/office/drawing/2014/main" id="{2F3A9F8C-2F3B-4A01-81C1-70205664D907}"/>
            </a:ext>
          </a:extLst>
        </xdr:cNvPr>
        <xdr:cNvSpPr txBox="1">
          <a:spLocks noChangeArrowheads="1"/>
        </xdr:cNvSpPr>
      </xdr:nvSpPr>
      <xdr:spPr bwMode="auto">
        <a:xfrm>
          <a:off x="4000313" y="17716934"/>
          <a:ext cx="1312022" cy="740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121210</xdr:colOff>
      <xdr:row>86</xdr:row>
      <xdr:rowOff>371849</xdr:rowOff>
    </xdr:to>
    <xdr:sp macro="" textlink="">
      <xdr:nvSpPr>
        <xdr:cNvPr id="534" name="Text Box 602" hidden="1">
          <a:extLst>
            <a:ext uri="{FF2B5EF4-FFF2-40B4-BE49-F238E27FC236}">
              <a16:creationId xmlns:a16="http://schemas.microsoft.com/office/drawing/2014/main" id="{39DEF945-0AB7-4062-A278-50F2E14D2721}"/>
            </a:ext>
          </a:extLst>
        </xdr:cNvPr>
        <xdr:cNvSpPr txBox="1">
          <a:spLocks noChangeArrowheads="1"/>
        </xdr:cNvSpPr>
      </xdr:nvSpPr>
      <xdr:spPr bwMode="auto">
        <a:xfrm>
          <a:off x="4000313" y="18239485"/>
          <a:ext cx="1312022" cy="744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11393</xdr:rowOff>
    </xdr:from>
    <xdr:to>
      <xdr:col>5</xdr:col>
      <xdr:colOff>121210</xdr:colOff>
      <xdr:row>86</xdr:row>
      <xdr:rowOff>177958</xdr:rowOff>
    </xdr:to>
    <xdr:sp macro="" textlink="">
      <xdr:nvSpPr>
        <xdr:cNvPr id="535" name="Text Box 603" hidden="1">
          <a:extLst>
            <a:ext uri="{FF2B5EF4-FFF2-40B4-BE49-F238E27FC236}">
              <a16:creationId xmlns:a16="http://schemas.microsoft.com/office/drawing/2014/main" id="{07B029BE-0DB4-4409-BA10-BEBDD83502DC}"/>
            </a:ext>
          </a:extLst>
        </xdr:cNvPr>
        <xdr:cNvSpPr txBox="1">
          <a:spLocks noChangeArrowheads="1"/>
        </xdr:cNvSpPr>
      </xdr:nvSpPr>
      <xdr:spPr bwMode="auto">
        <a:xfrm>
          <a:off x="4000313" y="18080318"/>
          <a:ext cx="1312022" cy="7094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8205</xdr:rowOff>
    </xdr:from>
    <xdr:to>
      <xdr:col>5</xdr:col>
      <xdr:colOff>121210</xdr:colOff>
      <xdr:row>109</xdr:row>
      <xdr:rowOff>88657</xdr:rowOff>
    </xdr:to>
    <xdr:sp macro="" textlink="">
      <xdr:nvSpPr>
        <xdr:cNvPr id="536" name="Text Box 606" hidden="1">
          <a:extLst>
            <a:ext uri="{FF2B5EF4-FFF2-40B4-BE49-F238E27FC236}">
              <a16:creationId xmlns:a16="http://schemas.microsoft.com/office/drawing/2014/main" id="{03CB4886-B229-4BFF-AA27-58F6AD20BBBA}"/>
            </a:ext>
          </a:extLst>
        </xdr:cNvPr>
        <xdr:cNvSpPr txBox="1">
          <a:spLocks noChangeArrowheads="1"/>
        </xdr:cNvSpPr>
      </xdr:nvSpPr>
      <xdr:spPr bwMode="auto">
        <a:xfrm>
          <a:off x="4000313" y="22452280"/>
          <a:ext cx="1312022" cy="8583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95568</xdr:rowOff>
    </xdr:from>
    <xdr:to>
      <xdr:col>5</xdr:col>
      <xdr:colOff>121210</xdr:colOff>
      <xdr:row>108</xdr:row>
      <xdr:rowOff>67311</xdr:rowOff>
    </xdr:to>
    <xdr:sp macro="" textlink="">
      <xdr:nvSpPr>
        <xdr:cNvPr id="537" name="Text Box 607" hidden="1">
          <a:extLst>
            <a:ext uri="{FF2B5EF4-FFF2-40B4-BE49-F238E27FC236}">
              <a16:creationId xmlns:a16="http://schemas.microsoft.com/office/drawing/2014/main" id="{48E06670-9652-4598-99D4-2DDABE299701}"/>
            </a:ext>
          </a:extLst>
        </xdr:cNvPr>
        <xdr:cNvSpPr txBox="1">
          <a:spLocks noChangeArrowheads="1"/>
        </xdr:cNvSpPr>
      </xdr:nvSpPr>
      <xdr:spPr bwMode="auto">
        <a:xfrm>
          <a:off x="4000313" y="22298343"/>
          <a:ext cx="1312022" cy="8067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158770</xdr:rowOff>
    </xdr:from>
    <xdr:to>
      <xdr:col>5</xdr:col>
      <xdr:colOff>121210</xdr:colOff>
      <xdr:row>111</xdr:row>
      <xdr:rowOff>47881</xdr:rowOff>
    </xdr:to>
    <xdr:sp macro="" textlink="">
      <xdr:nvSpPr>
        <xdr:cNvPr id="538" name="Text Box 609" hidden="1">
          <a:extLst>
            <a:ext uri="{FF2B5EF4-FFF2-40B4-BE49-F238E27FC236}">
              <a16:creationId xmlns:a16="http://schemas.microsoft.com/office/drawing/2014/main" id="{7913B433-CA0C-4C65-A39B-A4A86161A477}"/>
            </a:ext>
          </a:extLst>
        </xdr:cNvPr>
        <xdr:cNvSpPr txBox="1">
          <a:spLocks noChangeArrowheads="1"/>
        </xdr:cNvSpPr>
      </xdr:nvSpPr>
      <xdr:spPr bwMode="auto">
        <a:xfrm>
          <a:off x="4000313" y="22837795"/>
          <a:ext cx="1312022" cy="7939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196970</xdr:rowOff>
    </xdr:from>
    <xdr:to>
      <xdr:col>5</xdr:col>
      <xdr:colOff>121210</xdr:colOff>
      <xdr:row>110</xdr:row>
      <xdr:rowOff>29325</xdr:rowOff>
    </xdr:to>
    <xdr:sp macro="" textlink="">
      <xdr:nvSpPr>
        <xdr:cNvPr id="539" name="Text Box 610" hidden="1">
          <a:extLst>
            <a:ext uri="{FF2B5EF4-FFF2-40B4-BE49-F238E27FC236}">
              <a16:creationId xmlns:a16="http://schemas.microsoft.com/office/drawing/2014/main" id="{BAAAB0C8-2B9B-4580-98F3-AD17353BCFB7}"/>
            </a:ext>
          </a:extLst>
        </xdr:cNvPr>
        <xdr:cNvSpPr txBox="1">
          <a:spLocks noChangeArrowheads="1"/>
        </xdr:cNvSpPr>
      </xdr:nvSpPr>
      <xdr:spPr bwMode="auto">
        <a:xfrm>
          <a:off x="4000313" y="22641045"/>
          <a:ext cx="1312022" cy="7912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162841</xdr:rowOff>
    </xdr:from>
    <xdr:to>
      <xdr:col>5</xdr:col>
      <xdr:colOff>121210</xdr:colOff>
      <xdr:row>112</xdr:row>
      <xdr:rowOff>161124</xdr:rowOff>
    </xdr:to>
    <xdr:sp macro="" textlink="">
      <xdr:nvSpPr>
        <xdr:cNvPr id="540" name="Text Box 612" hidden="1">
          <a:extLst>
            <a:ext uri="{FF2B5EF4-FFF2-40B4-BE49-F238E27FC236}">
              <a16:creationId xmlns:a16="http://schemas.microsoft.com/office/drawing/2014/main" id="{B51FCA19-1B4A-4F8A-938C-908CD90ACCB2}"/>
            </a:ext>
          </a:extLst>
        </xdr:cNvPr>
        <xdr:cNvSpPr txBox="1">
          <a:spLocks noChangeArrowheads="1"/>
        </xdr:cNvSpPr>
      </xdr:nvSpPr>
      <xdr:spPr bwMode="auto">
        <a:xfrm>
          <a:off x="4000313" y="23200641"/>
          <a:ext cx="1312022" cy="72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11828</xdr:rowOff>
    </xdr:from>
    <xdr:to>
      <xdr:col>5</xdr:col>
      <xdr:colOff>121210</xdr:colOff>
      <xdr:row>111</xdr:row>
      <xdr:rowOff>152631</xdr:rowOff>
    </xdr:to>
    <xdr:sp macro="" textlink="">
      <xdr:nvSpPr>
        <xdr:cNvPr id="541" name="Text Box 613" hidden="1">
          <a:extLst>
            <a:ext uri="{FF2B5EF4-FFF2-40B4-BE49-F238E27FC236}">
              <a16:creationId xmlns:a16="http://schemas.microsoft.com/office/drawing/2014/main" id="{DC5257FC-9F8C-460C-84FC-13CAF87143AF}"/>
            </a:ext>
          </a:extLst>
        </xdr:cNvPr>
        <xdr:cNvSpPr txBox="1">
          <a:spLocks noChangeArrowheads="1"/>
        </xdr:cNvSpPr>
      </xdr:nvSpPr>
      <xdr:spPr bwMode="auto">
        <a:xfrm>
          <a:off x="4000313" y="23052803"/>
          <a:ext cx="1312022" cy="6837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159792</xdr:rowOff>
    </xdr:from>
    <xdr:to>
      <xdr:col>5</xdr:col>
      <xdr:colOff>121210</xdr:colOff>
      <xdr:row>115</xdr:row>
      <xdr:rowOff>1655</xdr:rowOff>
    </xdr:to>
    <xdr:sp macro="" textlink="">
      <xdr:nvSpPr>
        <xdr:cNvPr id="542" name="Text Box 615" hidden="1">
          <a:extLst>
            <a:ext uri="{FF2B5EF4-FFF2-40B4-BE49-F238E27FC236}">
              <a16:creationId xmlns:a16="http://schemas.microsoft.com/office/drawing/2014/main" id="{49B30835-A7A2-4F68-8488-CC5F5D607419}"/>
            </a:ext>
          </a:extLst>
        </xdr:cNvPr>
        <xdr:cNvSpPr txBox="1">
          <a:spLocks noChangeArrowheads="1"/>
        </xdr:cNvSpPr>
      </xdr:nvSpPr>
      <xdr:spPr bwMode="auto">
        <a:xfrm>
          <a:off x="4000313" y="23565892"/>
          <a:ext cx="1312022" cy="7435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10007</xdr:rowOff>
    </xdr:from>
    <xdr:to>
      <xdr:col>5</xdr:col>
      <xdr:colOff>121210</xdr:colOff>
      <xdr:row>113</xdr:row>
      <xdr:rowOff>173121</xdr:rowOff>
    </xdr:to>
    <xdr:sp macro="" textlink="">
      <xdr:nvSpPr>
        <xdr:cNvPr id="543" name="Text Box 616" hidden="1">
          <a:extLst>
            <a:ext uri="{FF2B5EF4-FFF2-40B4-BE49-F238E27FC236}">
              <a16:creationId xmlns:a16="http://schemas.microsoft.com/office/drawing/2014/main" id="{41EA0256-36C9-4EB3-B16F-A74C13FA1D15}"/>
            </a:ext>
          </a:extLst>
        </xdr:cNvPr>
        <xdr:cNvSpPr txBox="1">
          <a:spLocks noChangeArrowheads="1"/>
        </xdr:cNvSpPr>
      </xdr:nvSpPr>
      <xdr:spPr bwMode="auto">
        <a:xfrm>
          <a:off x="4000313" y="23412932"/>
          <a:ext cx="1312022" cy="7060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544" name="Text Box 36" hidden="1">
          <a:extLst>
            <a:ext uri="{FF2B5EF4-FFF2-40B4-BE49-F238E27FC236}">
              <a16:creationId xmlns:a16="http://schemas.microsoft.com/office/drawing/2014/main" id="{153073B8-343D-4455-98BD-222AA9D87947}"/>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102726</xdr:rowOff>
    </xdr:from>
    <xdr:to>
      <xdr:col>5</xdr:col>
      <xdr:colOff>102160</xdr:colOff>
      <xdr:row>237</xdr:row>
      <xdr:rowOff>125745</xdr:rowOff>
    </xdr:to>
    <xdr:sp macro="" textlink="">
      <xdr:nvSpPr>
        <xdr:cNvPr id="545" name="Text Box 35" hidden="1">
          <a:extLst>
            <a:ext uri="{FF2B5EF4-FFF2-40B4-BE49-F238E27FC236}">
              <a16:creationId xmlns:a16="http://schemas.microsoft.com/office/drawing/2014/main" id="{8DC193BF-2928-4D3F-9B28-1BBB9E82825D}"/>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102160</xdr:colOff>
      <xdr:row>237</xdr:row>
      <xdr:rowOff>29725</xdr:rowOff>
    </xdr:to>
    <xdr:sp macro="" textlink="">
      <xdr:nvSpPr>
        <xdr:cNvPr id="546" name="Text Box 34" hidden="1">
          <a:extLst>
            <a:ext uri="{FF2B5EF4-FFF2-40B4-BE49-F238E27FC236}">
              <a16:creationId xmlns:a16="http://schemas.microsoft.com/office/drawing/2014/main" id="{1E333103-46D6-46EA-8C35-D6F6968CE908}"/>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102160</xdr:colOff>
      <xdr:row>238</xdr:row>
      <xdr:rowOff>125744</xdr:rowOff>
    </xdr:to>
    <xdr:sp macro="" textlink="">
      <xdr:nvSpPr>
        <xdr:cNvPr id="547" name="Text Box 33" hidden="1">
          <a:extLst>
            <a:ext uri="{FF2B5EF4-FFF2-40B4-BE49-F238E27FC236}">
              <a16:creationId xmlns:a16="http://schemas.microsoft.com/office/drawing/2014/main" id="{3E98913C-7A82-480C-BBB3-73A9651120F7}"/>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102160</xdr:colOff>
      <xdr:row>226</xdr:row>
      <xdr:rowOff>20728</xdr:rowOff>
    </xdr:to>
    <xdr:sp macro="" textlink="">
      <xdr:nvSpPr>
        <xdr:cNvPr id="548" name="Text Box 32" hidden="1">
          <a:extLst>
            <a:ext uri="{FF2B5EF4-FFF2-40B4-BE49-F238E27FC236}">
              <a16:creationId xmlns:a16="http://schemas.microsoft.com/office/drawing/2014/main" id="{B2980DDF-8E87-496C-9B80-01F7DDC2090F}"/>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102160</xdr:colOff>
      <xdr:row>203</xdr:row>
      <xdr:rowOff>29725</xdr:rowOff>
    </xdr:to>
    <xdr:sp macro="" textlink="">
      <xdr:nvSpPr>
        <xdr:cNvPr id="549" name="Text Box 31" hidden="1">
          <a:extLst>
            <a:ext uri="{FF2B5EF4-FFF2-40B4-BE49-F238E27FC236}">
              <a16:creationId xmlns:a16="http://schemas.microsoft.com/office/drawing/2014/main" id="{5B60D2B9-3C54-4B98-80EB-A247DFCD54F1}"/>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88608</xdr:rowOff>
    </xdr:from>
    <xdr:to>
      <xdr:col>5</xdr:col>
      <xdr:colOff>102160</xdr:colOff>
      <xdr:row>204</xdr:row>
      <xdr:rowOff>60106</xdr:rowOff>
    </xdr:to>
    <xdr:sp macro="" textlink="">
      <xdr:nvSpPr>
        <xdr:cNvPr id="550" name="Text Box 30" hidden="1">
          <a:extLst>
            <a:ext uri="{FF2B5EF4-FFF2-40B4-BE49-F238E27FC236}">
              <a16:creationId xmlns:a16="http://schemas.microsoft.com/office/drawing/2014/main" id="{14E017B6-547B-4A82-BF07-9D635CC96A2E}"/>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63835</xdr:rowOff>
    </xdr:from>
    <xdr:to>
      <xdr:col>5</xdr:col>
      <xdr:colOff>102160</xdr:colOff>
      <xdr:row>205</xdr:row>
      <xdr:rowOff>125744</xdr:rowOff>
    </xdr:to>
    <xdr:sp macro="" textlink="">
      <xdr:nvSpPr>
        <xdr:cNvPr id="551" name="Text Box 29" hidden="1">
          <a:extLst>
            <a:ext uri="{FF2B5EF4-FFF2-40B4-BE49-F238E27FC236}">
              <a16:creationId xmlns:a16="http://schemas.microsoft.com/office/drawing/2014/main" id="{1755FB4A-184A-47C5-BF14-A2A60FE869A2}"/>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102160</xdr:colOff>
      <xdr:row>212</xdr:row>
      <xdr:rowOff>77039</xdr:rowOff>
    </xdr:to>
    <xdr:sp macro="" textlink="">
      <xdr:nvSpPr>
        <xdr:cNvPr id="552" name="Text Box 28" hidden="1">
          <a:extLst>
            <a:ext uri="{FF2B5EF4-FFF2-40B4-BE49-F238E27FC236}">
              <a16:creationId xmlns:a16="http://schemas.microsoft.com/office/drawing/2014/main" id="{FF5CA06A-3E17-4C08-9FE8-740D49C711BE}"/>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553" name="Text Box 27" hidden="1">
          <a:extLst>
            <a:ext uri="{FF2B5EF4-FFF2-40B4-BE49-F238E27FC236}">
              <a16:creationId xmlns:a16="http://schemas.microsoft.com/office/drawing/2014/main" id="{38A8EF01-38A4-43DB-BC1E-7A160C8B629A}"/>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493826</xdr:rowOff>
    </xdr:from>
    <xdr:to>
      <xdr:col>5</xdr:col>
      <xdr:colOff>121210</xdr:colOff>
      <xdr:row>59</xdr:row>
      <xdr:rowOff>293768</xdr:rowOff>
    </xdr:to>
    <xdr:sp macro="" textlink="">
      <xdr:nvSpPr>
        <xdr:cNvPr id="554" name="Text Box 26" hidden="1">
          <a:extLst>
            <a:ext uri="{FF2B5EF4-FFF2-40B4-BE49-F238E27FC236}">
              <a16:creationId xmlns:a16="http://schemas.microsoft.com/office/drawing/2014/main" id="{F9AD95FF-0A27-4F49-A93F-1CC5479EB335}"/>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133684</xdr:rowOff>
    </xdr:from>
    <xdr:to>
      <xdr:col>5</xdr:col>
      <xdr:colOff>121210</xdr:colOff>
      <xdr:row>58</xdr:row>
      <xdr:rowOff>369768</xdr:rowOff>
    </xdr:to>
    <xdr:sp macro="" textlink="">
      <xdr:nvSpPr>
        <xdr:cNvPr id="555" name="Text Box 25" hidden="1">
          <a:extLst>
            <a:ext uri="{FF2B5EF4-FFF2-40B4-BE49-F238E27FC236}">
              <a16:creationId xmlns:a16="http://schemas.microsoft.com/office/drawing/2014/main" id="{5201195E-B582-44FE-BDE4-39A0EF5BE82D}"/>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1655</xdr:rowOff>
    </xdr:from>
    <xdr:to>
      <xdr:col>5</xdr:col>
      <xdr:colOff>121210</xdr:colOff>
      <xdr:row>60</xdr:row>
      <xdr:rowOff>312224</xdr:rowOff>
    </xdr:to>
    <xdr:sp macro="" textlink="">
      <xdr:nvSpPr>
        <xdr:cNvPr id="556" name="Text Box 24" hidden="1">
          <a:extLst>
            <a:ext uri="{FF2B5EF4-FFF2-40B4-BE49-F238E27FC236}">
              <a16:creationId xmlns:a16="http://schemas.microsoft.com/office/drawing/2014/main" id="{32FAA4A8-1659-45BF-AF75-EB1EECE2DB34}"/>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163596</xdr:rowOff>
    </xdr:from>
    <xdr:to>
      <xdr:col>5</xdr:col>
      <xdr:colOff>121210</xdr:colOff>
      <xdr:row>60</xdr:row>
      <xdr:rowOff>130205</xdr:rowOff>
    </xdr:to>
    <xdr:sp macro="" textlink="">
      <xdr:nvSpPr>
        <xdr:cNvPr id="557" name="Text Box 23" hidden="1">
          <a:extLst>
            <a:ext uri="{FF2B5EF4-FFF2-40B4-BE49-F238E27FC236}">
              <a16:creationId xmlns:a16="http://schemas.microsoft.com/office/drawing/2014/main" id="{F76ADE39-CD00-4E6E-B194-93FF561959A9}"/>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150896</xdr:rowOff>
    </xdr:from>
    <xdr:to>
      <xdr:col>5</xdr:col>
      <xdr:colOff>121210</xdr:colOff>
      <xdr:row>62</xdr:row>
      <xdr:rowOff>60243</xdr:rowOff>
    </xdr:to>
    <xdr:sp macro="" textlink="">
      <xdr:nvSpPr>
        <xdr:cNvPr id="558" name="Text Box 22" hidden="1">
          <a:extLst>
            <a:ext uri="{FF2B5EF4-FFF2-40B4-BE49-F238E27FC236}">
              <a16:creationId xmlns:a16="http://schemas.microsoft.com/office/drawing/2014/main" id="{179A4A4A-6DDD-49C2-BCE5-4B07F3C41A25}"/>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344594</xdr:rowOff>
    </xdr:from>
    <xdr:to>
      <xdr:col>5</xdr:col>
      <xdr:colOff>121210</xdr:colOff>
      <xdr:row>61</xdr:row>
      <xdr:rowOff>288909</xdr:rowOff>
    </xdr:to>
    <xdr:sp macro="" textlink="">
      <xdr:nvSpPr>
        <xdr:cNvPr id="559" name="Text Box 21" hidden="1">
          <a:extLst>
            <a:ext uri="{FF2B5EF4-FFF2-40B4-BE49-F238E27FC236}">
              <a16:creationId xmlns:a16="http://schemas.microsoft.com/office/drawing/2014/main" id="{3B542F47-CFB4-4BD1-9C38-DA801A1654C4}"/>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131397</xdr:rowOff>
    </xdr:from>
    <xdr:to>
      <xdr:col>5</xdr:col>
      <xdr:colOff>121210</xdr:colOff>
      <xdr:row>63</xdr:row>
      <xdr:rowOff>2284</xdr:rowOff>
    </xdr:to>
    <xdr:sp macro="" textlink="">
      <xdr:nvSpPr>
        <xdr:cNvPr id="560" name="Text Box 20" hidden="1">
          <a:extLst>
            <a:ext uri="{FF2B5EF4-FFF2-40B4-BE49-F238E27FC236}">
              <a16:creationId xmlns:a16="http://schemas.microsoft.com/office/drawing/2014/main" id="{6DA5ACEB-3BFE-40BA-9BBB-41BB53EA77EA}"/>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332628</xdr:rowOff>
    </xdr:from>
    <xdr:to>
      <xdr:col>5</xdr:col>
      <xdr:colOff>121210</xdr:colOff>
      <xdr:row>62</xdr:row>
      <xdr:rowOff>197883</xdr:rowOff>
    </xdr:to>
    <xdr:sp macro="" textlink="">
      <xdr:nvSpPr>
        <xdr:cNvPr id="561" name="Text Box 19" hidden="1">
          <a:extLst>
            <a:ext uri="{FF2B5EF4-FFF2-40B4-BE49-F238E27FC236}">
              <a16:creationId xmlns:a16="http://schemas.microsoft.com/office/drawing/2014/main" id="{1211261D-2E52-431F-B927-244B1592271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96862</xdr:rowOff>
    </xdr:from>
    <xdr:to>
      <xdr:col>5</xdr:col>
      <xdr:colOff>121210</xdr:colOff>
      <xdr:row>65</xdr:row>
      <xdr:rowOff>2802</xdr:rowOff>
    </xdr:to>
    <xdr:sp macro="" textlink="">
      <xdr:nvSpPr>
        <xdr:cNvPr id="562" name="Text Box 18" hidden="1">
          <a:extLst>
            <a:ext uri="{FF2B5EF4-FFF2-40B4-BE49-F238E27FC236}">
              <a16:creationId xmlns:a16="http://schemas.microsoft.com/office/drawing/2014/main" id="{17CF063A-EC47-4037-B145-3730157BAE4E}"/>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345033</xdr:rowOff>
    </xdr:from>
    <xdr:to>
      <xdr:col>5</xdr:col>
      <xdr:colOff>121210</xdr:colOff>
      <xdr:row>63</xdr:row>
      <xdr:rowOff>207894</xdr:rowOff>
    </xdr:to>
    <xdr:sp macro="" textlink="">
      <xdr:nvSpPr>
        <xdr:cNvPr id="563" name="Text Box 17" hidden="1">
          <a:extLst>
            <a:ext uri="{FF2B5EF4-FFF2-40B4-BE49-F238E27FC236}">
              <a16:creationId xmlns:a16="http://schemas.microsoft.com/office/drawing/2014/main" id="{77882017-4D6D-4218-9AC6-BEB9D1E7ED35}"/>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250529</xdr:rowOff>
    </xdr:from>
    <xdr:to>
      <xdr:col>5</xdr:col>
      <xdr:colOff>121210</xdr:colOff>
      <xdr:row>82</xdr:row>
      <xdr:rowOff>49523</xdr:rowOff>
    </xdr:to>
    <xdr:sp macro="" textlink="">
      <xdr:nvSpPr>
        <xdr:cNvPr id="564" name="Text Box 16" hidden="1">
          <a:extLst>
            <a:ext uri="{FF2B5EF4-FFF2-40B4-BE49-F238E27FC236}">
              <a16:creationId xmlns:a16="http://schemas.microsoft.com/office/drawing/2014/main" id="{6278CC3C-ADD3-488B-BEDF-D9C537C23CA8}"/>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68236</xdr:rowOff>
    </xdr:from>
    <xdr:to>
      <xdr:col>5</xdr:col>
      <xdr:colOff>121210</xdr:colOff>
      <xdr:row>81</xdr:row>
      <xdr:rowOff>75318</xdr:rowOff>
    </xdr:to>
    <xdr:sp macro="" textlink="">
      <xdr:nvSpPr>
        <xdr:cNvPr id="565" name="Text Box 15" hidden="1">
          <a:extLst>
            <a:ext uri="{FF2B5EF4-FFF2-40B4-BE49-F238E27FC236}">
              <a16:creationId xmlns:a16="http://schemas.microsoft.com/office/drawing/2014/main" id="{3829BF96-35C0-41E6-8D77-B3D7AF2F3E20}"/>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1770</xdr:rowOff>
    </xdr:from>
    <xdr:to>
      <xdr:col>5</xdr:col>
      <xdr:colOff>121210</xdr:colOff>
      <xdr:row>84</xdr:row>
      <xdr:rowOff>28774</xdr:rowOff>
    </xdr:to>
    <xdr:sp macro="" textlink="">
      <xdr:nvSpPr>
        <xdr:cNvPr id="566" name="Text Box 14" hidden="1">
          <a:extLst>
            <a:ext uri="{FF2B5EF4-FFF2-40B4-BE49-F238E27FC236}">
              <a16:creationId xmlns:a16="http://schemas.microsoft.com/office/drawing/2014/main" id="{7D4DC354-4235-4652-BC11-4148669FFE73}"/>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31372</xdr:rowOff>
    </xdr:from>
    <xdr:to>
      <xdr:col>5</xdr:col>
      <xdr:colOff>121210</xdr:colOff>
      <xdr:row>83</xdr:row>
      <xdr:rowOff>45142</xdr:rowOff>
    </xdr:to>
    <xdr:sp macro="" textlink="">
      <xdr:nvSpPr>
        <xdr:cNvPr id="567" name="Text Box 13" hidden="1">
          <a:extLst>
            <a:ext uri="{FF2B5EF4-FFF2-40B4-BE49-F238E27FC236}">
              <a16:creationId xmlns:a16="http://schemas.microsoft.com/office/drawing/2014/main" id="{A6EE2A87-C8E4-43C1-8976-063ECFE1A424}"/>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121210</xdr:colOff>
      <xdr:row>86</xdr:row>
      <xdr:rowOff>10492</xdr:rowOff>
    </xdr:to>
    <xdr:sp macro="" textlink="">
      <xdr:nvSpPr>
        <xdr:cNvPr id="568" name="Text Box 12" hidden="1">
          <a:extLst>
            <a:ext uri="{FF2B5EF4-FFF2-40B4-BE49-F238E27FC236}">
              <a16:creationId xmlns:a16="http://schemas.microsoft.com/office/drawing/2014/main" id="{242859BA-6F5D-4435-841B-EA5BC86E9C44}"/>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6784</xdr:rowOff>
    </xdr:from>
    <xdr:to>
      <xdr:col>5</xdr:col>
      <xdr:colOff>121210</xdr:colOff>
      <xdr:row>85</xdr:row>
      <xdr:rowOff>26398</xdr:rowOff>
    </xdr:to>
    <xdr:sp macro="" textlink="">
      <xdr:nvSpPr>
        <xdr:cNvPr id="569" name="Text Box 11" hidden="1">
          <a:extLst>
            <a:ext uri="{FF2B5EF4-FFF2-40B4-BE49-F238E27FC236}">
              <a16:creationId xmlns:a16="http://schemas.microsoft.com/office/drawing/2014/main" id="{436D4AAC-927E-465C-9474-AF30DF812DBE}"/>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121210</xdr:colOff>
      <xdr:row>86</xdr:row>
      <xdr:rowOff>371849</xdr:rowOff>
    </xdr:to>
    <xdr:sp macro="" textlink="">
      <xdr:nvSpPr>
        <xdr:cNvPr id="570" name="Text Box 10" hidden="1">
          <a:extLst>
            <a:ext uri="{FF2B5EF4-FFF2-40B4-BE49-F238E27FC236}">
              <a16:creationId xmlns:a16="http://schemas.microsoft.com/office/drawing/2014/main" id="{F03E05B1-2183-4F3F-A2A4-18168C2AAC93}"/>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11393</xdr:rowOff>
    </xdr:from>
    <xdr:to>
      <xdr:col>5</xdr:col>
      <xdr:colOff>121210</xdr:colOff>
      <xdr:row>86</xdr:row>
      <xdr:rowOff>177958</xdr:rowOff>
    </xdr:to>
    <xdr:sp macro="" textlink="">
      <xdr:nvSpPr>
        <xdr:cNvPr id="571" name="Text Box 9" hidden="1">
          <a:extLst>
            <a:ext uri="{FF2B5EF4-FFF2-40B4-BE49-F238E27FC236}">
              <a16:creationId xmlns:a16="http://schemas.microsoft.com/office/drawing/2014/main" id="{EDEAEBD7-1145-4109-9502-B096087888D3}"/>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8205</xdr:rowOff>
    </xdr:from>
    <xdr:to>
      <xdr:col>5</xdr:col>
      <xdr:colOff>121210</xdr:colOff>
      <xdr:row>109</xdr:row>
      <xdr:rowOff>88657</xdr:rowOff>
    </xdr:to>
    <xdr:sp macro="" textlink="">
      <xdr:nvSpPr>
        <xdr:cNvPr id="572" name="Text Box 8" hidden="1">
          <a:extLst>
            <a:ext uri="{FF2B5EF4-FFF2-40B4-BE49-F238E27FC236}">
              <a16:creationId xmlns:a16="http://schemas.microsoft.com/office/drawing/2014/main" id="{906B7341-1399-40B8-9B1C-BA2D2C7BECC1}"/>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95568</xdr:rowOff>
    </xdr:from>
    <xdr:to>
      <xdr:col>5</xdr:col>
      <xdr:colOff>121210</xdr:colOff>
      <xdr:row>108</xdr:row>
      <xdr:rowOff>67311</xdr:rowOff>
    </xdr:to>
    <xdr:sp macro="" textlink="">
      <xdr:nvSpPr>
        <xdr:cNvPr id="573" name="Text Box 7" hidden="1">
          <a:extLst>
            <a:ext uri="{FF2B5EF4-FFF2-40B4-BE49-F238E27FC236}">
              <a16:creationId xmlns:a16="http://schemas.microsoft.com/office/drawing/2014/main" id="{1C10F0C7-2EB0-4A8E-9CCD-19CF5F318E83}"/>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158770</xdr:rowOff>
    </xdr:from>
    <xdr:to>
      <xdr:col>5</xdr:col>
      <xdr:colOff>121210</xdr:colOff>
      <xdr:row>111</xdr:row>
      <xdr:rowOff>47881</xdr:rowOff>
    </xdr:to>
    <xdr:sp macro="" textlink="">
      <xdr:nvSpPr>
        <xdr:cNvPr id="574" name="Text Box 6" hidden="1">
          <a:extLst>
            <a:ext uri="{FF2B5EF4-FFF2-40B4-BE49-F238E27FC236}">
              <a16:creationId xmlns:a16="http://schemas.microsoft.com/office/drawing/2014/main" id="{0A550CE7-1FFC-4F33-8E9D-E6AD2FE587D1}"/>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196970</xdr:rowOff>
    </xdr:from>
    <xdr:to>
      <xdr:col>5</xdr:col>
      <xdr:colOff>121210</xdr:colOff>
      <xdr:row>110</xdr:row>
      <xdr:rowOff>29325</xdr:rowOff>
    </xdr:to>
    <xdr:sp macro="" textlink="">
      <xdr:nvSpPr>
        <xdr:cNvPr id="575" name="Text Box 5" hidden="1">
          <a:extLst>
            <a:ext uri="{FF2B5EF4-FFF2-40B4-BE49-F238E27FC236}">
              <a16:creationId xmlns:a16="http://schemas.microsoft.com/office/drawing/2014/main" id="{050051CF-9582-4CE7-8C3D-66496B21A35E}"/>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162841</xdr:rowOff>
    </xdr:from>
    <xdr:to>
      <xdr:col>5</xdr:col>
      <xdr:colOff>121210</xdr:colOff>
      <xdr:row>112</xdr:row>
      <xdr:rowOff>161124</xdr:rowOff>
    </xdr:to>
    <xdr:sp macro="" textlink="">
      <xdr:nvSpPr>
        <xdr:cNvPr id="576" name="Text Box 4" hidden="1">
          <a:extLst>
            <a:ext uri="{FF2B5EF4-FFF2-40B4-BE49-F238E27FC236}">
              <a16:creationId xmlns:a16="http://schemas.microsoft.com/office/drawing/2014/main" id="{E29E8D7A-521B-4C41-8FC5-A7C95A2E9E6A}"/>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11828</xdr:rowOff>
    </xdr:from>
    <xdr:to>
      <xdr:col>5</xdr:col>
      <xdr:colOff>121210</xdr:colOff>
      <xdr:row>111</xdr:row>
      <xdr:rowOff>152631</xdr:rowOff>
    </xdr:to>
    <xdr:sp macro="" textlink="">
      <xdr:nvSpPr>
        <xdr:cNvPr id="577" name="Text Box 3" hidden="1">
          <a:extLst>
            <a:ext uri="{FF2B5EF4-FFF2-40B4-BE49-F238E27FC236}">
              <a16:creationId xmlns:a16="http://schemas.microsoft.com/office/drawing/2014/main" id="{F7D59CFA-DF60-48FA-A351-163D607D2710}"/>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159792</xdr:rowOff>
    </xdr:from>
    <xdr:to>
      <xdr:col>5</xdr:col>
      <xdr:colOff>121210</xdr:colOff>
      <xdr:row>115</xdr:row>
      <xdr:rowOff>1655</xdr:rowOff>
    </xdr:to>
    <xdr:sp macro="" textlink="">
      <xdr:nvSpPr>
        <xdr:cNvPr id="578" name="Text Box 2" hidden="1">
          <a:extLst>
            <a:ext uri="{FF2B5EF4-FFF2-40B4-BE49-F238E27FC236}">
              <a16:creationId xmlns:a16="http://schemas.microsoft.com/office/drawing/2014/main" id="{2D6A7F48-EEF7-4B94-BD0A-771A26F0EF7E}"/>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10007</xdr:rowOff>
    </xdr:from>
    <xdr:to>
      <xdr:col>5</xdr:col>
      <xdr:colOff>121210</xdr:colOff>
      <xdr:row>113</xdr:row>
      <xdr:rowOff>173121</xdr:rowOff>
    </xdr:to>
    <xdr:sp macro="" textlink="">
      <xdr:nvSpPr>
        <xdr:cNvPr id="579" name="Text Box 1" hidden="1">
          <a:extLst>
            <a:ext uri="{FF2B5EF4-FFF2-40B4-BE49-F238E27FC236}">
              <a16:creationId xmlns:a16="http://schemas.microsoft.com/office/drawing/2014/main" id="{FACD8EA4-9849-4B54-A401-EDAEE3933FDD}"/>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580" name="Text Box 72" hidden="1">
          <a:extLst>
            <a:ext uri="{FF2B5EF4-FFF2-40B4-BE49-F238E27FC236}">
              <a16:creationId xmlns:a16="http://schemas.microsoft.com/office/drawing/2014/main" id="{46D709B6-D411-4D65-BA01-F9F4A6061679}"/>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102726</xdr:rowOff>
    </xdr:from>
    <xdr:to>
      <xdr:col>5</xdr:col>
      <xdr:colOff>102160</xdr:colOff>
      <xdr:row>237</xdr:row>
      <xdr:rowOff>125745</xdr:rowOff>
    </xdr:to>
    <xdr:sp macro="" textlink="">
      <xdr:nvSpPr>
        <xdr:cNvPr id="581" name="Text Box 71" hidden="1">
          <a:extLst>
            <a:ext uri="{FF2B5EF4-FFF2-40B4-BE49-F238E27FC236}">
              <a16:creationId xmlns:a16="http://schemas.microsoft.com/office/drawing/2014/main" id="{BBE514C0-8E18-4E44-9556-E811CF64DB13}"/>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102160</xdr:colOff>
      <xdr:row>237</xdr:row>
      <xdr:rowOff>29725</xdr:rowOff>
    </xdr:to>
    <xdr:sp macro="" textlink="">
      <xdr:nvSpPr>
        <xdr:cNvPr id="582" name="Text Box 70" hidden="1">
          <a:extLst>
            <a:ext uri="{FF2B5EF4-FFF2-40B4-BE49-F238E27FC236}">
              <a16:creationId xmlns:a16="http://schemas.microsoft.com/office/drawing/2014/main" id="{14B5733C-7C65-4786-BC0F-14BD197576E2}"/>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102160</xdr:colOff>
      <xdr:row>238</xdr:row>
      <xdr:rowOff>125744</xdr:rowOff>
    </xdr:to>
    <xdr:sp macro="" textlink="">
      <xdr:nvSpPr>
        <xdr:cNvPr id="583" name="Text Box 69" hidden="1">
          <a:extLst>
            <a:ext uri="{FF2B5EF4-FFF2-40B4-BE49-F238E27FC236}">
              <a16:creationId xmlns:a16="http://schemas.microsoft.com/office/drawing/2014/main" id="{A9F197A0-AFE7-4A35-BF84-BC3B65FE0BAE}"/>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102160</xdr:colOff>
      <xdr:row>226</xdr:row>
      <xdr:rowOff>20728</xdr:rowOff>
    </xdr:to>
    <xdr:sp macro="" textlink="">
      <xdr:nvSpPr>
        <xdr:cNvPr id="584" name="Text Box 68" hidden="1">
          <a:extLst>
            <a:ext uri="{FF2B5EF4-FFF2-40B4-BE49-F238E27FC236}">
              <a16:creationId xmlns:a16="http://schemas.microsoft.com/office/drawing/2014/main" id="{7042CA90-B27E-4E4C-AF85-74005D9906E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102160</xdr:colOff>
      <xdr:row>203</xdr:row>
      <xdr:rowOff>29725</xdr:rowOff>
    </xdr:to>
    <xdr:sp macro="" textlink="">
      <xdr:nvSpPr>
        <xdr:cNvPr id="585" name="Text Box 67" hidden="1">
          <a:extLst>
            <a:ext uri="{FF2B5EF4-FFF2-40B4-BE49-F238E27FC236}">
              <a16:creationId xmlns:a16="http://schemas.microsoft.com/office/drawing/2014/main" id="{9B4EB0AF-3D36-4B98-8CFD-5848A3A21234}"/>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88608</xdr:rowOff>
    </xdr:from>
    <xdr:to>
      <xdr:col>5</xdr:col>
      <xdr:colOff>102160</xdr:colOff>
      <xdr:row>204</xdr:row>
      <xdr:rowOff>60106</xdr:rowOff>
    </xdr:to>
    <xdr:sp macro="" textlink="">
      <xdr:nvSpPr>
        <xdr:cNvPr id="586" name="Text Box 66" hidden="1">
          <a:extLst>
            <a:ext uri="{FF2B5EF4-FFF2-40B4-BE49-F238E27FC236}">
              <a16:creationId xmlns:a16="http://schemas.microsoft.com/office/drawing/2014/main" id="{7066EC1D-B740-453A-A597-55D1BCD7B9E3}"/>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63835</xdr:rowOff>
    </xdr:from>
    <xdr:to>
      <xdr:col>5</xdr:col>
      <xdr:colOff>102160</xdr:colOff>
      <xdr:row>205</xdr:row>
      <xdr:rowOff>125744</xdr:rowOff>
    </xdr:to>
    <xdr:sp macro="" textlink="">
      <xdr:nvSpPr>
        <xdr:cNvPr id="587" name="Text Box 65" hidden="1">
          <a:extLst>
            <a:ext uri="{FF2B5EF4-FFF2-40B4-BE49-F238E27FC236}">
              <a16:creationId xmlns:a16="http://schemas.microsoft.com/office/drawing/2014/main" id="{64E731C1-325F-4531-AAC9-C11873DE5D5B}"/>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102160</xdr:colOff>
      <xdr:row>212</xdr:row>
      <xdr:rowOff>77039</xdr:rowOff>
    </xdr:to>
    <xdr:sp macro="" textlink="">
      <xdr:nvSpPr>
        <xdr:cNvPr id="588" name="Text Box 64" hidden="1">
          <a:extLst>
            <a:ext uri="{FF2B5EF4-FFF2-40B4-BE49-F238E27FC236}">
              <a16:creationId xmlns:a16="http://schemas.microsoft.com/office/drawing/2014/main" id="{AFBB076E-3BBC-47EB-8922-2EF770577639}"/>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589" name="Text Box 63" hidden="1">
          <a:extLst>
            <a:ext uri="{FF2B5EF4-FFF2-40B4-BE49-F238E27FC236}">
              <a16:creationId xmlns:a16="http://schemas.microsoft.com/office/drawing/2014/main" id="{15AC95A5-5922-4849-AAA0-A9D5FAAECE26}"/>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493826</xdr:rowOff>
    </xdr:from>
    <xdr:to>
      <xdr:col>5</xdr:col>
      <xdr:colOff>121210</xdr:colOff>
      <xdr:row>59</xdr:row>
      <xdr:rowOff>293768</xdr:rowOff>
    </xdr:to>
    <xdr:sp macro="" textlink="">
      <xdr:nvSpPr>
        <xdr:cNvPr id="590" name="Text Box 62" hidden="1">
          <a:extLst>
            <a:ext uri="{FF2B5EF4-FFF2-40B4-BE49-F238E27FC236}">
              <a16:creationId xmlns:a16="http://schemas.microsoft.com/office/drawing/2014/main" id="{C0498F41-C6E1-4BAF-A7F1-017D3BAA25CC}"/>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133684</xdr:rowOff>
    </xdr:from>
    <xdr:to>
      <xdr:col>5</xdr:col>
      <xdr:colOff>121210</xdr:colOff>
      <xdr:row>58</xdr:row>
      <xdr:rowOff>369768</xdr:rowOff>
    </xdr:to>
    <xdr:sp macro="" textlink="">
      <xdr:nvSpPr>
        <xdr:cNvPr id="591" name="Text Box 61" hidden="1">
          <a:extLst>
            <a:ext uri="{FF2B5EF4-FFF2-40B4-BE49-F238E27FC236}">
              <a16:creationId xmlns:a16="http://schemas.microsoft.com/office/drawing/2014/main" id="{32ECF0B0-B0A4-4377-8913-38A55C01628C}"/>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1655</xdr:rowOff>
    </xdr:from>
    <xdr:to>
      <xdr:col>5</xdr:col>
      <xdr:colOff>121210</xdr:colOff>
      <xdr:row>60</xdr:row>
      <xdr:rowOff>312224</xdr:rowOff>
    </xdr:to>
    <xdr:sp macro="" textlink="">
      <xdr:nvSpPr>
        <xdr:cNvPr id="592" name="Text Box 60" hidden="1">
          <a:extLst>
            <a:ext uri="{FF2B5EF4-FFF2-40B4-BE49-F238E27FC236}">
              <a16:creationId xmlns:a16="http://schemas.microsoft.com/office/drawing/2014/main" id="{6E4F98D8-33B7-464A-AA7D-43948A35F068}"/>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163596</xdr:rowOff>
    </xdr:from>
    <xdr:to>
      <xdr:col>5</xdr:col>
      <xdr:colOff>121210</xdr:colOff>
      <xdr:row>60</xdr:row>
      <xdr:rowOff>130205</xdr:rowOff>
    </xdr:to>
    <xdr:sp macro="" textlink="">
      <xdr:nvSpPr>
        <xdr:cNvPr id="593" name="Text Box 59" hidden="1">
          <a:extLst>
            <a:ext uri="{FF2B5EF4-FFF2-40B4-BE49-F238E27FC236}">
              <a16:creationId xmlns:a16="http://schemas.microsoft.com/office/drawing/2014/main" id="{AB7DD90F-3AB8-41B9-A900-861C18066294}"/>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150896</xdr:rowOff>
    </xdr:from>
    <xdr:to>
      <xdr:col>5</xdr:col>
      <xdr:colOff>121210</xdr:colOff>
      <xdr:row>62</xdr:row>
      <xdr:rowOff>60243</xdr:rowOff>
    </xdr:to>
    <xdr:sp macro="" textlink="">
      <xdr:nvSpPr>
        <xdr:cNvPr id="594" name="Text Box 58" hidden="1">
          <a:extLst>
            <a:ext uri="{FF2B5EF4-FFF2-40B4-BE49-F238E27FC236}">
              <a16:creationId xmlns:a16="http://schemas.microsoft.com/office/drawing/2014/main" id="{35CE8C15-B184-49D3-9002-345FAC77B03C}"/>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344594</xdr:rowOff>
    </xdr:from>
    <xdr:to>
      <xdr:col>5</xdr:col>
      <xdr:colOff>121210</xdr:colOff>
      <xdr:row>61</xdr:row>
      <xdr:rowOff>288909</xdr:rowOff>
    </xdr:to>
    <xdr:sp macro="" textlink="">
      <xdr:nvSpPr>
        <xdr:cNvPr id="595" name="Text Box 57" hidden="1">
          <a:extLst>
            <a:ext uri="{FF2B5EF4-FFF2-40B4-BE49-F238E27FC236}">
              <a16:creationId xmlns:a16="http://schemas.microsoft.com/office/drawing/2014/main" id="{24F681D4-48E1-4E15-BA52-F504B2E3F975}"/>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131397</xdr:rowOff>
    </xdr:from>
    <xdr:to>
      <xdr:col>5</xdr:col>
      <xdr:colOff>121210</xdr:colOff>
      <xdr:row>63</xdr:row>
      <xdr:rowOff>2284</xdr:rowOff>
    </xdr:to>
    <xdr:sp macro="" textlink="">
      <xdr:nvSpPr>
        <xdr:cNvPr id="596" name="Text Box 56" hidden="1">
          <a:extLst>
            <a:ext uri="{FF2B5EF4-FFF2-40B4-BE49-F238E27FC236}">
              <a16:creationId xmlns:a16="http://schemas.microsoft.com/office/drawing/2014/main" id="{97D1FBD7-CA98-4353-B87A-4DBE369AE451}"/>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332628</xdr:rowOff>
    </xdr:from>
    <xdr:to>
      <xdr:col>5</xdr:col>
      <xdr:colOff>121210</xdr:colOff>
      <xdr:row>62</xdr:row>
      <xdr:rowOff>197883</xdr:rowOff>
    </xdr:to>
    <xdr:sp macro="" textlink="">
      <xdr:nvSpPr>
        <xdr:cNvPr id="597" name="Text Box 55" hidden="1">
          <a:extLst>
            <a:ext uri="{FF2B5EF4-FFF2-40B4-BE49-F238E27FC236}">
              <a16:creationId xmlns:a16="http://schemas.microsoft.com/office/drawing/2014/main" id="{7D908981-6E3D-4131-8426-E569E278F7A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96862</xdr:rowOff>
    </xdr:from>
    <xdr:to>
      <xdr:col>5</xdr:col>
      <xdr:colOff>121210</xdr:colOff>
      <xdr:row>65</xdr:row>
      <xdr:rowOff>2802</xdr:rowOff>
    </xdr:to>
    <xdr:sp macro="" textlink="">
      <xdr:nvSpPr>
        <xdr:cNvPr id="598" name="Text Box 54" hidden="1">
          <a:extLst>
            <a:ext uri="{FF2B5EF4-FFF2-40B4-BE49-F238E27FC236}">
              <a16:creationId xmlns:a16="http://schemas.microsoft.com/office/drawing/2014/main" id="{33FF0A38-FA83-4363-A0DA-CDC4A54AF442}"/>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345033</xdr:rowOff>
    </xdr:from>
    <xdr:to>
      <xdr:col>5</xdr:col>
      <xdr:colOff>121210</xdr:colOff>
      <xdr:row>63</xdr:row>
      <xdr:rowOff>207894</xdr:rowOff>
    </xdr:to>
    <xdr:sp macro="" textlink="">
      <xdr:nvSpPr>
        <xdr:cNvPr id="599" name="Text Box 53" hidden="1">
          <a:extLst>
            <a:ext uri="{FF2B5EF4-FFF2-40B4-BE49-F238E27FC236}">
              <a16:creationId xmlns:a16="http://schemas.microsoft.com/office/drawing/2014/main" id="{E45C3934-58AB-43A5-ACA5-5F7C2554CC38}"/>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250529</xdr:rowOff>
    </xdr:from>
    <xdr:to>
      <xdr:col>5</xdr:col>
      <xdr:colOff>121210</xdr:colOff>
      <xdr:row>82</xdr:row>
      <xdr:rowOff>49523</xdr:rowOff>
    </xdr:to>
    <xdr:sp macro="" textlink="">
      <xdr:nvSpPr>
        <xdr:cNvPr id="600" name="Text Box 52" hidden="1">
          <a:extLst>
            <a:ext uri="{FF2B5EF4-FFF2-40B4-BE49-F238E27FC236}">
              <a16:creationId xmlns:a16="http://schemas.microsoft.com/office/drawing/2014/main" id="{1A947969-3950-45D2-833E-30F0C917BCD7}"/>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68236</xdr:rowOff>
    </xdr:from>
    <xdr:to>
      <xdr:col>5</xdr:col>
      <xdr:colOff>121210</xdr:colOff>
      <xdr:row>81</xdr:row>
      <xdr:rowOff>75318</xdr:rowOff>
    </xdr:to>
    <xdr:sp macro="" textlink="">
      <xdr:nvSpPr>
        <xdr:cNvPr id="601" name="Text Box 51" hidden="1">
          <a:extLst>
            <a:ext uri="{FF2B5EF4-FFF2-40B4-BE49-F238E27FC236}">
              <a16:creationId xmlns:a16="http://schemas.microsoft.com/office/drawing/2014/main" id="{94A6CA33-7B6D-4DBC-A1BD-147B2ED7EBC4}"/>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1770</xdr:rowOff>
    </xdr:from>
    <xdr:to>
      <xdr:col>5</xdr:col>
      <xdr:colOff>121210</xdr:colOff>
      <xdr:row>84</xdr:row>
      <xdr:rowOff>28774</xdr:rowOff>
    </xdr:to>
    <xdr:sp macro="" textlink="">
      <xdr:nvSpPr>
        <xdr:cNvPr id="602" name="Text Box 50" hidden="1">
          <a:extLst>
            <a:ext uri="{FF2B5EF4-FFF2-40B4-BE49-F238E27FC236}">
              <a16:creationId xmlns:a16="http://schemas.microsoft.com/office/drawing/2014/main" id="{F0E745B7-A338-4BC8-B121-52837F285065}"/>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31372</xdr:rowOff>
    </xdr:from>
    <xdr:to>
      <xdr:col>5</xdr:col>
      <xdr:colOff>121210</xdr:colOff>
      <xdr:row>83</xdr:row>
      <xdr:rowOff>45142</xdr:rowOff>
    </xdr:to>
    <xdr:sp macro="" textlink="">
      <xdr:nvSpPr>
        <xdr:cNvPr id="603" name="Text Box 49" hidden="1">
          <a:extLst>
            <a:ext uri="{FF2B5EF4-FFF2-40B4-BE49-F238E27FC236}">
              <a16:creationId xmlns:a16="http://schemas.microsoft.com/office/drawing/2014/main" id="{09B68D51-3485-4B93-A800-9C70AB0580BC}"/>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121210</xdr:colOff>
      <xdr:row>86</xdr:row>
      <xdr:rowOff>10492</xdr:rowOff>
    </xdr:to>
    <xdr:sp macro="" textlink="">
      <xdr:nvSpPr>
        <xdr:cNvPr id="604" name="Text Box 48" hidden="1">
          <a:extLst>
            <a:ext uri="{FF2B5EF4-FFF2-40B4-BE49-F238E27FC236}">
              <a16:creationId xmlns:a16="http://schemas.microsoft.com/office/drawing/2014/main" id="{9B722FD3-A9D4-405F-AFB5-6EE348351E3F}"/>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6784</xdr:rowOff>
    </xdr:from>
    <xdr:to>
      <xdr:col>5</xdr:col>
      <xdr:colOff>121210</xdr:colOff>
      <xdr:row>85</xdr:row>
      <xdr:rowOff>26398</xdr:rowOff>
    </xdr:to>
    <xdr:sp macro="" textlink="">
      <xdr:nvSpPr>
        <xdr:cNvPr id="605" name="Text Box 47" hidden="1">
          <a:extLst>
            <a:ext uri="{FF2B5EF4-FFF2-40B4-BE49-F238E27FC236}">
              <a16:creationId xmlns:a16="http://schemas.microsoft.com/office/drawing/2014/main" id="{0353CC0F-9EAE-488E-9D66-805A5EA3C960}"/>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121210</xdr:colOff>
      <xdr:row>86</xdr:row>
      <xdr:rowOff>371849</xdr:rowOff>
    </xdr:to>
    <xdr:sp macro="" textlink="">
      <xdr:nvSpPr>
        <xdr:cNvPr id="606" name="Text Box 46" hidden="1">
          <a:extLst>
            <a:ext uri="{FF2B5EF4-FFF2-40B4-BE49-F238E27FC236}">
              <a16:creationId xmlns:a16="http://schemas.microsoft.com/office/drawing/2014/main" id="{BFF3EB82-465C-4EF0-875B-A5A8C67801EF}"/>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11393</xdr:rowOff>
    </xdr:from>
    <xdr:to>
      <xdr:col>5</xdr:col>
      <xdr:colOff>121210</xdr:colOff>
      <xdr:row>86</xdr:row>
      <xdr:rowOff>177958</xdr:rowOff>
    </xdr:to>
    <xdr:sp macro="" textlink="">
      <xdr:nvSpPr>
        <xdr:cNvPr id="607" name="Text Box 45" hidden="1">
          <a:extLst>
            <a:ext uri="{FF2B5EF4-FFF2-40B4-BE49-F238E27FC236}">
              <a16:creationId xmlns:a16="http://schemas.microsoft.com/office/drawing/2014/main" id="{BAA3FD1B-DF17-4AAB-84F0-AC95CA9C5DD6}"/>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8205</xdr:rowOff>
    </xdr:from>
    <xdr:to>
      <xdr:col>5</xdr:col>
      <xdr:colOff>121210</xdr:colOff>
      <xdr:row>109</xdr:row>
      <xdr:rowOff>88657</xdr:rowOff>
    </xdr:to>
    <xdr:sp macro="" textlink="">
      <xdr:nvSpPr>
        <xdr:cNvPr id="608" name="Text Box 44" hidden="1">
          <a:extLst>
            <a:ext uri="{FF2B5EF4-FFF2-40B4-BE49-F238E27FC236}">
              <a16:creationId xmlns:a16="http://schemas.microsoft.com/office/drawing/2014/main" id="{CF59A981-0D8D-4585-B71D-BA6ADC206C3C}"/>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95568</xdr:rowOff>
    </xdr:from>
    <xdr:to>
      <xdr:col>5</xdr:col>
      <xdr:colOff>121210</xdr:colOff>
      <xdr:row>108</xdr:row>
      <xdr:rowOff>67311</xdr:rowOff>
    </xdr:to>
    <xdr:sp macro="" textlink="">
      <xdr:nvSpPr>
        <xdr:cNvPr id="609" name="Text Box 43" hidden="1">
          <a:extLst>
            <a:ext uri="{FF2B5EF4-FFF2-40B4-BE49-F238E27FC236}">
              <a16:creationId xmlns:a16="http://schemas.microsoft.com/office/drawing/2014/main" id="{FB77776D-6B95-479B-ABB0-EF4EC782A4C1}"/>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158770</xdr:rowOff>
    </xdr:from>
    <xdr:to>
      <xdr:col>5</xdr:col>
      <xdr:colOff>121210</xdr:colOff>
      <xdr:row>111</xdr:row>
      <xdr:rowOff>47881</xdr:rowOff>
    </xdr:to>
    <xdr:sp macro="" textlink="">
      <xdr:nvSpPr>
        <xdr:cNvPr id="610" name="Text Box 42" hidden="1">
          <a:extLst>
            <a:ext uri="{FF2B5EF4-FFF2-40B4-BE49-F238E27FC236}">
              <a16:creationId xmlns:a16="http://schemas.microsoft.com/office/drawing/2014/main" id="{B7EF6389-AF9E-489C-98D4-634834B12DDB}"/>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196970</xdr:rowOff>
    </xdr:from>
    <xdr:to>
      <xdr:col>5</xdr:col>
      <xdr:colOff>121210</xdr:colOff>
      <xdr:row>110</xdr:row>
      <xdr:rowOff>29325</xdr:rowOff>
    </xdr:to>
    <xdr:sp macro="" textlink="">
      <xdr:nvSpPr>
        <xdr:cNvPr id="611" name="Text Box 41" hidden="1">
          <a:extLst>
            <a:ext uri="{FF2B5EF4-FFF2-40B4-BE49-F238E27FC236}">
              <a16:creationId xmlns:a16="http://schemas.microsoft.com/office/drawing/2014/main" id="{6136D566-0346-4223-B181-76ED9D542125}"/>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162841</xdr:rowOff>
    </xdr:from>
    <xdr:to>
      <xdr:col>5</xdr:col>
      <xdr:colOff>121210</xdr:colOff>
      <xdr:row>112</xdr:row>
      <xdr:rowOff>161124</xdr:rowOff>
    </xdr:to>
    <xdr:sp macro="" textlink="">
      <xdr:nvSpPr>
        <xdr:cNvPr id="612" name="Text Box 40" hidden="1">
          <a:extLst>
            <a:ext uri="{FF2B5EF4-FFF2-40B4-BE49-F238E27FC236}">
              <a16:creationId xmlns:a16="http://schemas.microsoft.com/office/drawing/2014/main" id="{6C9E7704-B146-4270-B9FC-7057E346FA83}"/>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11828</xdr:rowOff>
    </xdr:from>
    <xdr:to>
      <xdr:col>5</xdr:col>
      <xdr:colOff>121210</xdr:colOff>
      <xdr:row>111</xdr:row>
      <xdr:rowOff>152631</xdr:rowOff>
    </xdr:to>
    <xdr:sp macro="" textlink="">
      <xdr:nvSpPr>
        <xdr:cNvPr id="613" name="Text Box 39" hidden="1">
          <a:extLst>
            <a:ext uri="{FF2B5EF4-FFF2-40B4-BE49-F238E27FC236}">
              <a16:creationId xmlns:a16="http://schemas.microsoft.com/office/drawing/2014/main" id="{9934DFFF-02E0-4757-96EE-D0C87FE3CCC3}"/>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159792</xdr:rowOff>
    </xdr:from>
    <xdr:to>
      <xdr:col>5</xdr:col>
      <xdr:colOff>121210</xdr:colOff>
      <xdr:row>115</xdr:row>
      <xdr:rowOff>1655</xdr:rowOff>
    </xdr:to>
    <xdr:sp macro="" textlink="">
      <xdr:nvSpPr>
        <xdr:cNvPr id="614" name="Text Box 38" hidden="1">
          <a:extLst>
            <a:ext uri="{FF2B5EF4-FFF2-40B4-BE49-F238E27FC236}">
              <a16:creationId xmlns:a16="http://schemas.microsoft.com/office/drawing/2014/main" id="{4B0AD6FD-E0AE-4FD6-A64D-CA3EAEFCAA13}"/>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10007</xdr:rowOff>
    </xdr:from>
    <xdr:to>
      <xdr:col>5</xdr:col>
      <xdr:colOff>121210</xdr:colOff>
      <xdr:row>113</xdr:row>
      <xdr:rowOff>173121</xdr:rowOff>
    </xdr:to>
    <xdr:sp macro="" textlink="">
      <xdr:nvSpPr>
        <xdr:cNvPr id="615" name="Text Box 37" hidden="1">
          <a:extLst>
            <a:ext uri="{FF2B5EF4-FFF2-40B4-BE49-F238E27FC236}">
              <a16:creationId xmlns:a16="http://schemas.microsoft.com/office/drawing/2014/main" id="{D7B1C7F8-41C8-44A0-A8A9-532A78E772F6}"/>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616" name="Text Box 108" hidden="1">
          <a:extLst>
            <a:ext uri="{FF2B5EF4-FFF2-40B4-BE49-F238E27FC236}">
              <a16:creationId xmlns:a16="http://schemas.microsoft.com/office/drawing/2014/main" id="{8630D01A-5451-4588-8D39-6CC4E314A1F5}"/>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125690</xdr:rowOff>
    </xdr:from>
    <xdr:to>
      <xdr:col>5</xdr:col>
      <xdr:colOff>102160</xdr:colOff>
      <xdr:row>224</xdr:row>
      <xdr:rowOff>107433</xdr:rowOff>
    </xdr:to>
    <xdr:sp macro="" textlink="">
      <xdr:nvSpPr>
        <xdr:cNvPr id="617" name="Text Box 107" hidden="1">
          <a:extLst>
            <a:ext uri="{FF2B5EF4-FFF2-40B4-BE49-F238E27FC236}">
              <a16:creationId xmlns:a16="http://schemas.microsoft.com/office/drawing/2014/main" id="{B3F0B30F-B085-4A36-A652-2C3BCF7F0883}"/>
            </a:ext>
          </a:extLst>
        </xdr:cNvPr>
        <xdr:cNvSpPr txBox="1">
          <a:spLocks noChangeArrowheads="1"/>
        </xdr:cNvSpPr>
      </xdr:nvSpPr>
      <xdr:spPr bwMode="auto">
        <a:xfrm>
          <a:off x="3981263" y="40054490"/>
          <a:ext cx="1312022" cy="4144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58465</xdr:rowOff>
    </xdr:from>
    <xdr:to>
      <xdr:col>5</xdr:col>
      <xdr:colOff>102160</xdr:colOff>
      <xdr:row>224</xdr:row>
      <xdr:rowOff>29911</xdr:rowOff>
    </xdr:to>
    <xdr:sp macro="" textlink="">
      <xdr:nvSpPr>
        <xdr:cNvPr id="618" name="Text Box 106" hidden="1">
          <a:extLst>
            <a:ext uri="{FF2B5EF4-FFF2-40B4-BE49-F238E27FC236}">
              <a16:creationId xmlns:a16="http://schemas.microsoft.com/office/drawing/2014/main" id="{784A4286-6C58-47FB-AF58-E78C0BBCB743}"/>
            </a:ext>
          </a:extLst>
        </xdr:cNvPr>
        <xdr:cNvSpPr txBox="1">
          <a:spLocks noChangeArrowheads="1"/>
        </xdr:cNvSpPr>
      </xdr:nvSpPr>
      <xdr:spPr bwMode="auto">
        <a:xfrm>
          <a:off x="3981263" y="40349215"/>
          <a:ext cx="1312022" cy="37719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21300</xdr:rowOff>
    </xdr:from>
    <xdr:to>
      <xdr:col>5</xdr:col>
      <xdr:colOff>102160</xdr:colOff>
      <xdr:row>225</xdr:row>
      <xdr:rowOff>107433</xdr:rowOff>
    </xdr:to>
    <xdr:sp macro="" textlink="">
      <xdr:nvSpPr>
        <xdr:cNvPr id="619" name="Text Box 105" hidden="1">
          <a:extLst>
            <a:ext uri="{FF2B5EF4-FFF2-40B4-BE49-F238E27FC236}">
              <a16:creationId xmlns:a16="http://schemas.microsoft.com/office/drawing/2014/main" id="{A6BE474C-F95B-4074-9590-0CB9195FD21C}"/>
            </a:ext>
          </a:extLst>
        </xdr:cNvPr>
        <xdr:cNvSpPr txBox="1">
          <a:spLocks noChangeArrowheads="1"/>
        </xdr:cNvSpPr>
      </xdr:nvSpPr>
      <xdr:spPr bwMode="auto">
        <a:xfrm>
          <a:off x="3981263" y="40854975"/>
          <a:ext cx="1312022" cy="35246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21298</xdr:rowOff>
    </xdr:from>
    <xdr:to>
      <xdr:col>5</xdr:col>
      <xdr:colOff>102160</xdr:colOff>
      <xdr:row>213</xdr:row>
      <xdr:rowOff>31235</xdr:rowOff>
    </xdr:to>
    <xdr:sp macro="" textlink="">
      <xdr:nvSpPr>
        <xdr:cNvPr id="620" name="Text Box 104" hidden="1">
          <a:extLst>
            <a:ext uri="{FF2B5EF4-FFF2-40B4-BE49-F238E27FC236}">
              <a16:creationId xmlns:a16="http://schemas.microsoft.com/office/drawing/2014/main" id="{EB9D0536-820D-408D-9C3A-4B2E14CFF3DC}"/>
            </a:ext>
          </a:extLst>
        </xdr:cNvPr>
        <xdr:cNvSpPr txBox="1">
          <a:spLocks noChangeArrowheads="1"/>
        </xdr:cNvSpPr>
      </xdr:nvSpPr>
      <xdr:spPr bwMode="auto">
        <a:xfrm>
          <a:off x="3981263" y="41035948"/>
          <a:ext cx="1312022" cy="109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31234</xdr:rowOff>
    </xdr:from>
    <xdr:to>
      <xdr:col>5</xdr:col>
      <xdr:colOff>102160</xdr:colOff>
      <xdr:row>190</xdr:row>
      <xdr:rowOff>142593</xdr:rowOff>
    </xdr:to>
    <xdr:sp macro="" textlink="">
      <xdr:nvSpPr>
        <xdr:cNvPr id="621" name="Text Box 103" hidden="1">
          <a:extLst>
            <a:ext uri="{FF2B5EF4-FFF2-40B4-BE49-F238E27FC236}">
              <a16:creationId xmlns:a16="http://schemas.microsoft.com/office/drawing/2014/main" id="{AA1CEBE9-135A-4968-9CBB-6CCDFD791C72}"/>
            </a:ext>
          </a:extLst>
        </xdr:cNvPr>
        <xdr:cNvSpPr txBox="1">
          <a:spLocks noChangeArrowheads="1"/>
        </xdr:cNvSpPr>
      </xdr:nvSpPr>
      <xdr:spPr bwMode="auto">
        <a:xfrm>
          <a:off x="3981263" y="37064434"/>
          <a:ext cx="1312022" cy="1016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86101</xdr:rowOff>
    </xdr:from>
    <xdr:to>
      <xdr:col>5</xdr:col>
      <xdr:colOff>102160</xdr:colOff>
      <xdr:row>191</xdr:row>
      <xdr:rowOff>144972</xdr:rowOff>
    </xdr:to>
    <xdr:sp macro="" textlink="">
      <xdr:nvSpPr>
        <xdr:cNvPr id="622" name="Text Box 102" hidden="1">
          <a:extLst>
            <a:ext uri="{FF2B5EF4-FFF2-40B4-BE49-F238E27FC236}">
              <a16:creationId xmlns:a16="http://schemas.microsoft.com/office/drawing/2014/main" id="{6A0F56D7-E86E-4865-B2B4-391007D75A2C}"/>
            </a:ext>
          </a:extLst>
        </xdr:cNvPr>
        <xdr:cNvSpPr txBox="1">
          <a:spLocks noChangeArrowheads="1"/>
        </xdr:cNvSpPr>
      </xdr:nvSpPr>
      <xdr:spPr bwMode="auto">
        <a:xfrm>
          <a:off x="3981263" y="37481251"/>
          <a:ext cx="1312022" cy="782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18918</xdr:rowOff>
    </xdr:from>
    <xdr:to>
      <xdr:col>5</xdr:col>
      <xdr:colOff>102160</xdr:colOff>
      <xdr:row>192</xdr:row>
      <xdr:rowOff>163230</xdr:rowOff>
    </xdr:to>
    <xdr:sp macro="" textlink="">
      <xdr:nvSpPr>
        <xdr:cNvPr id="623" name="Text Box 101" hidden="1">
          <a:extLst>
            <a:ext uri="{FF2B5EF4-FFF2-40B4-BE49-F238E27FC236}">
              <a16:creationId xmlns:a16="http://schemas.microsoft.com/office/drawing/2014/main" id="{EB2B5327-2310-470B-BC2F-5198D0F3AC9E}"/>
            </a:ext>
          </a:extLst>
        </xdr:cNvPr>
        <xdr:cNvSpPr txBox="1">
          <a:spLocks noChangeArrowheads="1"/>
        </xdr:cNvSpPr>
      </xdr:nvSpPr>
      <xdr:spPr bwMode="auto">
        <a:xfrm>
          <a:off x="3981263" y="37776018"/>
          <a:ext cx="1312022" cy="6872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163615</xdr:rowOff>
    </xdr:from>
    <xdr:to>
      <xdr:col>5</xdr:col>
      <xdr:colOff>102160</xdr:colOff>
      <xdr:row>199</xdr:row>
      <xdr:rowOff>95530</xdr:rowOff>
    </xdr:to>
    <xdr:sp macro="" textlink="">
      <xdr:nvSpPr>
        <xdr:cNvPr id="624" name="Text Box 100" hidden="1">
          <a:extLst>
            <a:ext uri="{FF2B5EF4-FFF2-40B4-BE49-F238E27FC236}">
              <a16:creationId xmlns:a16="http://schemas.microsoft.com/office/drawing/2014/main" id="{07D89F7A-E5CE-4DFE-89B3-9D71C33786D8}"/>
            </a:ext>
          </a:extLst>
        </xdr:cNvPr>
        <xdr:cNvSpPr txBox="1">
          <a:spLocks noChangeArrowheads="1"/>
        </xdr:cNvSpPr>
      </xdr:nvSpPr>
      <xdr:spPr bwMode="auto">
        <a:xfrm>
          <a:off x="3981263" y="38101690"/>
          <a:ext cx="1312022" cy="15606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625" name="Text Box 99" hidden="1">
          <a:extLst>
            <a:ext uri="{FF2B5EF4-FFF2-40B4-BE49-F238E27FC236}">
              <a16:creationId xmlns:a16="http://schemas.microsoft.com/office/drawing/2014/main" id="{26744F68-75C8-4F43-8341-020F7F3074C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114634</xdr:rowOff>
    </xdr:from>
    <xdr:to>
      <xdr:col>5</xdr:col>
      <xdr:colOff>121210</xdr:colOff>
      <xdr:row>58</xdr:row>
      <xdr:rowOff>369768</xdr:rowOff>
    </xdr:to>
    <xdr:sp macro="" textlink="">
      <xdr:nvSpPr>
        <xdr:cNvPr id="626" name="Text Box 98" hidden="1">
          <a:extLst>
            <a:ext uri="{FF2B5EF4-FFF2-40B4-BE49-F238E27FC236}">
              <a16:creationId xmlns:a16="http://schemas.microsoft.com/office/drawing/2014/main" id="{B2EEA5D3-CC09-481B-9930-A85B872CF404}"/>
            </a:ext>
          </a:extLst>
        </xdr:cNvPr>
        <xdr:cNvSpPr txBox="1">
          <a:spLocks noChangeArrowheads="1"/>
        </xdr:cNvSpPr>
      </xdr:nvSpPr>
      <xdr:spPr bwMode="auto">
        <a:xfrm>
          <a:off x="4000313" y="11677984"/>
          <a:ext cx="1312022" cy="7821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339856</xdr:rowOff>
    </xdr:from>
    <xdr:to>
      <xdr:col>5</xdr:col>
      <xdr:colOff>121210</xdr:colOff>
      <xdr:row>59</xdr:row>
      <xdr:rowOff>160470</xdr:rowOff>
    </xdr:to>
    <xdr:sp macro="" textlink="">
      <xdr:nvSpPr>
        <xdr:cNvPr id="627" name="Text Box 96" hidden="1">
          <a:extLst>
            <a:ext uri="{FF2B5EF4-FFF2-40B4-BE49-F238E27FC236}">
              <a16:creationId xmlns:a16="http://schemas.microsoft.com/office/drawing/2014/main" id="{6FBC41C1-4516-4A29-B081-4F4BD8D37367}"/>
            </a:ext>
          </a:extLst>
        </xdr:cNvPr>
        <xdr:cNvSpPr txBox="1">
          <a:spLocks noChangeArrowheads="1"/>
        </xdr:cNvSpPr>
      </xdr:nvSpPr>
      <xdr:spPr bwMode="auto">
        <a:xfrm>
          <a:off x="4000313" y="11906381"/>
          <a:ext cx="1312022" cy="7318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369768</xdr:rowOff>
    </xdr:from>
    <xdr:to>
      <xdr:col>5</xdr:col>
      <xdr:colOff>121210</xdr:colOff>
      <xdr:row>60</xdr:row>
      <xdr:rowOff>286322</xdr:rowOff>
    </xdr:to>
    <xdr:sp macro="" textlink="">
      <xdr:nvSpPr>
        <xdr:cNvPr id="628" name="Text Box 94" hidden="1">
          <a:extLst>
            <a:ext uri="{FF2B5EF4-FFF2-40B4-BE49-F238E27FC236}">
              <a16:creationId xmlns:a16="http://schemas.microsoft.com/office/drawing/2014/main" id="{0C2749C8-FA7D-4E7C-A2BF-74FDBEDF58DA}"/>
            </a:ext>
          </a:extLst>
        </xdr:cNvPr>
        <xdr:cNvSpPr txBox="1">
          <a:spLocks noChangeArrowheads="1"/>
        </xdr:cNvSpPr>
      </xdr:nvSpPr>
      <xdr:spPr bwMode="auto">
        <a:xfrm>
          <a:off x="4000313" y="12460168"/>
          <a:ext cx="1312022" cy="6912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160470</xdr:rowOff>
    </xdr:from>
    <xdr:to>
      <xdr:col>5</xdr:col>
      <xdr:colOff>121210</xdr:colOff>
      <xdr:row>61</xdr:row>
      <xdr:rowOff>115368</xdr:rowOff>
    </xdr:to>
    <xdr:sp macro="" textlink="">
      <xdr:nvSpPr>
        <xdr:cNvPr id="629" name="Text Box 92" hidden="1">
          <a:extLst>
            <a:ext uri="{FF2B5EF4-FFF2-40B4-BE49-F238E27FC236}">
              <a16:creationId xmlns:a16="http://schemas.microsoft.com/office/drawing/2014/main" id="{693752D2-A855-43E8-9BD2-1F9DA0E08311}"/>
            </a:ext>
          </a:extLst>
        </xdr:cNvPr>
        <xdr:cNvSpPr txBox="1">
          <a:spLocks noChangeArrowheads="1"/>
        </xdr:cNvSpPr>
      </xdr:nvSpPr>
      <xdr:spPr bwMode="auto">
        <a:xfrm>
          <a:off x="4000313" y="12638220"/>
          <a:ext cx="1312022" cy="7359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345627</xdr:rowOff>
    </xdr:from>
    <xdr:to>
      <xdr:col>5</xdr:col>
      <xdr:colOff>121210</xdr:colOff>
      <xdr:row>61</xdr:row>
      <xdr:rowOff>264973</xdr:rowOff>
    </xdr:to>
    <xdr:sp macro="" textlink="">
      <xdr:nvSpPr>
        <xdr:cNvPr id="630" name="Text Box 90" hidden="1">
          <a:extLst>
            <a:ext uri="{FF2B5EF4-FFF2-40B4-BE49-F238E27FC236}">
              <a16:creationId xmlns:a16="http://schemas.microsoft.com/office/drawing/2014/main" id="{AF12E8E6-7560-4761-A409-AAB67AC4CD38}"/>
            </a:ext>
          </a:extLst>
        </xdr:cNvPr>
        <xdr:cNvSpPr txBox="1">
          <a:spLocks noChangeArrowheads="1"/>
        </xdr:cNvSpPr>
      </xdr:nvSpPr>
      <xdr:spPr bwMode="auto">
        <a:xfrm>
          <a:off x="4000313" y="12823377"/>
          <a:ext cx="1312022" cy="7003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73</xdr:row>
      <xdr:rowOff>113455</xdr:rowOff>
    </xdr:from>
    <xdr:to>
      <xdr:col>5</xdr:col>
      <xdr:colOff>121210</xdr:colOff>
      <xdr:row>77</xdr:row>
      <xdr:rowOff>174427</xdr:rowOff>
    </xdr:to>
    <xdr:sp macro="" textlink="">
      <xdr:nvSpPr>
        <xdr:cNvPr id="631" name="Text Box 88" hidden="1">
          <a:extLst>
            <a:ext uri="{FF2B5EF4-FFF2-40B4-BE49-F238E27FC236}">
              <a16:creationId xmlns:a16="http://schemas.microsoft.com/office/drawing/2014/main" id="{C09F06F6-9130-4D73-9EB6-BFD9333CE164}"/>
            </a:ext>
          </a:extLst>
        </xdr:cNvPr>
        <xdr:cNvSpPr txBox="1">
          <a:spLocks noChangeArrowheads="1"/>
        </xdr:cNvSpPr>
      </xdr:nvSpPr>
      <xdr:spPr bwMode="auto">
        <a:xfrm>
          <a:off x="4000313" y="16137680"/>
          <a:ext cx="1312022" cy="778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74</xdr:row>
      <xdr:rowOff>84692</xdr:rowOff>
    </xdr:from>
    <xdr:to>
      <xdr:col>5</xdr:col>
      <xdr:colOff>121210</xdr:colOff>
      <xdr:row>78</xdr:row>
      <xdr:rowOff>125562</xdr:rowOff>
    </xdr:to>
    <xdr:sp macro="" textlink="">
      <xdr:nvSpPr>
        <xdr:cNvPr id="632" name="Text Box 86" hidden="1">
          <a:extLst>
            <a:ext uri="{FF2B5EF4-FFF2-40B4-BE49-F238E27FC236}">
              <a16:creationId xmlns:a16="http://schemas.microsoft.com/office/drawing/2014/main" id="{26AFB613-AFCA-4CE8-BC83-FFA6CC4D54F0}"/>
            </a:ext>
          </a:extLst>
        </xdr:cNvPr>
        <xdr:cNvSpPr txBox="1">
          <a:spLocks noChangeArrowheads="1"/>
        </xdr:cNvSpPr>
      </xdr:nvSpPr>
      <xdr:spPr bwMode="auto">
        <a:xfrm>
          <a:off x="4000313" y="16289892"/>
          <a:ext cx="1312022" cy="796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75583</xdr:rowOff>
    </xdr:from>
    <xdr:to>
      <xdr:col>5</xdr:col>
      <xdr:colOff>121210</xdr:colOff>
      <xdr:row>78</xdr:row>
      <xdr:rowOff>304914</xdr:rowOff>
    </xdr:to>
    <xdr:sp macro="" textlink="">
      <xdr:nvSpPr>
        <xdr:cNvPr id="633" name="Text Box 84" hidden="1">
          <a:extLst>
            <a:ext uri="{FF2B5EF4-FFF2-40B4-BE49-F238E27FC236}">
              <a16:creationId xmlns:a16="http://schemas.microsoft.com/office/drawing/2014/main" id="{654AC969-66FF-431E-B634-5C8E7543D197}"/>
            </a:ext>
          </a:extLst>
        </xdr:cNvPr>
        <xdr:cNvSpPr txBox="1">
          <a:spLocks noChangeArrowheads="1"/>
        </xdr:cNvSpPr>
      </xdr:nvSpPr>
      <xdr:spPr bwMode="auto">
        <a:xfrm>
          <a:off x="4000313" y="16461758"/>
          <a:ext cx="1312022" cy="8071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76</xdr:row>
      <xdr:rowOff>88624</xdr:rowOff>
    </xdr:from>
    <xdr:to>
      <xdr:col>5</xdr:col>
      <xdr:colOff>121210</xdr:colOff>
      <xdr:row>79</xdr:row>
      <xdr:rowOff>93673</xdr:rowOff>
    </xdr:to>
    <xdr:sp macro="" textlink="">
      <xdr:nvSpPr>
        <xdr:cNvPr id="634" name="Text Box 82" hidden="1">
          <a:extLst>
            <a:ext uri="{FF2B5EF4-FFF2-40B4-BE49-F238E27FC236}">
              <a16:creationId xmlns:a16="http://schemas.microsoft.com/office/drawing/2014/main" id="{5EFF934E-8D91-44C1-8D02-D31DD4731DD7}"/>
            </a:ext>
          </a:extLst>
        </xdr:cNvPr>
        <xdr:cNvSpPr txBox="1">
          <a:spLocks noChangeArrowheads="1"/>
        </xdr:cNvSpPr>
      </xdr:nvSpPr>
      <xdr:spPr bwMode="auto">
        <a:xfrm>
          <a:off x="4000313" y="16649424"/>
          <a:ext cx="1312022" cy="7892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95</xdr:row>
      <xdr:rowOff>105550</xdr:rowOff>
    </xdr:from>
    <xdr:to>
      <xdr:col>5</xdr:col>
      <xdr:colOff>121210</xdr:colOff>
      <xdr:row>100</xdr:row>
      <xdr:rowOff>28881</xdr:rowOff>
    </xdr:to>
    <xdr:sp macro="" textlink="">
      <xdr:nvSpPr>
        <xdr:cNvPr id="635" name="Text Box 80" hidden="1">
          <a:extLst>
            <a:ext uri="{FF2B5EF4-FFF2-40B4-BE49-F238E27FC236}">
              <a16:creationId xmlns:a16="http://schemas.microsoft.com/office/drawing/2014/main" id="{2F15D9B6-4EAD-4EF7-8D25-063AF9AFBB74}"/>
            </a:ext>
          </a:extLst>
        </xdr:cNvPr>
        <xdr:cNvSpPr txBox="1">
          <a:spLocks noChangeArrowheads="1"/>
        </xdr:cNvSpPr>
      </xdr:nvSpPr>
      <xdr:spPr bwMode="auto">
        <a:xfrm>
          <a:off x="4000313" y="20543025"/>
          <a:ext cx="1312022" cy="831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96</xdr:row>
      <xdr:rowOff>106060</xdr:rowOff>
    </xdr:from>
    <xdr:to>
      <xdr:col>5</xdr:col>
      <xdr:colOff>121210</xdr:colOff>
      <xdr:row>100</xdr:row>
      <xdr:rowOff>149233</xdr:rowOff>
    </xdr:to>
    <xdr:sp macro="" textlink="">
      <xdr:nvSpPr>
        <xdr:cNvPr id="636" name="Text Box 78" hidden="1">
          <a:extLst>
            <a:ext uri="{FF2B5EF4-FFF2-40B4-BE49-F238E27FC236}">
              <a16:creationId xmlns:a16="http://schemas.microsoft.com/office/drawing/2014/main" id="{759B0A5F-F476-4A21-95F6-5C53E936ED95}"/>
            </a:ext>
          </a:extLst>
        </xdr:cNvPr>
        <xdr:cNvSpPr txBox="1">
          <a:spLocks noChangeArrowheads="1"/>
        </xdr:cNvSpPr>
      </xdr:nvSpPr>
      <xdr:spPr bwMode="auto">
        <a:xfrm>
          <a:off x="4000313" y="20724510"/>
          <a:ext cx="1312022" cy="770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97</xdr:row>
      <xdr:rowOff>125905</xdr:rowOff>
    </xdr:from>
    <xdr:to>
      <xdr:col>5</xdr:col>
      <xdr:colOff>121210</xdr:colOff>
      <xdr:row>101</xdr:row>
      <xdr:rowOff>159622</xdr:rowOff>
    </xdr:to>
    <xdr:sp macro="" textlink="">
      <xdr:nvSpPr>
        <xdr:cNvPr id="637" name="Text Box 76" hidden="1">
          <a:extLst>
            <a:ext uri="{FF2B5EF4-FFF2-40B4-BE49-F238E27FC236}">
              <a16:creationId xmlns:a16="http://schemas.microsoft.com/office/drawing/2014/main" id="{D1700DAB-E1FD-48C4-8F8D-41878CAAFB16}"/>
            </a:ext>
          </a:extLst>
        </xdr:cNvPr>
        <xdr:cNvSpPr txBox="1">
          <a:spLocks noChangeArrowheads="1"/>
        </xdr:cNvSpPr>
      </xdr:nvSpPr>
      <xdr:spPr bwMode="auto">
        <a:xfrm>
          <a:off x="4000313" y="20928505"/>
          <a:ext cx="1312022" cy="7576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97</xdr:row>
      <xdr:rowOff>124148</xdr:rowOff>
    </xdr:from>
    <xdr:to>
      <xdr:col>5</xdr:col>
      <xdr:colOff>121210</xdr:colOff>
      <xdr:row>102</xdr:row>
      <xdr:rowOff>17594</xdr:rowOff>
    </xdr:to>
    <xdr:sp macro="" textlink="">
      <xdr:nvSpPr>
        <xdr:cNvPr id="638" name="Text Box 74" hidden="1">
          <a:extLst>
            <a:ext uri="{FF2B5EF4-FFF2-40B4-BE49-F238E27FC236}">
              <a16:creationId xmlns:a16="http://schemas.microsoft.com/office/drawing/2014/main" id="{8C072C38-A57A-446F-8E2D-034993F06895}"/>
            </a:ext>
          </a:extLst>
        </xdr:cNvPr>
        <xdr:cNvSpPr txBox="1">
          <a:spLocks noChangeArrowheads="1"/>
        </xdr:cNvSpPr>
      </xdr:nvSpPr>
      <xdr:spPr bwMode="auto">
        <a:xfrm>
          <a:off x="4000313" y="20926748"/>
          <a:ext cx="1312022" cy="7983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639" name="Text Box 131" hidden="1">
          <a:extLst>
            <a:ext uri="{FF2B5EF4-FFF2-40B4-BE49-F238E27FC236}">
              <a16:creationId xmlns:a16="http://schemas.microsoft.com/office/drawing/2014/main" id="{C4EDF799-04BF-49DD-8C1C-6118C476D9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102671</xdr:rowOff>
    </xdr:from>
    <xdr:to>
      <xdr:col>5</xdr:col>
      <xdr:colOff>102160</xdr:colOff>
      <xdr:row>224</xdr:row>
      <xdr:rowOff>78220</xdr:rowOff>
    </xdr:to>
    <xdr:sp macro="" textlink="">
      <xdr:nvSpPr>
        <xdr:cNvPr id="640" name="Text Box 130" hidden="1">
          <a:extLst>
            <a:ext uri="{FF2B5EF4-FFF2-40B4-BE49-F238E27FC236}">
              <a16:creationId xmlns:a16="http://schemas.microsoft.com/office/drawing/2014/main" id="{9BCA7E33-2D01-4B7E-8DB2-D27F33082527}"/>
            </a:ext>
          </a:extLst>
        </xdr:cNvPr>
        <xdr:cNvSpPr txBox="1">
          <a:spLocks noChangeArrowheads="1"/>
        </xdr:cNvSpPr>
      </xdr:nvSpPr>
      <xdr:spPr bwMode="auto">
        <a:xfrm>
          <a:off x="3981263" y="40031471"/>
          <a:ext cx="1312022" cy="4137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20122</xdr:rowOff>
    </xdr:from>
    <xdr:to>
      <xdr:col>5</xdr:col>
      <xdr:colOff>102160</xdr:colOff>
      <xdr:row>224</xdr:row>
      <xdr:rowOff>1651</xdr:rowOff>
    </xdr:to>
    <xdr:sp macro="" textlink="">
      <xdr:nvSpPr>
        <xdr:cNvPr id="641" name="Text Box 129" hidden="1">
          <a:extLst>
            <a:ext uri="{FF2B5EF4-FFF2-40B4-BE49-F238E27FC236}">
              <a16:creationId xmlns:a16="http://schemas.microsoft.com/office/drawing/2014/main" id="{BC0EBE7D-1697-4907-A6DB-0FA9FD156EE2}"/>
            </a:ext>
          </a:extLst>
        </xdr:cNvPr>
        <xdr:cNvSpPr txBox="1">
          <a:spLocks noChangeArrowheads="1"/>
        </xdr:cNvSpPr>
      </xdr:nvSpPr>
      <xdr:spPr bwMode="auto">
        <a:xfrm>
          <a:off x="3981263" y="40310872"/>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20122</xdr:rowOff>
    </xdr:from>
    <xdr:to>
      <xdr:col>5</xdr:col>
      <xdr:colOff>102160</xdr:colOff>
      <xdr:row>225</xdr:row>
      <xdr:rowOff>78220</xdr:rowOff>
    </xdr:to>
    <xdr:sp macro="" textlink="">
      <xdr:nvSpPr>
        <xdr:cNvPr id="642" name="Text Box 128" hidden="1">
          <a:extLst>
            <a:ext uri="{FF2B5EF4-FFF2-40B4-BE49-F238E27FC236}">
              <a16:creationId xmlns:a16="http://schemas.microsoft.com/office/drawing/2014/main" id="{DDC1F315-C9D4-4EA4-9B43-6EA1C6453A91}"/>
            </a:ext>
          </a:extLst>
        </xdr:cNvPr>
        <xdr:cNvSpPr txBox="1">
          <a:spLocks noChangeArrowheads="1"/>
        </xdr:cNvSpPr>
      </xdr:nvSpPr>
      <xdr:spPr bwMode="auto">
        <a:xfrm>
          <a:off x="3981263" y="40853797"/>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20121</xdr:rowOff>
    </xdr:from>
    <xdr:to>
      <xdr:col>5</xdr:col>
      <xdr:colOff>102160</xdr:colOff>
      <xdr:row>213</xdr:row>
      <xdr:rowOff>1650</xdr:rowOff>
    </xdr:to>
    <xdr:sp macro="" textlink="">
      <xdr:nvSpPr>
        <xdr:cNvPr id="643" name="Text Box 127" hidden="1">
          <a:extLst>
            <a:ext uri="{FF2B5EF4-FFF2-40B4-BE49-F238E27FC236}">
              <a16:creationId xmlns:a16="http://schemas.microsoft.com/office/drawing/2014/main" id="{991A4083-CC83-4679-8A7A-D3070EEF4881}"/>
            </a:ext>
          </a:extLst>
        </xdr:cNvPr>
        <xdr:cNvSpPr txBox="1">
          <a:spLocks noChangeArrowheads="1"/>
        </xdr:cNvSpPr>
      </xdr:nvSpPr>
      <xdr:spPr bwMode="auto">
        <a:xfrm>
          <a:off x="3981263" y="41034771"/>
          <a:ext cx="1312022" cy="10673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1649</xdr:rowOff>
    </xdr:from>
    <xdr:to>
      <xdr:col>5</xdr:col>
      <xdr:colOff>102160</xdr:colOff>
      <xdr:row>190</xdr:row>
      <xdr:rowOff>142594</xdr:rowOff>
    </xdr:to>
    <xdr:sp macro="" textlink="">
      <xdr:nvSpPr>
        <xdr:cNvPr id="644" name="Text Box 126" hidden="1">
          <a:extLst>
            <a:ext uri="{FF2B5EF4-FFF2-40B4-BE49-F238E27FC236}">
              <a16:creationId xmlns:a16="http://schemas.microsoft.com/office/drawing/2014/main" id="{868E83E3-D7C9-4D12-83CD-495ED3D35E44}"/>
            </a:ext>
          </a:extLst>
        </xdr:cNvPr>
        <xdr:cNvSpPr txBox="1">
          <a:spLocks noChangeArrowheads="1"/>
        </xdr:cNvSpPr>
      </xdr:nvSpPr>
      <xdr:spPr bwMode="auto">
        <a:xfrm>
          <a:off x="3981263" y="37034849"/>
          <a:ext cx="1312022" cy="1045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107434</xdr:rowOff>
    </xdr:from>
    <xdr:to>
      <xdr:col>5</xdr:col>
      <xdr:colOff>102160</xdr:colOff>
      <xdr:row>191</xdr:row>
      <xdr:rowOff>144972</xdr:rowOff>
    </xdr:to>
    <xdr:sp macro="" textlink="">
      <xdr:nvSpPr>
        <xdr:cNvPr id="645" name="Text Box 125" hidden="1">
          <a:extLst>
            <a:ext uri="{FF2B5EF4-FFF2-40B4-BE49-F238E27FC236}">
              <a16:creationId xmlns:a16="http://schemas.microsoft.com/office/drawing/2014/main" id="{81DD25B3-6B06-4C54-954F-DDA66BCD2884}"/>
            </a:ext>
          </a:extLst>
        </xdr:cNvPr>
        <xdr:cNvSpPr txBox="1">
          <a:spLocks noChangeArrowheads="1"/>
        </xdr:cNvSpPr>
      </xdr:nvSpPr>
      <xdr:spPr bwMode="auto">
        <a:xfrm>
          <a:off x="3981263" y="37502584"/>
          <a:ext cx="1312022" cy="7614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102160</xdr:colOff>
      <xdr:row>192</xdr:row>
      <xdr:rowOff>160055</xdr:rowOff>
    </xdr:to>
    <xdr:sp macro="" textlink="">
      <xdr:nvSpPr>
        <xdr:cNvPr id="646" name="Text Box 124" hidden="1">
          <a:extLst>
            <a:ext uri="{FF2B5EF4-FFF2-40B4-BE49-F238E27FC236}">
              <a16:creationId xmlns:a16="http://schemas.microsoft.com/office/drawing/2014/main" id="{AF0D4A25-B258-436E-A3A8-86CE3A00F4C9}"/>
            </a:ext>
          </a:extLst>
        </xdr:cNvPr>
        <xdr:cNvSpPr txBox="1">
          <a:spLocks noChangeArrowheads="1"/>
        </xdr:cNvSpPr>
      </xdr:nvSpPr>
      <xdr:spPr bwMode="auto">
        <a:xfrm>
          <a:off x="3981263" y="37778016"/>
          <a:ext cx="1312022" cy="6820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159262</xdr:rowOff>
    </xdr:from>
    <xdr:to>
      <xdr:col>5</xdr:col>
      <xdr:colOff>102160</xdr:colOff>
      <xdr:row>199</xdr:row>
      <xdr:rowOff>78477</xdr:rowOff>
    </xdr:to>
    <xdr:sp macro="" textlink="">
      <xdr:nvSpPr>
        <xdr:cNvPr id="647" name="Text Box 123" hidden="1">
          <a:extLst>
            <a:ext uri="{FF2B5EF4-FFF2-40B4-BE49-F238E27FC236}">
              <a16:creationId xmlns:a16="http://schemas.microsoft.com/office/drawing/2014/main" id="{302F8F08-0D7F-44DF-A7AE-CC5F36CD9A24}"/>
            </a:ext>
          </a:extLst>
        </xdr:cNvPr>
        <xdr:cNvSpPr txBox="1">
          <a:spLocks noChangeArrowheads="1"/>
        </xdr:cNvSpPr>
      </xdr:nvSpPr>
      <xdr:spPr bwMode="auto">
        <a:xfrm>
          <a:off x="3981263" y="38097337"/>
          <a:ext cx="1312022" cy="15479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648" name="Text Box 122" hidden="1">
          <a:extLst>
            <a:ext uri="{FF2B5EF4-FFF2-40B4-BE49-F238E27FC236}">
              <a16:creationId xmlns:a16="http://schemas.microsoft.com/office/drawing/2014/main" id="{3C61AB3F-4C0E-45A6-9C0D-A40CD93B723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152734</xdr:rowOff>
    </xdr:from>
    <xdr:to>
      <xdr:col>5</xdr:col>
      <xdr:colOff>102160</xdr:colOff>
      <xdr:row>57</xdr:row>
      <xdr:rowOff>172143</xdr:rowOff>
    </xdr:to>
    <xdr:sp macro="" textlink="">
      <xdr:nvSpPr>
        <xdr:cNvPr id="649" name="Text Box 121" hidden="1">
          <a:extLst>
            <a:ext uri="{FF2B5EF4-FFF2-40B4-BE49-F238E27FC236}">
              <a16:creationId xmlns:a16="http://schemas.microsoft.com/office/drawing/2014/main" id="{E1CF199D-F04A-4B11-A8E3-32E0DD7EED28}"/>
            </a:ext>
          </a:extLst>
        </xdr:cNvPr>
        <xdr:cNvSpPr txBox="1">
          <a:spLocks noChangeArrowheads="1"/>
        </xdr:cNvSpPr>
      </xdr:nvSpPr>
      <xdr:spPr bwMode="auto">
        <a:xfrm>
          <a:off x="3981263" y="11535109"/>
          <a:ext cx="1312022" cy="200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339856</xdr:rowOff>
    </xdr:from>
    <xdr:to>
      <xdr:col>5</xdr:col>
      <xdr:colOff>102160</xdr:colOff>
      <xdr:row>58</xdr:row>
      <xdr:rowOff>76334</xdr:rowOff>
    </xdr:to>
    <xdr:sp macro="" textlink="">
      <xdr:nvSpPr>
        <xdr:cNvPr id="650" name="Text Box 120" hidden="1">
          <a:extLst>
            <a:ext uri="{FF2B5EF4-FFF2-40B4-BE49-F238E27FC236}">
              <a16:creationId xmlns:a16="http://schemas.microsoft.com/office/drawing/2014/main" id="{1EEA1A0F-8B24-4574-AC09-0E781ADA3C27}"/>
            </a:ext>
          </a:extLst>
        </xdr:cNvPr>
        <xdr:cNvSpPr txBox="1">
          <a:spLocks noChangeArrowheads="1"/>
        </xdr:cNvSpPr>
      </xdr:nvSpPr>
      <xdr:spPr bwMode="auto">
        <a:xfrm>
          <a:off x="3981263" y="11906381"/>
          <a:ext cx="1312022" cy="2571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369768</xdr:rowOff>
    </xdr:from>
    <xdr:to>
      <xdr:col>5</xdr:col>
      <xdr:colOff>102160</xdr:colOff>
      <xdr:row>61</xdr:row>
      <xdr:rowOff>56164</xdr:rowOff>
    </xdr:to>
    <xdr:sp macro="" textlink="">
      <xdr:nvSpPr>
        <xdr:cNvPr id="651" name="Text Box 119" hidden="1">
          <a:extLst>
            <a:ext uri="{FF2B5EF4-FFF2-40B4-BE49-F238E27FC236}">
              <a16:creationId xmlns:a16="http://schemas.microsoft.com/office/drawing/2014/main" id="{C7D78474-23FC-4D31-B586-29DE7D8F8878}"/>
            </a:ext>
          </a:extLst>
        </xdr:cNvPr>
        <xdr:cNvSpPr txBox="1">
          <a:spLocks noChangeArrowheads="1"/>
        </xdr:cNvSpPr>
      </xdr:nvSpPr>
      <xdr:spPr bwMode="auto">
        <a:xfrm>
          <a:off x="3981263" y="12460168"/>
          <a:ext cx="1312022" cy="85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150297</xdr:rowOff>
    </xdr:from>
    <xdr:to>
      <xdr:col>5</xdr:col>
      <xdr:colOff>102160</xdr:colOff>
      <xdr:row>62</xdr:row>
      <xdr:rowOff>190791</xdr:rowOff>
    </xdr:to>
    <xdr:sp macro="" textlink="">
      <xdr:nvSpPr>
        <xdr:cNvPr id="652" name="Text Box 118" hidden="1">
          <a:extLst>
            <a:ext uri="{FF2B5EF4-FFF2-40B4-BE49-F238E27FC236}">
              <a16:creationId xmlns:a16="http://schemas.microsoft.com/office/drawing/2014/main" id="{51287A68-2B0B-46B7-9A38-C16BBC25C2D3}"/>
            </a:ext>
          </a:extLst>
        </xdr:cNvPr>
        <xdr:cNvSpPr txBox="1">
          <a:spLocks noChangeArrowheads="1"/>
        </xdr:cNvSpPr>
      </xdr:nvSpPr>
      <xdr:spPr bwMode="auto">
        <a:xfrm>
          <a:off x="3981263" y="12628047"/>
          <a:ext cx="1312022" cy="12088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345627</xdr:rowOff>
    </xdr:from>
    <xdr:to>
      <xdr:col>5</xdr:col>
      <xdr:colOff>102160</xdr:colOff>
      <xdr:row>63</xdr:row>
      <xdr:rowOff>165070</xdr:rowOff>
    </xdr:to>
    <xdr:sp macro="" textlink="">
      <xdr:nvSpPr>
        <xdr:cNvPr id="653" name="Text Box 117" hidden="1">
          <a:extLst>
            <a:ext uri="{FF2B5EF4-FFF2-40B4-BE49-F238E27FC236}">
              <a16:creationId xmlns:a16="http://schemas.microsoft.com/office/drawing/2014/main" id="{2ACFA0C8-DF36-497B-99F0-C59D5387F822}"/>
            </a:ext>
          </a:extLst>
        </xdr:cNvPr>
        <xdr:cNvSpPr txBox="1">
          <a:spLocks noChangeArrowheads="1"/>
        </xdr:cNvSpPr>
      </xdr:nvSpPr>
      <xdr:spPr bwMode="auto">
        <a:xfrm>
          <a:off x="3981263" y="12823377"/>
          <a:ext cx="1312022" cy="13815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145548</xdr:rowOff>
    </xdr:from>
    <xdr:to>
      <xdr:col>5</xdr:col>
      <xdr:colOff>102160</xdr:colOff>
      <xdr:row>77</xdr:row>
      <xdr:rowOff>174427</xdr:rowOff>
    </xdr:to>
    <xdr:sp macro="" textlink="">
      <xdr:nvSpPr>
        <xdr:cNvPr id="654" name="Text Box 116" hidden="1">
          <a:extLst>
            <a:ext uri="{FF2B5EF4-FFF2-40B4-BE49-F238E27FC236}">
              <a16:creationId xmlns:a16="http://schemas.microsoft.com/office/drawing/2014/main" id="{BCD5D6A0-FCE6-4000-8959-C17AB3E25BD0}"/>
            </a:ext>
          </a:extLst>
        </xdr:cNvPr>
        <xdr:cNvSpPr txBox="1">
          <a:spLocks noChangeArrowheads="1"/>
        </xdr:cNvSpPr>
      </xdr:nvSpPr>
      <xdr:spPr bwMode="auto">
        <a:xfrm>
          <a:off x="3981263" y="16163423"/>
          <a:ext cx="1312022" cy="752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73325</xdr:rowOff>
    </xdr:from>
    <xdr:to>
      <xdr:col>5</xdr:col>
      <xdr:colOff>102160</xdr:colOff>
      <xdr:row>78</xdr:row>
      <xdr:rowOff>125562</xdr:rowOff>
    </xdr:to>
    <xdr:sp macro="" textlink="">
      <xdr:nvSpPr>
        <xdr:cNvPr id="655" name="Text Box 115" hidden="1">
          <a:extLst>
            <a:ext uri="{FF2B5EF4-FFF2-40B4-BE49-F238E27FC236}">
              <a16:creationId xmlns:a16="http://schemas.microsoft.com/office/drawing/2014/main" id="{AF8C80C9-265C-449E-858C-084699A15F5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65793</xdr:rowOff>
    </xdr:from>
    <xdr:to>
      <xdr:col>5</xdr:col>
      <xdr:colOff>102160</xdr:colOff>
      <xdr:row>78</xdr:row>
      <xdr:rowOff>304914</xdr:rowOff>
    </xdr:to>
    <xdr:sp macro="" textlink="">
      <xdr:nvSpPr>
        <xdr:cNvPr id="656" name="Text Box 114" hidden="1">
          <a:extLst>
            <a:ext uri="{FF2B5EF4-FFF2-40B4-BE49-F238E27FC236}">
              <a16:creationId xmlns:a16="http://schemas.microsoft.com/office/drawing/2014/main" id="{1CA4E92A-5402-4DB8-BD88-0AF405BDA6A5}"/>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64164</xdr:rowOff>
    </xdr:from>
    <xdr:to>
      <xdr:col>5</xdr:col>
      <xdr:colOff>102160</xdr:colOff>
      <xdr:row>79</xdr:row>
      <xdr:rowOff>93673</xdr:rowOff>
    </xdr:to>
    <xdr:sp macro="" textlink="">
      <xdr:nvSpPr>
        <xdr:cNvPr id="657" name="Text Box 113" hidden="1">
          <a:extLst>
            <a:ext uri="{FF2B5EF4-FFF2-40B4-BE49-F238E27FC236}">
              <a16:creationId xmlns:a16="http://schemas.microsoft.com/office/drawing/2014/main" id="{9F7BD8E2-E157-4FD0-875D-1ACE1FFE5F81}"/>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88882</xdr:rowOff>
    </xdr:from>
    <xdr:to>
      <xdr:col>5</xdr:col>
      <xdr:colOff>102160</xdr:colOff>
      <xdr:row>100</xdr:row>
      <xdr:rowOff>78772</xdr:rowOff>
    </xdr:to>
    <xdr:sp macro="" textlink="">
      <xdr:nvSpPr>
        <xdr:cNvPr id="658" name="Text Box 112" hidden="1">
          <a:extLst>
            <a:ext uri="{FF2B5EF4-FFF2-40B4-BE49-F238E27FC236}">
              <a16:creationId xmlns:a16="http://schemas.microsoft.com/office/drawing/2014/main" id="{04E3B274-95DB-44D5-A44B-2A703F91C99C}"/>
            </a:ext>
          </a:extLst>
        </xdr:cNvPr>
        <xdr:cNvSpPr txBox="1">
          <a:spLocks noChangeArrowheads="1"/>
        </xdr:cNvSpPr>
      </xdr:nvSpPr>
      <xdr:spPr bwMode="auto">
        <a:xfrm>
          <a:off x="3981263" y="20526357"/>
          <a:ext cx="1312022" cy="897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105266</xdr:rowOff>
    </xdr:from>
    <xdr:to>
      <xdr:col>5</xdr:col>
      <xdr:colOff>102160</xdr:colOff>
      <xdr:row>100</xdr:row>
      <xdr:rowOff>78772</xdr:rowOff>
    </xdr:to>
    <xdr:sp macro="" textlink="">
      <xdr:nvSpPr>
        <xdr:cNvPr id="659" name="Text Box 111" hidden="1">
          <a:extLst>
            <a:ext uri="{FF2B5EF4-FFF2-40B4-BE49-F238E27FC236}">
              <a16:creationId xmlns:a16="http://schemas.microsoft.com/office/drawing/2014/main" id="{80AC9B44-C97C-44B4-8E41-F5443A166CC3}"/>
            </a:ext>
          </a:extLst>
        </xdr:cNvPr>
        <xdr:cNvSpPr txBox="1">
          <a:spLocks noChangeArrowheads="1"/>
        </xdr:cNvSpPr>
      </xdr:nvSpPr>
      <xdr:spPr bwMode="auto">
        <a:xfrm>
          <a:off x="3981263" y="20723716"/>
          <a:ext cx="1312022" cy="7005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125111</xdr:rowOff>
    </xdr:from>
    <xdr:to>
      <xdr:col>5</xdr:col>
      <xdr:colOff>102160</xdr:colOff>
      <xdr:row>101</xdr:row>
      <xdr:rowOff>27496</xdr:rowOff>
    </xdr:to>
    <xdr:sp macro="" textlink="">
      <xdr:nvSpPr>
        <xdr:cNvPr id="660" name="Text Box 110" hidden="1">
          <a:extLst>
            <a:ext uri="{FF2B5EF4-FFF2-40B4-BE49-F238E27FC236}">
              <a16:creationId xmlns:a16="http://schemas.microsoft.com/office/drawing/2014/main" id="{DF213CEB-9736-4BF1-8AAB-92A9B54FD040}"/>
            </a:ext>
          </a:extLst>
        </xdr:cNvPr>
        <xdr:cNvSpPr txBox="1">
          <a:spLocks noChangeArrowheads="1"/>
        </xdr:cNvSpPr>
      </xdr:nvSpPr>
      <xdr:spPr bwMode="auto">
        <a:xfrm>
          <a:off x="3981263" y="20927711"/>
          <a:ext cx="1312022" cy="6262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97890</xdr:rowOff>
    </xdr:from>
    <xdr:to>
      <xdr:col>5</xdr:col>
      <xdr:colOff>102160</xdr:colOff>
      <xdr:row>101</xdr:row>
      <xdr:rowOff>117127</xdr:rowOff>
    </xdr:to>
    <xdr:sp macro="" textlink="">
      <xdr:nvSpPr>
        <xdr:cNvPr id="661" name="Text Box 109" hidden="1">
          <a:extLst>
            <a:ext uri="{FF2B5EF4-FFF2-40B4-BE49-F238E27FC236}">
              <a16:creationId xmlns:a16="http://schemas.microsoft.com/office/drawing/2014/main" id="{5CB4E3FC-2568-4B8E-9F5D-4771C007E7D6}"/>
            </a:ext>
          </a:extLst>
        </xdr:cNvPr>
        <xdr:cNvSpPr txBox="1">
          <a:spLocks noChangeArrowheads="1"/>
        </xdr:cNvSpPr>
      </xdr:nvSpPr>
      <xdr:spPr bwMode="auto">
        <a:xfrm>
          <a:off x="3981263" y="20900490"/>
          <a:ext cx="1312022" cy="7431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662" name="Text Box 154" hidden="1">
          <a:extLst>
            <a:ext uri="{FF2B5EF4-FFF2-40B4-BE49-F238E27FC236}">
              <a16:creationId xmlns:a16="http://schemas.microsoft.com/office/drawing/2014/main" id="{3077D54C-02FF-4694-A553-43F69FA27E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106641</xdr:rowOff>
    </xdr:from>
    <xdr:to>
      <xdr:col>5</xdr:col>
      <xdr:colOff>102160</xdr:colOff>
      <xdr:row>225</xdr:row>
      <xdr:rowOff>78220</xdr:rowOff>
    </xdr:to>
    <xdr:sp macro="" textlink="">
      <xdr:nvSpPr>
        <xdr:cNvPr id="663" name="Text Box 153" hidden="1">
          <a:extLst>
            <a:ext uri="{FF2B5EF4-FFF2-40B4-BE49-F238E27FC236}">
              <a16:creationId xmlns:a16="http://schemas.microsoft.com/office/drawing/2014/main" id="{18209213-B29E-4259-8628-DA4BE8EBD8D0}"/>
            </a:ext>
          </a:extLst>
        </xdr:cNvPr>
        <xdr:cNvSpPr txBox="1">
          <a:spLocks noChangeArrowheads="1"/>
        </xdr:cNvSpPr>
      </xdr:nvSpPr>
      <xdr:spPr bwMode="auto">
        <a:xfrm>
          <a:off x="3981263" y="40216416"/>
          <a:ext cx="1312022" cy="4134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20121</xdr:rowOff>
    </xdr:from>
    <xdr:to>
      <xdr:col>5</xdr:col>
      <xdr:colOff>102160</xdr:colOff>
      <xdr:row>225</xdr:row>
      <xdr:rowOff>1650</xdr:rowOff>
    </xdr:to>
    <xdr:sp macro="" textlink="">
      <xdr:nvSpPr>
        <xdr:cNvPr id="664" name="Text Box 152" hidden="1">
          <a:extLst>
            <a:ext uri="{FF2B5EF4-FFF2-40B4-BE49-F238E27FC236}">
              <a16:creationId xmlns:a16="http://schemas.microsoft.com/office/drawing/2014/main" id="{758E760B-E897-4FFB-A475-3A480E1C0DA9}"/>
            </a:ext>
          </a:extLst>
        </xdr:cNvPr>
        <xdr:cNvSpPr txBox="1">
          <a:spLocks noChangeArrowheads="1"/>
        </xdr:cNvSpPr>
      </xdr:nvSpPr>
      <xdr:spPr bwMode="auto">
        <a:xfrm>
          <a:off x="3981263" y="40491846"/>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20121</xdr:rowOff>
    </xdr:from>
    <xdr:to>
      <xdr:col>5</xdr:col>
      <xdr:colOff>102160</xdr:colOff>
      <xdr:row>226</xdr:row>
      <xdr:rowOff>78221</xdr:rowOff>
    </xdr:to>
    <xdr:sp macro="" textlink="">
      <xdr:nvSpPr>
        <xdr:cNvPr id="665" name="Text Box 151" hidden="1">
          <a:extLst>
            <a:ext uri="{FF2B5EF4-FFF2-40B4-BE49-F238E27FC236}">
              <a16:creationId xmlns:a16="http://schemas.microsoft.com/office/drawing/2014/main" id="{90018056-596B-4027-9A40-A6905DA40F79}"/>
            </a:ext>
          </a:extLst>
        </xdr:cNvPr>
        <xdr:cNvSpPr txBox="1">
          <a:spLocks noChangeArrowheads="1"/>
        </xdr:cNvSpPr>
      </xdr:nvSpPr>
      <xdr:spPr bwMode="auto">
        <a:xfrm>
          <a:off x="3981263" y="41034771"/>
          <a:ext cx="1312022" cy="3496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20122</xdr:rowOff>
    </xdr:from>
    <xdr:to>
      <xdr:col>5</xdr:col>
      <xdr:colOff>102160</xdr:colOff>
      <xdr:row>214</xdr:row>
      <xdr:rowOff>1650</xdr:rowOff>
    </xdr:to>
    <xdr:sp macro="" textlink="">
      <xdr:nvSpPr>
        <xdr:cNvPr id="666" name="Text Box 150" hidden="1">
          <a:extLst>
            <a:ext uri="{FF2B5EF4-FFF2-40B4-BE49-F238E27FC236}">
              <a16:creationId xmlns:a16="http://schemas.microsoft.com/office/drawing/2014/main" id="{0183D6D8-6C41-47E5-BA45-A8F2703E4E11}"/>
            </a:ext>
          </a:extLst>
        </xdr:cNvPr>
        <xdr:cNvSpPr txBox="1">
          <a:spLocks noChangeArrowheads="1"/>
        </xdr:cNvSpPr>
      </xdr:nvSpPr>
      <xdr:spPr bwMode="auto">
        <a:xfrm>
          <a:off x="3981263" y="41215747"/>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1570</xdr:rowOff>
    </xdr:from>
    <xdr:to>
      <xdr:col>5</xdr:col>
      <xdr:colOff>102160</xdr:colOff>
      <xdr:row>191</xdr:row>
      <xdr:rowOff>106638</xdr:rowOff>
    </xdr:to>
    <xdr:sp macro="" textlink="">
      <xdr:nvSpPr>
        <xdr:cNvPr id="667" name="Text Box 149" hidden="1">
          <a:extLst>
            <a:ext uri="{FF2B5EF4-FFF2-40B4-BE49-F238E27FC236}">
              <a16:creationId xmlns:a16="http://schemas.microsoft.com/office/drawing/2014/main" id="{1F9DE4E4-4A40-4AB7-B9C4-3ABF5E3AD7A2}"/>
            </a:ext>
          </a:extLst>
        </xdr:cNvPr>
        <xdr:cNvSpPr txBox="1">
          <a:spLocks noChangeArrowheads="1"/>
        </xdr:cNvSpPr>
      </xdr:nvSpPr>
      <xdr:spPr bwMode="auto">
        <a:xfrm>
          <a:off x="3981263" y="37215745"/>
          <a:ext cx="1312022" cy="10099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63724</xdr:rowOff>
    </xdr:from>
    <xdr:to>
      <xdr:col>5</xdr:col>
      <xdr:colOff>102160</xdr:colOff>
      <xdr:row>192</xdr:row>
      <xdr:rowOff>125691</xdr:rowOff>
    </xdr:to>
    <xdr:sp macro="" textlink="">
      <xdr:nvSpPr>
        <xdr:cNvPr id="668" name="Text Box 148" hidden="1">
          <a:extLst>
            <a:ext uri="{FF2B5EF4-FFF2-40B4-BE49-F238E27FC236}">
              <a16:creationId xmlns:a16="http://schemas.microsoft.com/office/drawing/2014/main" id="{FB59B6CA-F8A7-4A21-B10A-CD9B8D6A609C}"/>
            </a:ext>
          </a:extLst>
        </xdr:cNvPr>
        <xdr:cNvSpPr txBox="1">
          <a:spLocks noChangeArrowheads="1"/>
        </xdr:cNvSpPr>
      </xdr:nvSpPr>
      <xdr:spPr bwMode="auto">
        <a:xfrm>
          <a:off x="3981263" y="37639849"/>
          <a:ext cx="1312022" cy="7858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31235</xdr:rowOff>
    </xdr:from>
    <xdr:to>
      <xdr:col>5</xdr:col>
      <xdr:colOff>102160</xdr:colOff>
      <xdr:row>193</xdr:row>
      <xdr:rowOff>116959</xdr:rowOff>
    </xdr:to>
    <xdr:sp macro="" textlink="">
      <xdr:nvSpPr>
        <xdr:cNvPr id="669" name="Text Box 147" hidden="1">
          <a:extLst>
            <a:ext uri="{FF2B5EF4-FFF2-40B4-BE49-F238E27FC236}">
              <a16:creationId xmlns:a16="http://schemas.microsoft.com/office/drawing/2014/main" id="{1FF50C2E-33FC-4DE5-9934-60F608842F59}"/>
            </a:ext>
          </a:extLst>
        </xdr:cNvPr>
        <xdr:cNvSpPr txBox="1">
          <a:spLocks noChangeArrowheads="1"/>
        </xdr:cNvSpPr>
      </xdr:nvSpPr>
      <xdr:spPr bwMode="auto">
        <a:xfrm>
          <a:off x="3981263" y="37969310"/>
          <a:ext cx="1312022" cy="6286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144972</xdr:rowOff>
    </xdr:from>
    <xdr:to>
      <xdr:col>5</xdr:col>
      <xdr:colOff>102160</xdr:colOff>
      <xdr:row>200</xdr:row>
      <xdr:rowOff>78475</xdr:rowOff>
    </xdr:to>
    <xdr:sp macro="" textlink="">
      <xdr:nvSpPr>
        <xdr:cNvPr id="670" name="Text Box 146" hidden="1">
          <a:extLst>
            <a:ext uri="{FF2B5EF4-FFF2-40B4-BE49-F238E27FC236}">
              <a16:creationId xmlns:a16="http://schemas.microsoft.com/office/drawing/2014/main" id="{490C277C-7669-4BF3-868A-F948849AD2C8}"/>
            </a:ext>
          </a:extLst>
        </xdr:cNvPr>
        <xdr:cNvSpPr txBox="1">
          <a:spLocks noChangeArrowheads="1"/>
        </xdr:cNvSpPr>
      </xdr:nvSpPr>
      <xdr:spPr bwMode="auto">
        <a:xfrm>
          <a:off x="3981263" y="38264022"/>
          <a:ext cx="1312022" cy="15622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671" name="Text Box 145" hidden="1">
          <a:extLst>
            <a:ext uri="{FF2B5EF4-FFF2-40B4-BE49-F238E27FC236}">
              <a16:creationId xmlns:a16="http://schemas.microsoft.com/office/drawing/2014/main" id="{8FA8CEE6-EAF7-4A90-93CD-DFAB204BCF33}"/>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377965</xdr:rowOff>
    </xdr:from>
    <xdr:to>
      <xdr:col>5</xdr:col>
      <xdr:colOff>102160</xdr:colOff>
      <xdr:row>58</xdr:row>
      <xdr:rowOff>189133</xdr:rowOff>
    </xdr:to>
    <xdr:sp macro="" textlink="">
      <xdr:nvSpPr>
        <xdr:cNvPr id="672" name="Text Box 144" hidden="1">
          <a:extLst>
            <a:ext uri="{FF2B5EF4-FFF2-40B4-BE49-F238E27FC236}">
              <a16:creationId xmlns:a16="http://schemas.microsoft.com/office/drawing/2014/main" id="{78481A99-75D9-4B63-BEF7-C48BADC4A690}"/>
            </a:ext>
          </a:extLst>
        </xdr:cNvPr>
        <xdr:cNvSpPr txBox="1">
          <a:spLocks noChangeArrowheads="1"/>
        </xdr:cNvSpPr>
      </xdr:nvSpPr>
      <xdr:spPr bwMode="auto">
        <a:xfrm>
          <a:off x="3981263" y="11944490"/>
          <a:ext cx="1312022" cy="3350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189133</xdr:rowOff>
    </xdr:from>
    <xdr:to>
      <xdr:col>5</xdr:col>
      <xdr:colOff>102160</xdr:colOff>
      <xdr:row>58</xdr:row>
      <xdr:rowOff>275045</xdr:rowOff>
    </xdr:to>
    <xdr:sp macro="" textlink="">
      <xdr:nvSpPr>
        <xdr:cNvPr id="673" name="Text Box 143" hidden="1">
          <a:extLst>
            <a:ext uri="{FF2B5EF4-FFF2-40B4-BE49-F238E27FC236}">
              <a16:creationId xmlns:a16="http://schemas.microsoft.com/office/drawing/2014/main" id="{0BC2196F-6E20-48EC-B13A-2508F8880F89}"/>
            </a:ext>
          </a:extLst>
        </xdr:cNvPr>
        <xdr:cNvSpPr txBox="1">
          <a:spLocks noChangeArrowheads="1"/>
        </xdr:cNvSpPr>
      </xdr:nvSpPr>
      <xdr:spPr bwMode="auto">
        <a:xfrm>
          <a:off x="3981263" y="12279533"/>
          <a:ext cx="1312022" cy="827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150297</xdr:rowOff>
    </xdr:from>
    <xdr:to>
      <xdr:col>5</xdr:col>
      <xdr:colOff>102160</xdr:colOff>
      <xdr:row>61</xdr:row>
      <xdr:rowOff>245778</xdr:rowOff>
    </xdr:to>
    <xdr:sp macro="" textlink="">
      <xdr:nvSpPr>
        <xdr:cNvPr id="674" name="Text Box 142" hidden="1">
          <a:extLst>
            <a:ext uri="{FF2B5EF4-FFF2-40B4-BE49-F238E27FC236}">
              <a16:creationId xmlns:a16="http://schemas.microsoft.com/office/drawing/2014/main" id="{098EE0F2-A58E-4376-862A-1E7C523FA64D}"/>
            </a:ext>
          </a:extLst>
        </xdr:cNvPr>
        <xdr:cNvSpPr txBox="1">
          <a:spLocks noChangeArrowheads="1"/>
        </xdr:cNvSpPr>
      </xdr:nvSpPr>
      <xdr:spPr bwMode="auto">
        <a:xfrm>
          <a:off x="3981263" y="12628047"/>
          <a:ext cx="1312022" cy="87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314459</xdr:rowOff>
    </xdr:from>
    <xdr:to>
      <xdr:col>5</xdr:col>
      <xdr:colOff>102160</xdr:colOff>
      <xdr:row>62</xdr:row>
      <xdr:rowOff>306555</xdr:rowOff>
    </xdr:to>
    <xdr:sp macro="" textlink="">
      <xdr:nvSpPr>
        <xdr:cNvPr id="675" name="Text Box 141" hidden="1">
          <a:extLst>
            <a:ext uri="{FF2B5EF4-FFF2-40B4-BE49-F238E27FC236}">
              <a16:creationId xmlns:a16="http://schemas.microsoft.com/office/drawing/2014/main" id="{47224713-4AC5-4A2C-BA77-CAC3079E7F24}"/>
            </a:ext>
          </a:extLst>
        </xdr:cNvPr>
        <xdr:cNvSpPr txBox="1">
          <a:spLocks noChangeArrowheads="1"/>
        </xdr:cNvSpPr>
      </xdr:nvSpPr>
      <xdr:spPr bwMode="auto">
        <a:xfrm>
          <a:off x="3981263" y="12789034"/>
          <a:ext cx="1312022" cy="1166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130587</xdr:rowOff>
    </xdr:from>
    <xdr:to>
      <xdr:col>5</xdr:col>
      <xdr:colOff>102160</xdr:colOff>
      <xdr:row>64</xdr:row>
      <xdr:rowOff>103916</xdr:rowOff>
    </xdr:to>
    <xdr:sp macro="" textlink="">
      <xdr:nvSpPr>
        <xdr:cNvPr id="676" name="Text Box 140" hidden="1">
          <a:extLst>
            <a:ext uri="{FF2B5EF4-FFF2-40B4-BE49-F238E27FC236}">
              <a16:creationId xmlns:a16="http://schemas.microsoft.com/office/drawing/2014/main" id="{D4207B79-0671-442C-8A28-68BFDF5D8F80}"/>
            </a:ext>
          </a:extLst>
        </xdr:cNvPr>
        <xdr:cNvSpPr txBox="1">
          <a:spLocks noChangeArrowheads="1"/>
        </xdr:cNvSpPr>
      </xdr:nvSpPr>
      <xdr:spPr bwMode="auto">
        <a:xfrm>
          <a:off x="3981263" y="12998862"/>
          <a:ext cx="1312022" cy="13544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73325</xdr:rowOff>
    </xdr:from>
    <xdr:to>
      <xdr:col>5</xdr:col>
      <xdr:colOff>102160</xdr:colOff>
      <xdr:row>78</xdr:row>
      <xdr:rowOff>125562</xdr:rowOff>
    </xdr:to>
    <xdr:sp macro="" textlink="">
      <xdr:nvSpPr>
        <xdr:cNvPr id="677" name="Text Box 139" hidden="1">
          <a:extLst>
            <a:ext uri="{FF2B5EF4-FFF2-40B4-BE49-F238E27FC236}">
              <a16:creationId xmlns:a16="http://schemas.microsoft.com/office/drawing/2014/main" id="{CA5329B4-9A3F-4A98-BDB0-3624F46DACD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65793</xdr:rowOff>
    </xdr:from>
    <xdr:to>
      <xdr:col>5</xdr:col>
      <xdr:colOff>102160</xdr:colOff>
      <xdr:row>78</xdr:row>
      <xdr:rowOff>304914</xdr:rowOff>
    </xdr:to>
    <xdr:sp macro="" textlink="">
      <xdr:nvSpPr>
        <xdr:cNvPr id="678" name="Text Box 138" hidden="1">
          <a:extLst>
            <a:ext uri="{FF2B5EF4-FFF2-40B4-BE49-F238E27FC236}">
              <a16:creationId xmlns:a16="http://schemas.microsoft.com/office/drawing/2014/main" id="{D88CD7EE-E57D-420A-986B-DA0120B82BE6}"/>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64164</xdr:rowOff>
    </xdr:from>
    <xdr:to>
      <xdr:col>5</xdr:col>
      <xdr:colOff>102160</xdr:colOff>
      <xdr:row>79</xdr:row>
      <xdr:rowOff>93673</xdr:rowOff>
    </xdr:to>
    <xdr:sp macro="" textlink="">
      <xdr:nvSpPr>
        <xdr:cNvPr id="679" name="Text Box 137" hidden="1">
          <a:extLst>
            <a:ext uri="{FF2B5EF4-FFF2-40B4-BE49-F238E27FC236}">
              <a16:creationId xmlns:a16="http://schemas.microsoft.com/office/drawing/2014/main" id="{07517E14-8F55-4F07-B210-F43DEE86EBB3}"/>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47735</xdr:rowOff>
    </xdr:from>
    <xdr:to>
      <xdr:col>5</xdr:col>
      <xdr:colOff>102160</xdr:colOff>
      <xdr:row>80</xdr:row>
      <xdr:rowOff>114755</xdr:rowOff>
    </xdr:to>
    <xdr:sp macro="" textlink="">
      <xdr:nvSpPr>
        <xdr:cNvPr id="680" name="Text Box 136" hidden="1">
          <a:extLst>
            <a:ext uri="{FF2B5EF4-FFF2-40B4-BE49-F238E27FC236}">
              <a16:creationId xmlns:a16="http://schemas.microsoft.com/office/drawing/2014/main" id="{8674A1B1-73A6-4B21-BBE1-1DDE6C0625B3}"/>
            </a:ext>
          </a:extLst>
        </xdr:cNvPr>
        <xdr:cNvSpPr txBox="1">
          <a:spLocks noChangeArrowheads="1"/>
        </xdr:cNvSpPr>
      </xdr:nvSpPr>
      <xdr:spPr bwMode="auto">
        <a:xfrm>
          <a:off x="3981263" y="16789510"/>
          <a:ext cx="1312022" cy="84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105266</xdr:rowOff>
    </xdr:from>
    <xdr:to>
      <xdr:col>5</xdr:col>
      <xdr:colOff>102160</xdr:colOff>
      <xdr:row>101</xdr:row>
      <xdr:rowOff>150944</xdr:rowOff>
    </xdr:to>
    <xdr:sp macro="" textlink="">
      <xdr:nvSpPr>
        <xdr:cNvPr id="681" name="Text Box 135" hidden="1">
          <a:extLst>
            <a:ext uri="{FF2B5EF4-FFF2-40B4-BE49-F238E27FC236}">
              <a16:creationId xmlns:a16="http://schemas.microsoft.com/office/drawing/2014/main" id="{FE79F52C-D711-4640-83DE-C9901346E4A7}"/>
            </a:ext>
          </a:extLst>
        </xdr:cNvPr>
        <xdr:cNvSpPr txBox="1">
          <a:spLocks noChangeArrowheads="1"/>
        </xdr:cNvSpPr>
      </xdr:nvSpPr>
      <xdr:spPr bwMode="auto">
        <a:xfrm>
          <a:off x="3981263" y="20723716"/>
          <a:ext cx="1312022" cy="95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125111</xdr:rowOff>
    </xdr:from>
    <xdr:to>
      <xdr:col>5</xdr:col>
      <xdr:colOff>102160</xdr:colOff>
      <xdr:row>101</xdr:row>
      <xdr:rowOff>150944</xdr:rowOff>
    </xdr:to>
    <xdr:sp macro="" textlink="">
      <xdr:nvSpPr>
        <xdr:cNvPr id="682" name="Text Box 134" hidden="1">
          <a:extLst>
            <a:ext uri="{FF2B5EF4-FFF2-40B4-BE49-F238E27FC236}">
              <a16:creationId xmlns:a16="http://schemas.microsoft.com/office/drawing/2014/main" id="{8AE3CEF6-307D-41DD-B32B-7591F9721D4C}"/>
            </a:ext>
          </a:extLst>
        </xdr:cNvPr>
        <xdr:cNvSpPr txBox="1">
          <a:spLocks noChangeArrowheads="1"/>
        </xdr:cNvSpPr>
      </xdr:nvSpPr>
      <xdr:spPr bwMode="auto">
        <a:xfrm>
          <a:off x="3981263" y="20927711"/>
          <a:ext cx="1312022" cy="7497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125664</xdr:rowOff>
    </xdr:from>
    <xdr:to>
      <xdr:col>5</xdr:col>
      <xdr:colOff>102160</xdr:colOff>
      <xdr:row>101</xdr:row>
      <xdr:rowOff>152532</xdr:rowOff>
    </xdr:to>
    <xdr:sp macro="" textlink="">
      <xdr:nvSpPr>
        <xdr:cNvPr id="683" name="Text Box 133" hidden="1">
          <a:extLst>
            <a:ext uri="{FF2B5EF4-FFF2-40B4-BE49-F238E27FC236}">
              <a16:creationId xmlns:a16="http://schemas.microsoft.com/office/drawing/2014/main" id="{F7C75B65-56AE-4D62-80D6-10F7C812F247}"/>
            </a:ext>
          </a:extLst>
        </xdr:cNvPr>
        <xdr:cNvSpPr txBox="1">
          <a:spLocks noChangeArrowheads="1"/>
        </xdr:cNvSpPr>
      </xdr:nvSpPr>
      <xdr:spPr bwMode="auto">
        <a:xfrm>
          <a:off x="3981263" y="21109239"/>
          <a:ext cx="1312022" cy="5697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87330</xdr:rowOff>
    </xdr:from>
    <xdr:to>
      <xdr:col>5</xdr:col>
      <xdr:colOff>102160</xdr:colOff>
      <xdr:row>102</xdr:row>
      <xdr:rowOff>92767</xdr:rowOff>
    </xdr:to>
    <xdr:sp macro="" textlink="">
      <xdr:nvSpPr>
        <xdr:cNvPr id="684" name="Text Box 132" hidden="1">
          <a:extLst>
            <a:ext uri="{FF2B5EF4-FFF2-40B4-BE49-F238E27FC236}">
              <a16:creationId xmlns:a16="http://schemas.microsoft.com/office/drawing/2014/main" id="{A6A80BC3-EE67-4503-84DE-548AAC9FABDA}"/>
            </a:ext>
          </a:extLst>
        </xdr:cNvPr>
        <xdr:cNvSpPr txBox="1">
          <a:spLocks noChangeArrowheads="1"/>
        </xdr:cNvSpPr>
      </xdr:nvSpPr>
      <xdr:spPr bwMode="auto">
        <a:xfrm>
          <a:off x="3981263" y="21070905"/>
          <a:ext cx="1312022" cy="7293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522015</xdr:colOff>
      <xdr:row>14</xdr:row>
      <xdr:rowOff>31376</xdr:rowOff>
    </xdr:from>
    <xdr:to>
      <xdr:col>21</xdr:col>
      <xdr:colOff>445816</xdr:colOff>
      <xdr:row>18</xdr:row>
      <xdr:rowOff>47252</xdr:rowOff>
    </xdr:to>
    <xdr:sp macro="" textlink="">
      <xdr:nvSpPr>
        <xdr:cNvPr id="685" name="Text Box 155" hidden="1">
          <a:extLst>
            <a:ext uri="{FF2B5EF4-FFF2-40B4-BE49-F238E27FC236}">
              <a16:creationId xmlns:a16="http://schemas.microsoft.com/office/drawing/2014/main" id="{A0432585-2253-4330-B291-08A6EF51E345}"/>
            </a:ext>
          </a:extLst>
        </xdr:cNvPr>
        <xdr:cNvSpPr txBox="1">
          <a:spLocks noChangeArrowheads="1"/>
        </xdr:cNvSpPr>
      </xdr:nvSpPr>
      <xdr:spPr bwMode="auto">
        <a:xfrm>
          <a:off x="17590815" y="3460376"/>
          <a:ext cx="1447801" cy="739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19</xdr:row>
      <xdr:rowOff>85352</xdr:rowOff>
    </xdr:from>
    <xdr:to>
      <xdr:col>21</xdr:col>
      <xdr:colOff>274366</xdr:colOff>
      <xdr:row>23</xdr:row>
      <xdr:rowOff>131855</xdr:rowOff>
    </xdr:to>
    <xdr:sp macro="" textlink="">
      <xdr:nvSpPr>
        <xdr:cNvPr id="686" name="Text Box 156" hidden="1">
          <a:extLst>
            <a:ext uri="{FF2B5EF4-FFF2-40B4-BE49-F238E27FC236}">
              <a16:creationId xmlns:a16="http://schemas.microsoft.com/office/drawing/2014/main" id="{319F42E8-ADD3-47FD-AA8C-7539BA0B7736}"/>
            </a:ext>
          </a:extLst>
        </xdr:cNvPr>
        <xdr:cNvSpPr txBox="1">
          <a:spLocks noChangeArrowheads="1"/>
        </xdr:cNvSpPr>
      </xdr:nvSpPr>
      <xdr:spPr bwMode="auto">
        <a:xfrm>
          <a:off x="17552715" y="4419227"/>
          <a:ext cx="1314451" cy="77040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30</xdr:row>
      <xdr:rowOff>6475</xdr:rowOff>
    </xdr:from>
    <xdr:to>
      <xdr:col>21</xdr:col>
      <xdr:colOff>274366</xdr:colOff>
      <xdr:row>34</xdr:row>
      <xdr:rowOff>86642</xdr:rowOff>
    </xdr:to>
    <xdr:sp macro="" textlink="">
      <xdr:nvSpPr>
        <xdr:cNvPr id="687" name="Text Box 157" hidden="1">
          <a:extLst>
            <a:ext uri="{FF2B5EF4-FFF2-40B4-BE49-F238E27FC236}">
              <a16:creationId xmlns:a16="http://schemas.microsoft.com/office/drawing/2014/main" id="{18C504AE-AE3B-41F6-A7C2-2BB23784EC2B}"/>
            </a:ext>
          </a:extLst>
        </xdr:cNvPr>
        <xdr:cNvSpPr txBox="1">
          <a:spLocks noChangeArrowheads="1"/>
        </xdr:cNvSpPr>
      </xdr:nvSpPr>
      <xdr:spPr bwMode="auto">
        <a:xfrm>
          <a:off x="17552715" y="6683500"/>
          <a:ext cx="1314451" cy="8040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120</xdr:row>
      <xdr:rowOff>172490</xdr:rowOff>
    </xdr:from>
    <xdr:to>
      <xdr:col>21</xdr:col>
      <xdr:colOff>274366</xdr:colOff>
      <xdr:row>125</xdr:row>
      <xdr:rowOff>12183</xdr:rowOff>
    </xdr:to>
    <xdr:sp macro="" textlink="">
      <xdr:nvSpPr>
        <xdr:cNvPr id="688" name="Text Box 164" hidden="1">
          <a:extLst>
            <a:ext uri="{FF2B5EF4-FFF2-40B4-BE49-F238E27FC236}">
              <a16:creationId xmlns:a16="http://schemas.microsoft.com/office/drawing/2014/main" id="{B92F9EF0-8D27-4B56-9658-F713974A8D85}"/>
            </a:ext>
          </a:extLst>
        </xdr:cNvPr>
        <xdr:cNvSpPr txBox="1">
          <a:spLocks noChangeArrowheads="1"/>
        </xdr:cNvSpPr>
      </xdr:nvSpPr>
      <xdr:spPr bwMode="auto">
        <a:xfrm>
          <a:off x="17552715" y="25442315"/>
          <a:ext cx="1314451" cy="744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689" name="Text Box 27" hidden="1">
          <a:extLst>
            <a:ext uri="{FF2B5EF4-FFF2-40B4-BE49-F238E27FC236}">
              <a16:creationId xmlns:a16="http://schemas.microsoft.com/office/drawing/2014/main" id="{AABAD683-9967-4F56-B2A7-12906B4F54C1}"/>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78221</xdr:rowOff>
    </xdr:from>
    <xdr:to>
      <xdr:col>5</xdr:col>
      <xdr:colOff>102160</xdr:colOff>
      <xdr:row>250</xdr:row>
      <xdr:rowOff>78222</xdr:rowOff>
    </xdr:to>
    <xdr:sp macro="" textlink="">
      <xdr:nvSpPr>
        <xdr:cNvPr id="690" name="Text Box 26" hidden="1">
          <a:extLst>
            <a:ext uri="{FF2B5EF4-FFF2-40B4-BE49-F238E27FC236}">
              <a16:creationId xmlns:a16="http://schemas.microsoft.com/office/drawing/2014/main" id="{3DCBD245-1D15-402E-BE95-BB5208C2628C}"/>
            </a:ext>
          </a:extLst>
        </xdr:cNvPr>
        <xdr:cNvSpPr txBox="1">
          <a:spLocks noChangeArrowheads="1"/>
        </xdr:cNvSpPr>
      </xdr:nvSpPr>
      <xdr:spPr bwMode="auto">
        <a:xfrm>
          <a:off x="3981263" y="4471237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20123</xdr:rowOff>
    </xdr:from>
    <xdr:to>
      <xdr:col>5</xdr:col>
      <xdr:colOff>102160</xdr:colOff>
      <xdr:row>250</xdr:row>
      <xdr:rowOff>1650</xdr:rowOff>
    </xdr:to>
    <xdr:sp macro="" textlink="">
      <xdr:nvSpPr>
        <xdr:cNvPr id="691" name="Text Box 25" hidden="1">
          <a:extLst>
            <a:ext uri="{FF2B5EF4-FFF2-40B4-BE49-F238E27FC236}">
              <a16:creationId xmlns:a16="http://schemas.microsoft.com/office/drawing/2014/main" id="{707B16B7-9EA6-4934-8753-35F9A5351029}"/>
            </a:ext>
          </a:extLst>
        </xdr:cNvPr>
        <xdr:cNvSpPr txBox="1">
          <a:spLocks noChangeArrowheads="1"/>
        </xdr:cNvSpPr>
      </xdr:nvSpPr>
      <xdr:spPr bwMode="auto">
        <a:xfrm>
          <a:off x="3981263" y="45016223"/>
          <a:ext cx="1312022" cy="37820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20121</xdr:rowOff>
    </xdr:from>
    <xdr:to>
      <xdr:col>5</xdr:col>
      <xdr:colOff>102160</xdr:colOff>
      <xdr:row>251</xdr:row>
      <xdr:rowOff>78219</xdr:rowOff>
    </xdr:to>
    <xdr:sp macro="" textlink="">
      <xdr:nvSpPr>
        <xdr:cNvPr id="692" name="Text Box 24" hidden="1">
          <a:extLst>
            <a:ext uri="{FF2B5EF4-FFF2-40B4-BE49-F238E27FC236}">
              <a16:creationId xmlns:a16="http://schemas.microsoft.com/office/drawing/2014/main" id="{93646766-3FB3-4155-9EC2-336D17470B69}"/>
            </a:ext>
          </a:extLst>
        </xdr:cNvPr>
        <xdr:cNvSpPr txBox="1">
          <a:spLocks noChangeArrowheads="1"/>
        </xdr:cNvSpPr>
      </xdr:nvSpPr>
      <xdr:spPr bwMode="auto">
        <a:xfrm>
          <a:off x="3981263" y="45559146"/>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20122</xdr:rowOff>
    </xdr:from>
    <xdr:to>
      <xdr:col>5</xdr:col>
      <xdr:colOff>102160</xdr:colOff>
      <xdr:row>239</xdr:row>
      <xdr:rowOff>1650</xdr:rowOff>
    </xdr:to>
    <xdr:sp macro="" textlink="">
      <xdr:nvSpPr>
        <xdr:cNvPr id="693" name="Text Box 23" hidden="1">
          <a:extLst>
            <a:ext uri="{FF2B5EF4-FFF2-40B4-BE49-F238E27FC236}">
              <a16:creationId xmlns:a16="http://schemas.microsoft.com/office/drawing/2014/main" id="{2809D95F-3244-4E90-BE35-384F6172C1C9}"/>
            </a:ext>
          </a:extLst>
        </xdr:cNvPr>
        <xdr:cNvSpPr txBox="1">
          <a:spLocks noChangeArrowheads="1"/>
        </xdr:cNvSpPr>
      </xdr:nvSpPr>
      <xdr:spPr bwMode="auto">
        <a:xfrm>
          <a:off x="3981263" y="45740122"/>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142593</xdr:rowOff>
    </xdr:from>
    <xdr:to>
      <xdr:col>5</xdr:col>
      <xdr:colOff>102160</xdr:colOff>
      <xdr:row>216</xdr:row>
      <xdr:rowOff>1649</xdr:rowOff>
    </xdr:to>
    <xdr:sp macro="" textlink="">
      <xdr:nvSpPr>
        <xdr:cNvPr id="694" name="Text Box 22" hidden="1">
          <a:extLst>
            <a:ext uri="{FF2B5EF4-FFF2-40B4-BE49-F238E27FC236}">
              <a16:creationId xmlns:a16="http://schemas.microsoft.com/office/drawing/2014/main" id="{465813F6-0CC9-484E-A716-C0FE4F96B3E4}"/>
            </a:ext>
          </a:extLst>
        </xdr:cNvPr>
        <xdr:cNvSpPr txBox="1">
          <a:spLocks noChangeArrowheads="1"/>
        </xdr:cNvSpPr>
      </xdr:nvSpPr>
      <xdr:spPr bwMode="auto">
        <a:xfrm>
          <a:off x="3981263" y="41519193"/>
          <a:ext cx="1312022" cy="11258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20122</xdr:rowOff>
    </xdr:from>
    <xdr:to>
      <xdr:col>5</xdr:col>
      <xdr:colOff>102160</xdr:colOff>
      <xdr:row>217</xdr:row>
      <xdr:rowOff>20121</xdr:rowOff>
    </xdr:to>
    <xdr:sp macro="" textlink="">
      <xdr:nvSpPr>
        <xdr:cNvPr id="695" name="Text Box 21" hidden="1">
          <a:extLst>
            <a:ext uri="{FF2B5EF4-FFF2-40B4-BE49-F238E27FC236}">
              <a16:creationId xmlns:a16="http://schemas.microsoft.com/office/drawing/2014/main" id="{AE84F8AC-6504-4390-AA6D-35600B97DA2B}"/>
            </a:ext>
          </a:extLst>
        </xdr:cNvPr>
        <xdr:cNvSpPr txBox="1">
          <a:spLocks noChangeArrowheads="1"/>
        </xdr:cNvSpPr>
      </xdr:nvSpPr>
      <xdr:spPr bwMode="auto">
        <a:xfrm>
          <a:off x="3981263" y="41939647"/>
          <a:ext cx="1312022" cy="904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20121</xdr:rowOff>
    </xdr:from>
    <xdr:to>
      <xdr:col>5</xdr:col>
      <xdr:colOff>102160</xdr:colOff>
      <xdr:row>218</xdr:row>
      <xdr:rowOff>78221</xdr:rowOff>
    </xdr:to>
    <xdr:sp macro="" textlink="">
      <xdr:nvSpPr>
        <xdr:cNvPr id="696" name="Text Box 20" hidden="1">
          <a:extLst>
            <a:ext uri="{FF2B5EF4-FFF2-40B4-BE49-F238E27FC236}">
              <a16:creationId xmlns:a16="http://schemas.microsoft.com/office/drawing/2014/main" id="{43A64B64-FDD0-49E8-BBDE-AC0151299DA6}"/>
            </a:ext>
          </a:extLst>
        </xdr:cNvPr>
        <xdr:cNvSpPr txBox="1">
          <a:spLocks noChangeArrowheads="1"/>
        </xdr:cNvSpPr>
      </xdr:nvSpPr>
      <xdr:spPr bwMode="auto">
        <a:xfrm>
          <a:off x="3981263" y="42301596"/>
          <a:ext cx="1312022" cy="78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20122</xdr:rowOff>
    </xdr:from>
    <xdr:to>
      <xdr:col>5</xdr:col>
      <xdr:colOff>102160</xdr:colOff>
      <xdr:row>225</xdr:row>
      <xdr:rowOff>20121</xdr:rowOff>
    </xdr:to>
    <xdr:sp macro="" textlink="">
      <xdr:nvSpPr>
        <xdr:cNvPr id="697" name="Text Box 19" hidden="1">
          <a:extLst>
            <a:ext uri="{FF2B5EF4-FFF2-40B4-BE49-F238E27FC236}">
              <a16:creationId xmlns:a16="http://schemas.microsoft.com/office/drawing/2014/main" id="{9C9E4804-0C02-4896-96CA-7C220EF93D9D}"/>
            </a:ext>
          </a:extLst>
        </xdr:cNvPr>
        <xdr:cNvSpPr txBox="1">
          <a:spLocks noChangeArrowheads="1"/>
        </xdr:cNvSpPr>
      </xdr:nvSpPr>
      <xdr:spPr bwMode="auto">
        <a:xfrm>
          <a:off x="3981263" y="42663547"/>
          <a:ext cx="1312022" cy="16287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698" name="Text Box 18" hidden="1">
          <a:extLst>
            <a:ext uri="{FF2B5EF4-FFF2-40B4-BE49-F238E27FC236}">
              <a16:creationId xmlns:a16="http://schemas.microsoft.com/office/drawing/2014/main" id="{8B14343B-AD4C-464E-9D14-3A88E04AB644}"/>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83068</xdr:rowOff>
    </xdr:from>
    <xdr:to>
      <xdr:col>5</xdr:col>
      <xdr:colOff>102160</xdr:colOff>
      <xdr:row>79</xdr:row>
      <xdr:rowOff>180</xdr:rowOff>
    </xdr:to>
    <xdr:sp macro="" textlink="">
      <xdr:nvSpPr>
        <xdr:cNvPr id="699" name="Text Box 17" hidden="1">
          <a:extLst>
            <a:ext uri="{FF2B5EF4-FFF2-40B4-BE49-F238E27FC236}">
              <a16:creationId xmlns:a16="http://schemas.microsoft.com/office/drawing/2014/main" id="{F32909A2-C300-4A39-863D-7D74857BEF86}"/>
            </a:ext>
          </a:extLst>
        </xdr:cNvPr>
        <xdr:cNvSpPr txBox="1">
          <a:spLocks noChangeArrowheads="1"/>
        </xdr:cNvSpPr>
      </xdr:nvSpPr>
      <xdr:spPr bwMode="auto">
        <a:xfrm>
          <a:off x="3981263" y="16650218"/>
          <a:ext cx="1312022" cy="694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83068</xdr:rowOff>
    </xdr:from>
    <xdr:to>
      <xdr:col>5</xdr:col>
      <xdr:colOff>102160</xdr:colOff>
      <xdr:row>80</xdr:row>
      <xdr:rowOff>85273</xdr:rowOff>
    </xdr:to>
    <xdr:sp macro="" textlink="">
      <xdr:nvSpPr>
        <xdr:cNvPr id="700" name="Text Box 16" hidden="1">
          <a:extLst>
            <a:ext uri="{FF2B5EF4-FFF2-40B4-BE49-F238E27FC236}">
              <a16:creationId xmlns:a16="http://schemas.microsoft.com/office/drawing/2014/main" id="{99DF8134-9D02-412C-A422-E37AD9AFCB5A}"/>
            </a:ext>
          </a:extLst>
        </xdr:cNvPr>
        <xdr:cNvSpPr txBox="1">
          <a:spLocks noChangeArrowheads="1"/>
        </xdr:cNvSpPr>
      </xdr:nvSpPr>
      <xdr:spPr bwMode="auto">
        <a:xfrm>
          <a:off x="3981263" y="16650218"/>
          <a:ext cx="1312022" cy="9610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17340</xdr:rowOff>
    </xdr:from>
    <xdr:to>
      <xdr:col>5</xdr:col>
      <xdr:colOff>102160</xdr:colOff>
      <xdr:row>81</xdr:row>
      <xdr:rowOff>452</xdr:rowOff>
    </xdr:to>
    <xdr:sp macro="" textlink="">
      <xdr:nvSpPr>
        <xdr:cNvPr id="701" name="Text Box 15" hidden="1">
          <a:extLst>
            <a:ext uri="{FF2B5EF4-FFF2-40B4-BE49-F238E27FC236}">
              <a16:creationId xmlns:a16="http://schemas.microsoft.com/office/drawing/2014/main" id="{2E7373A2-0ED3-451A-82FF-D63CA831BDC1}"/>
            </a:ext>
          </a:extLst>
        </xdr:cNvPr>
        <xdr:cNvSpPr txBox="1">
          <a:spLocks noChangeArrowheads="1"/>
        </xdr:cNvSpPr>
      </xdr:nvSpPr>
      <xdr:spPr bwMode="auto">
        <a:xfrm>
          <a:off x="3981263" y="16765465"/>
          <a:ext cx="1312022" cy="9419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25442</xdr:rowOff>
    </xdr:from>
    <xdr:to>
      <xdr:col>5</xdr:col>
      <xdr:colOff>102160</xdr:colOff>
      <xdr:row>83</xdr:row>
      <xdr:rowOff>152197</xdr:rowOff>
    </xdr:to>
    <xdr:sp macro="" textlink="">
      <xdr:nvSpPr>
        <xdr:cNvPr id="702" name="Text Box 14" hidden="1">
          <a:extLst>
            <a:ext uri="{FF2B5EF4-FFF2-40B4-BE49-F238E27FC236}">
              <a16:creationId xmlns:a16="http://schemas.microsoft.com/office/drawing/2014/main" id="{FE62C4D2-1BD8-4033-8703-3C3FBEF11990}"/>
            </a:ext>
          </a:extLst>
        </xdr:cNvPr>
        <xdr:cNvSpPr txBox="1">
          <a:spLocks noChangeArrowheads="1"/>
        </xdr:cNvSpPr>
      </xdr:nvSpPr>
      <xdr:spPr bwMode="auto">
        <a:xfrm>
          <a:off x="3981263" y="16992642"/>
          <a:ext cx="1312022" cy="122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125974</xdr:rowOff>
    </xdr:from>
    <xdr:to>
      <xdr:col>5</xdr:col>
      <xdr:colOff>102160</xdr:colOff>
      <xdr:row>88</xdr:row>
      <xdr:rowOff>92450</xdr:rowOff>
    </xdr:to>
    <xdr:sp macro="" textlink="">
      <xdr:nvSpPr>
        <xdr:cNvPr id="703" name="Text Box 13" hidden="1">
          <a:extLst>
            <a:ext uri="{FF2B5EF4-FFF2-40B4-BE49-F238E27FC236}">
              <a16:creationId xmlns:a16="http://schemas.microsoft.com/office/drawing/2014/main" id="{514676E3-77CE-42C9-A956-E2A3E3788C97}"/>
            </a:ext>
          </a:extLst>
        </xdr:cNvPr>
        <xdr:cNvSpPr txBox="1">
          <a:spLocks noChangeArrowheads="1"/>
        </xdr:cNvSpPr>
      </xdr:nvSpPr>
      <xdr:spPr bwMode="auto">
        <a:xfrm>
          <a:off x="3981263" y="17651974"/>
          <a:ext cx="1312022" cy="16143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31201</xdr:rowOff>
    </xdr:from>
    <xdr:to>
      <xdr:col>5</xdr:col>
      <xdr:colOff>102160</xdr:colOff>
      <xdr:row>100</xdr:row>
      <xdr:rowOff>101928</xdr:rowOff>
    </xdr:to>
    <xdr:sp macro="" textlink="">
      <xdr:nvSpPr>
        <xdr:cNvPr id="704" name="Text Box 12" hidden="1">
          <a:extLst>
            <a:ext uri="{FF2B5EF4-FFF2-40B4-BE49-F238E27FC236}">
              <a16:creationId xmlns:a16="http://schemas.microsoft.com/office/drawing/2014/main" id="{31454E1E-1B21-4DC2-A1CD-6A13F120091C}"/>
            </a:ext>
          </a:extLst>
        </xdr:cNvPr>
        <xdr:cNvSpPr txBox="1">
          <a:spLocks noChangeArrowheads="1"/>
        </xdr:cNvSpPr>
      </xdr:nvSpPr>
      <xdr:spPr bwMode="auto">
        <a:xfrm>
          <a:off x="3981263" y="20649651"/>
          <a:ext cx="1312022" cy="7978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29860</xdr:rowOff>
    </xdr:from>
    <xdr:to>
      <xdr:col>5</xdr:col>
      <xdr:colOff>102160</xdr:colOff>
      <xdr:row>101</xdr:row>
      <xdr:rowOff>87556</xdr:rowOff>
    </xdr:to>
    <xdr:sp macro="" textlink="">
      <xdr:nvSpPr>
        <xdr:cNvPr id="705" name="Text Box 11" hidden="1">
          <a:extLst>
            <a:ext uri="{FF2B5EF4-FFF2-40B4-BE49-F238E27FC236}">
              <a16:creationId xmlns:a16="http://schemas.microsoft.com/office/drawing/2014/main" id="{126F12DB-8FFA-48FD-BA44-323DC5DAFB10}"/>
            </a:ext>
          </a:extLst>
        </xdr:cNvPr>
        <xdr:cNvSpPr txBox="1">
          <a:spLocks noChangeArrowheads="1"/>
        </xdr:cNvSpPr>
      </xdr:nvSpPr>
      <xdr:spPr bwMode="auto">
        <a:xfrm>
          <a:off x="3981263" y="20832460"/>
          <a:ext cx="1312022" cy="7815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49706</xdr:rowOff>
    </xdr:from>
    <xdr:to>
      <xdr:col>5</xdr:col>
      <xdr:colOff>102160</xdr:colOff>
      <xdr:row>102</xdr:row>
      <xdr:rowOff>116582</xdr:rowOff>
    </xdr:to>
    <xdr:sp macro="" textlink="">
      <xdr:nvSpPr>
        <xdr:cNvPr id="706" name="Text Box 10" hidden="1">
          <a:extLst>
            <a:ext uri="{FF2B5EF4-FFF2-40B4-BE49-F238E27FC236}">
              <a16:creationId xmlns:a16="http://schemas.microsoft.com/office/drawing/2014/main" id="{4E4EB467-9DF8-4EED-B28A-62CCAAF3001E}"/>
            </a:ext>
          </a:extLst>
        </xdr:cNvPr>
        <xdr:cNvSpPr txBox="1">
          <a:spLocks noChangeArrowheads="1"/>
        </xdr:cNvSpPr>
      </xdr:nvSpPr>
      <xdr:spPr bwMode="auto">
        <a:xfrm>
          <a:off x="3981263" y="21033281"/>
          <a:ext cx="1312022" cy="790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21755</xdr:rowOff>
    </xdr:from>
    <xdr:to>
      <xdr:col>5</xdr:col>
      <xdr:colOff>102160</xdr:colOff>
      <xdr:row>103</xdr:row>
      <xdr:rowOff>57686</xdr:rowOff>
    </xdr:to>
    <xdr:sp macro="" textlink="">
      <xdr:nvSpPr>
        <xdr:cNvPr id="707" name="Text Box 9" hidden="1">
          <a:extLst>
            <a:ext uri="{FF2B5EF4-FFF2-40B4-BE49-F238E27FC236}">
              <a16:creationId xmlns:a16="http://schemas.microsoft.com/office/drawing/2014/main" id="{B8AA8B40-BB16-4D7D-8F6F-ADBFA78B83C9}"/>
            </a:ext>
          </a:extLst>
        </xdr:cNvPr>
        <xdr:cNvSpPr txBox="1">
          <a:spLocks noChangeArrowheads="1"/>
        </xdr:cNvSpPr>
      </xdr:nvSpPr>
      <xdr:spPr bwMode="auto">
        <a:xfrm>
          <a:off x="3981263" y="21186305"/>
          <a:ext cx="1312022" cy="8360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535</xdr:rowOff>
    </xdr:from>
    <xdr:to>
      <xdr:col>5</xdr:col>
      <xdr:colOff>102160</xdr:colOff>
      <xdr:row>125</xdr:row>
      <xdr:rowOff>9537</xdr:rowOff>
    </xdr:to>
    <xdr:sp macro="" textlink="">
      <xdr:nvSpPr>
        <xdr:cNvPr id="708" name="Text Box 8" hidden="1">
          <a:extLst>
            <a:ext uri="{FF2B5EF4-FFF2-40B4-BE49-F238E27FC236}">
              <a16:creationId xmlns:a16="http://schemas.microsoft.com/office/drawing/2014/main" id="{CDBD322C-FD26-40F7-BADC-740969A9B8DF}"/>
            </a:ext>
          </a:extLst>
        </xdr:cNvPr>
        <xdr:cNvSpPr txBox="1">
          <a:spLocks noChangeArrowheads="1"/>
        </xdr:cNvSpPr>
      </xdr:nvSpPr>
      <xdr:spPr bwMode="auto">
        <a:xfrm>
          <a:off x="3981263" y="25270360"/>
          <a:ext cx="1312022" cy="9138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172490</xdr:rowOff>
    </xdr:from>
    <xdr:to>
      <xdr:col>5</xdr:col>
      <xdr:colOff>102160</xdr:colOff>
      <xdr:row>125</xdr:row>
      <xdr:rowOff>9537</xdr:rowOff>
    </xdr:to>
    <xdr:sp macro="" textlink="">
      <xdr:nvSpPr>
        <xdr:cNvPr id="709" name="Text Box 7" hidden="1">
          <a:extLst>
            <a:ext uri="{FF2B5EF4-FFF2-40B4-BE49-F238E27FC236}">
              <a16:creationId xmlns:a16="http://schemas.microsoft.com/office/drawing/2014/main" id="{E802DC72-AA1F-4ECF-8ECB-78AF306CE75D}"/>
            </a:ext>
          </a:extLst>
        </xdr:cNvPr>
        <xdr:cNvSpPr txBox="1">
          <a:spLocks noChangeArrowheads="1"/>
        </xdr:cNvSpPr>
      </xdr:nvSpPr>
      <xdr:spPr bwMode="auto">
        <a:xfrm>
          <a:off x="3981263" y="25442315"/>
          <a:ext cx="1312022" cy="7419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123574</xdr:rowOff>
    </xdr:from>
    <xdr:to>
      <xdr:col>5</xdr:col>
      <xdr:colOff>102160</xdr:colOff>
      <xdr:row>125</xdr:row>
      <xdr:rowOff>9537</xdr:rowOff>
    </xdr:to>
    <xdr:sp macro="" textlink="">
      <xdr:nvSpPr>
        <xdr:cNvPr id="710" name="Text Box 6" hidden="1">
          <a:extLst>
            <a:ext uri="{FF2B5EF4-FFF2-40B4-BE49-F238E27FC236}">
              <a16:creationId xmlns:a16="http://schemas.microsoft.com/office/drawing/2014/main" id="{CB8E52F2-750F-4636-B0D3-BF9CE5FB1CB1}"/>
            </a:ext>
          </a:extLst>
        </xdr:cNvPr>
        <xdr:cNvSpPr txBox="1">
          <a:spLocks noChangeArrowheads="1"/>
        </xdr:cNvSpPr>
      </xdr:nvSpPr>
      <xdr:spPr bwMode="auto">
        <a:xfrm>
          <a:off x="3981263" y="25574374"/>
          <a:ext cx="1312022" cy="6098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96586</xdr:rowOff>
    </xdr:from>
    <xdr:to>
      <xdr:col>5</xdr:col>
      <xdr:colOff>102160</xdr:colOff>
      <xdr:row>125</xdr:row>
      <xdr:rowOff>9537</xdr:rowOff>
    </xdr:to>
    <xdr:sp macro="" textlink="">
      <xdr:nvSpPr>
        <xdr:cNvPr id="711" name="Text Box 5" hidden="1">
          <a:extLst>
            <a:ext uri="{FF2B5EF4-FFF2-40B4-BE49-F238E27FC236}">
              <a16:creationId xmlns:a16="http://schemas.microsoft.com/office/drawing/2014/main" id="{079A5081-2BF2-4471-908C-1DBCC5CB8B53}"/>
            </a:ext>
          </a:extLst>
        </xdr:cNvPr>
        <xdr:cNvSpPr txBox="1">
          <a:spLocks noChangeArrowheads="1"/>
        </xdr:cNvSpPr>
      </xdr:nvSpPr>
      <xdr:spPr bwMode="auto">
        <a:xfrm>
          <a:off x="3981263" y="25547386"/>
          <a:ext cx="1312022" cy="6368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30</xdr:row>
      <xdr:rowOff>6475</xdr:rowOff>
    </xdr:from>
    <xdr:to>
      <xdr:col>21</xdr:col>
      <xdr:colOff>274366</xdr:colOff>
      <xdr:row>34</xdr:row>
      <xdr:rowOff>86642</xdr:rowOff>
    </xdr:to>
    <xdr:sp macro="" textlink="">
      <xdr:nvSpPr>
        <xdr:cNvPr id="712" name="Text Box 2" hidden="1">
          <a:extLst>
            <a:ext uri="{FF2B5EF4-FFF2-40B4-BE49-F238E27FC236}">
              <a16:creationId xmlns:a16="http://schemas.microsoft.com/office/drawing/2014/main" id="{E1D9ED91-530E-4A83-98B1-21A2E8382C03}"/>
            </a:ext>
          </a:extLst>
        </xdr:cNvPr>
        <xdr:cNvSpPr txBox="1">
          <a:spLocks noChangeArrowheads="1"/>
        </xdr:cNvSpPr>
      </xdr:nvSpPr>
      <xdr:spPr bwMode="auto">
        <a:xfrm>
          <a:off x="17533665" y="6683500"/>
          <a:ext cx="1333501" cy="804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145</xdr:row>
      <xdr:rowOff>97936</xdr:rowOff>
    </xdr:from>
    <xdr:to>
      <xdr:col>21</xdr:col>
      <xdr:colOff>274366</xdr:colOff>
      <xdr:row>149</xdr:row>
      <xdr:rowOff>145001</xdr:rowOff>
    </xdr:to>
    <xdr:sp macro="" textlink="">
      <xdr:nvSpPr>
        <xdr:cNvPr id="713" name="Text Box 1" hidden="1">
          <a:extLst>
            <a:ext uri="{FF2B5EF4-FFF2-40B4-BE49-F238E27FC236}">
              <a16:creationId xmlns:a16="http://schemas.microsoft.com/office/drawing/2014/main" id="{2159C6CE-9349-450C-A377-DFEAC8734E17}"/>
            </a:ext>
          </a:extLst>
        </xdr:cNvPr>
        <xdr:cNvSpPr txBox="1">
          <a:spLocks noChangeArrowheads="1"/>
        </xdr:cNvSpPr>
      </xdr:nvSpPr>
      <xdr:spPr bwMode="auto">
        <a:xfrm>
          <a:off x="17533665" y="29892136"/>
          <a:ext cx="1333501" cy="770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36</xdr:row>
      <xdr:rowOff>29789</xdr:rowOff>
    </xdr:from>
    <xdr:to>
      <xdr:col>21</xdr:col>
      <xdr:colOff>198533</xdr:colOff>
      <xdr:row>40</xdr:row>
      <xdr:rowOff>143529</xdr:rowOff>
    </xdr:to>
    <xdr:sp macro="" textlink="">
      <xdr:nvSpPr>
        <xdr:cNvPr id="714" name="Text Box 32" hidden="1">
          <a:extLst>
            <a:ext uri="{FF2B5EF4-FFF2-40B4-BE49-F238E27FC236}">
              <a16:creationId xmlns:a16="http://schemas.microsoft.com/office/drawing/2014/main" id="{03E6070D-AA1B-441B-8999-4B0F1EC36014}"/>
            </a:ext>
          </a:extLst>
        </xdr:cNvPr>
        <xdr:cNvSpPr txBox="1">
          <a:spLocks noChangeArrowheads="1"/>
        </xdr:cNvSpPr>
      </xdr:nvSpPr>
      <xdr:spPr bwMode="auto">
        <a:xfrm>
          <a:off x="17571765" y="7792664"/>
          <a:ext cx="1219568" cy="8376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37</xdr:row>
      <xdr:rowOff>48046</xdr:rowOff>
    </xdr:from>
    <xdr:to>
      <xdr:col>16</xdr:col>
      <xdr:colOff>198534</xdr:colOff>
      <xdr:row>41</xdr:row>
      <xdr:rowOff>143528</xdr:rowOff>
    </xdr:to>
    <xdr:sp macro="" textlink="">
      <xdr:nvSpPr>
        <xdr:cNvPr id="715" name="Text Box 33" hidden="1">
          <a:extLst>
            <a:ext uri="{FF2B5EF4-FFF2-40B4-BE49-F238E27FC236}">
              <a16:creationId xmlns:a16="http://schemas.microsoft.com/office/drawing/2014/main" id="{B3ECD286-32AD-4F02-9C4E-2B8C5541D566}"/>
            </a:ext>
          </a:extLst>
        </xdr:cNvPr>
        <xdr:cNvSpPr txBox="1">
          <a:spLocks noChangeArrowheads="1"/>
        </xdr:cNvSpPr>
      </xdr:nvSpPr>
      <xdr:spPr bwMode="auto">
        <a:xfrm>
          <a:off x="13687400" y="7991896"/>
          <a:ext cx="1217734" cy="81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716" name="Text Box 60" hidden="1">
          <a:extLst>
            <a:ext uri="{FF2B5EF4-FFF2-40B4-BE49-F238E27FC236}">
              <a16:creationId xmlns:a16="http://schemas.microsoft.com/office/drawing/2014/main" id="{68540954-1765-46D1-BEC4-DC3C2379160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64816</xdr:rowOff>
    </xdr:from>
    <xdr:to>
      <xdr:col>5</xdr:col>
      <xdr:colOff>102160</xdr:colOff>
      <xdr:row>246</xdr:row>
      <xdr:rowOff>64817</xdr:rowOff>
    </xdr:to>
    <xdr:sp macro="" textlink="">
      <xdr:nvSpPr>
        <xdr:cNvPr id="717" name="Text Box 59" hidden="1">
          <a:extLst>
            <a:ext uri="{FF2B5EF4-FFF2-40B4-BE49-F238E27FC236}">
              <a16:creationId xmlns:a16="http://schemas.microsoft.com/office/drawing/2014/main" id="{C71F4D73-00C1-40AA-9244-6CA3D95C2F96}"/>
            </a:ext>
          </a:extLst>
        </xdr:cNvPr>
        <xdr:cNvSpPr txBox="1">
          <a:spLocks noChangeArrowheads="1"/>
        </xdr:cNvSpPr>
      </xdr:nvSpPr>
      <xdr:spPr bwMode="auto">
        <a:xfrm>
          <a:off x="3981263" y="43975066"/>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20121</xdr:rowOff>
    </xdr:from>
    <xdr:to>
      <xdr:col>5</xdr:col>
      <xdr:colOff>102160</xdr:colOff>
      <xdr:row>246</xdr:row>
      <xdr:rowOff>9803</xdr:rowOff>
    </xdr:to>
    <xdr:sp macro="" textlink="">
      <xdr:nvSpPr>
        <xdr:cNvPr id="718" name="Text Box 58" hidden="1">
          <a:extLst>
            <a:ext uri="{FF2B5EF4-FFF2-40B4-BE49-F238E27FC236}">
              <a16:creationId xmlns:a16="http://schemas.microsoft.com/office/drawing/2014/main" id="{649DBA83-DBFA-4889-96D6-2A2BA28AC1BA}"/>
            </a:ext>
          </a:extLst>
        </xdr:cNvPr>
        <xdr:cNvSpPr txBox="1">
          <a:spLocks noChangeArrowheads="1"/>
        </xdr:cNvSpPr>
      </xdr:nvSpPr>
      <xdr:spPr bwMode="auto">
        <a:xfrm>
          <a:off x="3981263" y="44292321"/>
          <a:ext cx="1312022" cy="3790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20122</xdr:rowOff>
    </xdr:from>
    <xdr:to>
      <xdr:col>5</xdr:col>
      <xdr:colOff>102160</xdr:colOff>
      <xdr:row>247</xdr:row>
      <xdr:rowOff>64816</xdr:rowOff>
    </xdr:to>
    <xdr:sp macro="" textlink="">
      <xdr:nvSpPr>
        <xdr:cNvPr id="719" name="Text Box 57" hidden="1">
          <a:extLst>
            <a:ext uri="{FF2B5EF4-FFF2-40B4-BE49-F238E27FC236}">
              <a16:creationId xmlns:a16="http://schemas.microsoft.com/office/drawing/2014/main" id="{E2C33153-9FDF-46FB-A5FC-5B3A60DEB84B}"/>
            </a:ext>
          </a:extLst>
        </xdr:cNvPr>
        <xdr:cNvSpPr txBox="1">
          <a:spLocks noChangeArrowheads="1"/>
        </xdr:cNvSpPr>
      </xdr:nvSpPr>
      <xdr:spPr bwMode="auto">
        <a:xfrm>
          <a:off x="3981263" y="44835247"/>
          <a:ext cx="1312022" cy="34832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20123</xdr:rowOff>
    </xdr:from>
    <xdr:to>
      <xdr:col>5</xdr:col>
      <xdr:colOff>102160</xdr:colOff>
      <xdr:row>235</xdr:row>
      <xdr:rowOff>9803</xdr:rowOff>
    </xdr:to>
    <xdr:sp macro="" textlink="">
      <xdr:nvSpPr>
        <xdr:cNvPr id="720" name="Text Box 56" hidden="1">
          <a:extLst>
            <a:ext uri="{FF2B5EF4-FFF2-40B4-BE49-F238E27FC236}">
              <a16:creationId xmlns:a16="http://schemas.microsoft.com/office/drawing/2014/main" id="{EFF8BC16-8350-426A-B7E5-917178BBE816}"/>
            </a:ext>
          </a:extLst>
        </xdr:cNvPr>
        <xdr:cNvSpPr txBox="1">
          <a:spLocks noChangeArrowheads="1"/>
        </xdr:cNvSpPr>
      </xdr:nvSpPr>
      <xdr:spPr bwMode="auto">
        <a:xfrm>
          <a:off x="3981263" y="45016223"/>
          <a:ext cx="1312022" cy="10755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152118</xdr:rowOff>
    </xdr:from>
    <xdr:to>
      <xdr:col>5</xdr:col>
      <xdr:colOff>102160</xdr:colOff>
      <xdr:row>212</xdr:row>
      <xdr:rowOff>9803</xdr:rowOff>
    </xdr:to>
    <xdr:sp macro="" textlink="">
      <xdr:nvSpPr>
        <xdr:cNvPr id="721" name="Text Box 55" hidden="1">
          <a:extLst>
            <a:ext uri="{FF2B5EF4-FFF2-40B4-BE49-F238E27FC236}">
              <a16:creationId xmlns:a16="http://schemas.microsoft.com/office/drawing/2014/main" id="{8B53B089-F6F0-4FFC-841E-C221E773A42D}"/>
            </a:ext>
          </a:extLst>
        </xdr:cNvPr>
        <xdr:cNvSpPr txBox="1">
          <a:spLocks noChangeArrowheads="1"/>
        </xdr:cNvSpPr>
      </xdr:nvSpPr>
      <xdr:spPr bwMode="auto">
        <a:xfrm>
          <a:off x="3981263" y="40804818"/>
          <a:ext cx="1312022" cy="11245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20122</xdr:rowOff>
    </xdr:from>
    <xdr:to>
      <xdr:col>5</xdr:col>
      <xdr:colOff>102160</xdr:colOff>
      <xdr:row>213</xdr:row>
      <xdr:rowOff>48697</xdr:rowOff>
    </xdr:to>
    <xdr:sp macro="" textlink="">
      <xdr:nvSpPr>
        <xdr:cNvPr id="722" name="Text Box 54" hidden="1">
          <a:extLst>
            <a:ext uri="{FF2B5EF4-FFF2-40B4-BE49-F238E27FC236}">
              <a16:creationId xmlns:a16="http://schemas.microsoft.com/office/drawing/2014/main" id="{8B95B483-708B-4A72-BB12-5AED253FC730}"/>
            </a:ext>
          </a:extLst>
        </xdr:cNvPr>
        <xdr:cNvSpPr txBox="1">
          <a:spLocks noChangeArrowheads="1"/>
        </xdr:cNvSpPr>
      </xdr:nvSpPr>
      <xdr:spPr bwMode="auto">
        <a:xfrm>
          <a:off x="3981263" y="41215747"/>
          <a:ext cx="1312022" cy="93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20122</xdr:rowOff>
    </xdr:from>
    <xdr:to>
      <xdr:col>5</xdr:col>
      <xdr:colOff>102160</xdr:colOff>
      <xdr:row>214</xdr:row>
      <xdr:rowOff>64816</xdr:rowOff>
    </xdr:to>
    <xdr:sp macro="" textlink="">
      <xdr:nvSpPr>
        <xdr:cNvPr id="723" name="Text Box 53" hidden="1">
          <a:extLst>
            <a:ext uri="{FF2B5EF4-FFF2-40B4-BE49-F238E27FC236}">
              <a16:creationId xmlns:a16="http://schemas.microsoft.com/office/drawing/2014/main" id="{3EFB0C32-25A8-40F0-A493-0E4085732B46}"/>
            </a:ext>
          </a:extLst>
        </xdr:cNvPr>
        <xdr:cNvSpPr txBox="1">
          <a:spLocks noChangeArrowheads="1"/>
        </xdr:cNvSpPr>
      </xdr:nvSpPr>
      <xdr:spPr bwMode="auto">
        <a:xfrm>
          <a:off x="3981263" y="41577697"/>
          <a:ext cx="1312022" cy="768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20122</xdr:rowOff>
    </xdr:from>
    <xdr:to>
      <xdr:col>5</xdr:col>
      <xdr:colOff>102160</xdr:colOff>
      <xdr:row>221</xdr:row>
      <xdr:rowOff>48696</xdr:rowOff>
    </xdr:to>
    <xdr:sp macro="" textlink="">
      <xdr:nvSpPr>
        <xdr:cNvPr id="724" name="Text Box 52" hidden="1">
          <a:extLst>
            <a:ext uri="{FF2B5EF4-FFF2-40B4-BE49-F238E27FC236}">
              <a16:creationId xmlns:a16="http://schemas.microsoft.com/office/drawing/2014/main" id="{2108B18F-09FF-4786-A7B0-F2C15D137956}"/>
            </a:ext>
          </a:extLst>
        </xdr:cNvPr>
        <xdr:cNvSpPr txBox="1">
          <a:spLocks noChangeArrowheads="1"/>
        </xdr:cNvSpPr>
      </xdr:nvSpPr>
      <xdr:spPr bwMode="auto">
        <a:xfrm>
          <a:off x="3981263" y="41939647"/>
          <a:ext cx="1312022" cy="16573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106403</xdr:rowOff>
    </xdr:from>
    <xdr:to>
      <xdr:col>5</xdr:col>
      <xdr:colOff>102160</xdr:colOff>
      <xdr:row>76</xdr:row>
      <xdr:rowOff>56257</xdr:rowOff>
    </xdr:to>
    <xdr:sp macro="" textlink="">
      <xdr:nvSpPr>
        <xdr:cNvPr id="725" name="Text Box 50" hidden="1">
          <a:extLst>
            <a:ext uri="{FF2B5EF4-FFF2-40B4-BE49-F238E27FC236}">
              <a16:creationId xmlns:a16="http://schemas.microsoft.com/office/drawing/2014/main" id="{FB350E09-4695-4C40-91BD-23ED66277C42}"/>
            </a:ext>
          </a:extLst>
        </xdr:cNvPr>
        <xdr:cNvSpPr txBox="1">
          <a:spLocks noChangeArrowheads="1"/>
        </xdr:cNvSpPr>
      </xdr:nvSpPr>
      <xdr:spPr bwMode="auto">
        <a:xfrm>
          <a:off x="3981263" y="15946478"/>
          <a:ext cx="1312022" cy="6769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106403</xdr:rowOff>
    </xdr:from>
    <xdr:to>
      <xdr:col>5</xdr:col>
      <xdr:colOff>102160</xdr:colOff>
      <xdr:row>77</xdr:row>
      <xdr:rowOff>113040</xdr:rowOff>
    </xdr:to>
    <xdr:sp macro="" textlink="">
      <xdr:nvSpPr>
        <xdr:cNvPr id="726" name="Text Box 49" hidden="1">
          <a:extLst>
            <a:ext uri="{FF2B5EF4-FFF2-40B4-BE49-F238E27FC236}">
              <a16:creationId xmlns:a16="http://schemas.microsoft.com/office/drawing/2014/main" id="{11964BD7-C812-40F6-8022-75AF70A989C3}"/>
            </a:ext>
          </a:extLst>
        </xdr:cNvPr>
        <xdr:cNvSpPr txBox="1">
          <a:spLocks noChangeArrowheads="1"/>
        </xdr:cNvSpPr>
      </xdr:nvSpPr>
      <xdr:spPr bwMode="auto">
        <a:xfrm>
          <a:off x="3981263" y="15946478"/>
          <a:ext cx="1312022" cy="9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19042</xdr:rowOff>
    </xdr:from>
    <xdr:to>
      <xdr:col>5</xdr:col>
      <xdr:colOff>102160</xdr:colOff>
      <xdr:row>78</xdr:row>
      <xdr:rowOff>49488</xdr:rowOff>
    </xdr:to>
    <xdr:sp macro="" textlink="">
      <xdr:nvSpPr>
        <xdr:cNvPr id="727" name="Text Box 48" hidden="1">
          <a:extLst>
            <a:ext uri="{FF2B5EF4-FFF2-40B4-BE49-F238E27FC236}">
              <a16:creationId xmlns:a16="http://schemas.microsoft.com/office/drawing/2014/main" id="{9FD1C16A-F4D8-479C-973F-61657B6DED3A}"/>
            </a:ext>
          </a:extLst>
        </xdr:cNvPr>
        <xdr:cNvSpPr txBox="1">
          <a:spLocks noChangeArrowheads="1"/>
        </xdr:cNvSpPr>
      </xdr:nvSpPr>
      <xdr:spPr bwMode="auto">
        <a:xfrm>
          <a:off x="3981263" y="16040092"/>
          <a:ext cx="1312022" cy="9702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7590</xdr:rowOff>
    </xdr:from>
    <xdr:to>
      <xdr:col>5</xdr:col>
      <xdr:colOff>102160</xdr:colOff>
      <xdr:row>80</xdr:row>
      <xdr:rowOff>68847</xdr:rowOff>
    </xdr:to>
    <xdr:sp macro="" textlink="">
      <xdr:nvSpPr>
        <xdr:cNvPr id="728" name="Text Box 47" hidden="1">
          <a:extLst>
            <a:ext uri="{FF2B5EF4-FFF2-40B4-BE49-F238E27FC236}">
              <a16:creationId xmlns:a16="http://schemas.microsoft.com/office/drawing/2014/main" id="{40FAFFE8-F08E-49CF-B038-57A1AE94D39B}"/>
            </a:ext>
          </a:extLst>
        </xdr:cNvPr>
        <xdr:cNvSpPr txBox="1">
          <a:spLocks noChangeArrowheads="1"/>
        </xdr:cNvSpPr>
      </xdr:nvSpPr>
      <xdr:spPr bwMode="auto">
        <a:xfrm>
          <a:off x="3981263" y="16212790"/>
          <a:ext cx="1312022" cy="1382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190302</xdr:rowOff>
    </xdr:from>
    <xdr:to>
      <xdr:col>5</xdr:col>
      <xdr:colOff>102160</xdr:colOff>
      <xdr:row>85</xdr:row>
      <xdr:rowOff>95877</xdr:rowOff>
    </xdr:to>
    <xdr:sp macro="" textlink="">
      <xdr:nvSpPr>
        <xdr:cNvPr id="729" name="Text Box 46" hidden="1">
          <a:extLst>
            <a:ext uri="{FF2B5EF4-FFF2-40B4-BE49-F238E27FC236}">
              <a16:creationId xmlns:a16="http://schemas.microsoft.com/office/drawing/2014/main" id="{07533AB5-3F22-4975-B073-4D95BFF0493C}"/>
            </a:ext>
          </a:extLst>
        </xdr:cNvPr>
        <xdr:cNvSpPr txBox="1">
          <a:spLocks noChangeArrowheads="1"/>
        </xdr:cNvSpPr>
      </xdr:nvSpPr>
      <xdr:spPr bwMode="auto">
        <a:xfrm>
          <a:off x="3981263" y="16935252"/>
          <a:ext cx="1312022" cy="159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67443</xdr:rowOff>
    </xdr:from>
    <xdr:to>
      <xdr:col>5</xdr:col>
      <xdr:colOff>102160</xdr:colOff>
      <xdr:row>96</xdr:row>
      <xdr:rowOff>105266</xdr:rowOff>
    </xdr:to>
    <xdr:sp macro="" textlink="">
      <xdr:nvSpPr>
        <xdr:cNvPr id="730" name="Text Box 45" hidden="1">
          <a:extLst>
            <a:ext uri="{FF2B5EF4-FFF2-40B4-BE49-F238E27FC236}">
              <a16:creationId xmlns:a16="http://schemas.microsoft.com/office/drawing/2014/main" id="{2B0540B1-1E95-4D6A-8C51-5052218FA253}"/>
            </a:ext>
          </a:extLst>
        </xdr:cNvPr>
        <xdr:cNvSpPr txBox="1">
          <a:spLocks noChangeArrowheads="1"/>
        </xdr:cNvSpPr>
      </xdr:nvSpPr>
      <xdr:spPr bwMode="auto">
        <a:xfrm>
          <a:off x="3981263" y="19965168"/>
          <a:ext cx="1312022" cy="7585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28934</xdr:rowOff>
    </xdr:from>
    <xdr:to>
      <xdr:col>5</xdr:col>
      <xdr:colOff>102160</xdr:colOff>
      <xdr:row>97</xdr:row>
      <xdr:rowOff>125111</xdr:rowOff>
    </xdr:to>
    <xdr:sp macro="" textlink="">
      <xdr:nvSpPr>
        <xdr:cNvPr id="731" name="Text Box 44" hidden="1">
          <a:extLst>
            <a:ext uri="{FF2B5EF4-FFF2-40B4-BE49-F238E27FC236}">
              <a16:creationId xmlns:a16="http://schemas.microsoft.com/office/drawing/2014/main" id="{CE66F94F-3825-4459-ADA3-FBAE64FA964B}"/>
            </a:ext>
          </a:extLst>
        </xdr:cNvPr>
        <xdr:cNvSpPr txBox="1">
          <a:spLocks noChangeArrowheads="1"/>
        </xdr:cNvSpPr>
      </xdr:nvSpPr>
      <xdr:spPr bwMode="auto">
        <a:xfrm>
          <a:off x="3981263" y="20107634"/>
          <a:ext cx="1312022" cy="820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21058</xdr:rowOff>
    </xdr:from>
    <xdr:to>
      <xdr:col>5</xdr:col>
      <xdr:colOff>102160</xdr:colOff>
      <xdr:row>98</xdr:row>
      <xdr:rowOff>125664</xdr:rowOff>
    </xdr:to>
    <xdr:sp macro="" textlink="">
      <xdr:nvSpPr>
        <xdr:cNvPr id="732" name="Text Box 43" hidden="1">
          <a:extLst>
            <a:ext uri="{FF2B5EF4-FFF2-40B4-BE49-F238E27FC236}">
              <a16:creationId xmlns:a16="http://schemas.microsoft.com/office/drawing/2014/main" id="{8199404B-336D-4014-83D3-3938586732A1}"/>
            </a:ext>
          </a:extLst>
        </xdr:cNvPr>
        <xdr:cNvSpPr txBox="1">
          <a:spLocks noChangeArrowheads="1"/>
        </xdr:cNvSpPr>
      </xdr:nvSpPr>
      <xdr:spPr bwMode="auto">
        <a:xfrm>
          <a:off x="3981263" y="20280733"/>
          <a:ext cx="1312022" cy="828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8656</xdr:rowOff>
    </xdr:from>
    <xdr:to>
      <xdr:col>5</xdr:col>
      <xdr:colOff>102160</xdr:colOff>
      <xdr:row>99</xdr:row>
      <xdr:rowOff>124698</xdr:rowOff>
    </xdr:to>
    <xdr:sp macro="" textlink="">
      <xdr:nvSpPr>
        <xdr:cNvPr id="733" name="Text Box 42" hidden="1">
          <a:extLst>
            <a:ext uri="{FF2B5EF4-FFF2-40B4-BE49-F238E27FC236}">
              <a16:creationId xmlns:a16="http://schemas.microsoft.com/office/drawing/2014/main" id="{0389115E-09FF-451F-AFD0-E0208C165147}"/>
            </a:ext>
          </a:extLst>
        </xdr:cNvPr>
        <xdr:cNvSpPr txBox="1">
          <a:spLocks noChangeArrowheads="1"/>
        </xdr:cNvSpPr>
      </xdr:nvSpPr>
      <xdr:spPr bwMode="auto">
        <a:xfrm>
          <a:off x="3981263" y="20452481"/>
          <a:ext cx="1312022" cy="8367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30833</xdr:rowOff>
    </xdr:from>
    <xdr:to>
      <xdr:col>5</xdr:col>
      <xdr:colOff>102160</xdr:colOff>
      <xdr:row>121</xdr:row>
      <xdr:rowOff>28734</xdr:rowOff>
    </xdr:to>
    <xdr:sp macro="" textlink="">
      <xdr:nvSpPr>
        <xdr:cNvPr id="734" name="Text Box 41" hidden="1">
          <a:extLst>
            <a:ext uri="{FF2B5EF4-FFF2-40B4-BE49-F238E27FC236}">
              <a16:creationId xmlns:a16="http://schemas.microsoft.com/office/drawing/2014/main" id="{E7B0303F-A2C8-4729-83E3-7B99A47390C1}"/>
            </a:ext>
          </a:extLst>
        </xdr:cNvPr>
        <xdr:cNvSpPr txBox="1">
          <a:spLocks noChangeArrowheads="1"/>
        </xdr:cNvSpPr>
      </xdr:nvSpPr>
      <xdr:spPr bwMode="auto">
        <a:xfrm>
          <a:off x="3981263" y="24576758"/>
          <a:ext cx="1312022" cy="902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9109</xdr:rowOff>
    </xdr:from>
    <xdr:to>
      <xdr:col>5</xdr:col>
      <xdr:colOff>102160</xdr:colOff>
      <xdr:row>121</xdr:row>
      <xdr:rowOff>28734</xdr:rowOff>
    </xdr:to>
    <xdr:sp macro="" textlink="">
      <xdr:nvSpPr>
        <xdr:cNvPr id="735" name="Text Box 40" hidden="1">
          <a:extLst>
            <a:ext uri="{FF2B5EF4-FFF2-40B4-BE49-F238E27FC236}">
              <a16:creationId xmlns:a16="http://schemas.microsoft.com/office/drawing/2014/main" id="{2D42C541-9A86-41DC-8F58-2C8ABC309D66}"/>
            </a:ext>
          </a:extLst>
        </xdr:cNvPr>
        <xdr:cNvSpPr txBox="1">
          <a:spLocks noChangeArrowheads="1"/>
        </xdr:cNvSpPr>
      </xdr:nvSpPr>
      <xdr:spPr bwMode="auto">
        <a:xfrm>
          <a:off x="3981263" y="24736009"/>
          <a:ext cx="1312022" cy="743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118</xdr:row>
      <xdr:rowOff>1249</xdr:rowOff>
    </xdr:from>
    <xdr:to>
      <xdr:col>5</xdr:col>
      <xdr:colOff>102160</xdr:colOff>
      <xdr:row>121</xdr:row>
      <xdr:rowOff>28734</xdr:rowOff>
    </xdr:to>
    <xdr:sp macro="" textlink="">
      <xdr:nvSpPr>
        <xdr:cNvPr id="736" name="Text Box 39" hidden="1">
          <a:extLst>
            <a:ext uri="{FF2B5EF4-FFF2-40B4-BE49-F238E27FC236}">
              <a16:creationId xmlns:a16="http://schemas.microsoft.com/office/drawing/2014/main" id="{57390ECB-5656-4527-A08E-986EEE0CDA63}"/>
            </a:ext>
          </a:extLst>
        </xdr:cNvPr>
        <xdr:cNvSpPr txBox="1">
          <a:spLocks noChangeArrowheads="1"/>
        </xdr:cNvSpPr>
      </xdr:nvSpPr>
      <xdr:spPr bwMode="auto">
        <a:xfrm>
          <a:off x="3981263" y="24909124"/>
          <a:ext cx="1312022" cy="570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132523</xdr:rowOff>
    </xdr:from>
    <xdr:to>
      <xdr:col>5</xdr:col>
      <xdr:colOff>102160</xdr:colOff>
      <xdr:row>121</xdr:row>
      <xdr:rowOff>28734</xdr:rowOff>
    </xdr:to>
    <xdr:sp macro="" textlink="">
      <xdr:nvSpPr>
        <xdr:cNvPr id="737" name="Text Box 38" hidden="1">
          <a:extLst>
            <a:ext uri="{FF2B5EF4-FFF2-40B4-BE49-F238E27FC236}">
              <a16:creationId xmlns:a16="http://schemas.microsoft.com/office/drawing/2014/main" id="{D4629C98-A1B9-4D77-BD3C-50FAE071BD2C}"/>
            </a:ext>
          </a:extLst>
        </xdr:cNvPr>
        <xdr:cNvSpPr txBox="1">
          <a:spLocks noChangeArrowheads="1"/>
        </xdr:cNvSpPr>
      </xdr:nvSpPr>
      <xdr:spPr bwMode="auto">
        <a:xfrm>
          <a:off x="3981263" y="24859423"/>
          <a:ext cx="1312022" cy="6201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26</xdr:row>
      <xdr:rowOff>19003</xdr:rowOff>
    </xdr:from>
    <xdr:to>
      <xdr:col>21</xdr:col>
      <xdr:colOff>274366</xdr:colOff>
      <xdr:row>30</xdr:row>
      <xdr:rowOff>28700</xdr:rowOff>
    </xdr:to>
    <xdr:sp macro="" textlink="">
      <xdr:nvSpPr>
        <xdr:cNvPr id="738" name="Text Box 37" hidden="1">
          <a:extLst>
            <a:ext uri="{FF2B5EF4-FFF2-40B4-BE49-F238E27FC236}">
              <a16:creationId xmlns:a16="http://schemas.microsoft.com/office/drawing/2014/main" id="{276F91CB-DA95-4A82-9AC4-D51CB7EB4FF9}"/>
            </a:ext>
          </a:extLst>
        </xdr:cNvPr>
        <xdr:cNvSpPr txBox="1">
          <a:spLocks noChangeArrowheads="1"/>
        </xdr:cNvSpPr>
      </xdr:nvSpPr>
      <xdr:spPr bwMode="auto">
        <a:xfrm>
          <a:off x="17533665" y="5975303"/>
          <a:ext cx="1333501" cy="7304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141</xdr:row>
      <xdr:rowOff>78093</xdr:rowOff>
    </xdr:from>
    <xdr:to>
      <xdr:col>21</xdr:col>
      <xdr:colOff>274366</xdr:colOff>
      <xdr:row>145</xdr:row>
      <xdr:rowOff>104286</xdr:rowOff>
    </xdr:to>
    <xdr:sp macro="" textlink="">
      <xdr:nvSpPr>
        <xdr:cNvPr id="739" name="Text Box 36" hidden="1">
          <a:extLst>
            <a:ext uri="{FF2B5EF4-FFF2-40B4-BE49-F238E27FC236}">
              <a16:creationId xmlns:a16="http://schemas.microsoft.com/office/drawing/2014/main" id="{D4AB4708-9677-438C-A687-B28D3CBF7E64}"/>
            </a:ext>
          </a:extLst>
        </xdr:cNvPr>
        <xdr:cNvSpPr txBox="1">
          <a:spLocks noChangeArrowheads="1"/>
        </xdr:cNvSpPr>
      </xdr:nvSpPr>
      <xdr:spPr bwMode="auto">
        <a:xfrm>
          <a:off x="17533665" y="29148393"/>
          <a:ext cx="1333501" cy="7500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32</xdr:row>
      <xdr:rowOff>1823</xdr:rowOff>
    </xdr:from>
    <xdr:to>
      <xdr:col>21</xdr:col>
      <xdr:colOff>198533</xdr:colOff>
      <xdr:row>36</xdr:row>
      <xdr:rowOff>77414</xdr:rowOff>
    </xdr:to>
    <xdr:sp macro="" textlink="">
      <xdr:nvSpPr>
        <xdr:cNvPr id="740" name="Text Box 35" hidden="1">
          <a:extLst>
            <a:ext uri="{FF2B5EF4-FFF2-40B4-BE49-F238E27FC236}">
              <a16:creationId xmlns:a16="http://schemas.microsoft.com/office/drawing/2014/main" id="{6C5A6390-3048-4428-9271-71497E676738}"/>
            </a:ext>
          </a:extLst>
        </xdr:cNvPr>
        <xdr:cNvSpPr txBox="1">
          <a:spLocks noChangeArrowheads="1"/>
        </xdr:cNvSpPr>
      </xdr:nvSpPr>
      <xdr:spPr bwMode="auto">
        <a:xfrm>
          <a:off x="17571765" y="7040798"/>
          <a:ext cx="1219568" cy="7994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33</xdr:row>
      <xdr:rowOff>8623</xdr:rowOff>
    </xdr:from>
    <xdr:to>
      <xdr:col>16</xdr:col>
      <xdr:colOff>198534</xdr:colOff>
      <xdr:row>37</xdr:row>
      <xdr:rowOff>95671</xdr:rowOff>
    </xdr:to>
    <xdr:sp macro="" textlink="">
      <xdr:nvSpPr>
        <xdr:cNvPr id="741" name="Text Box 34" hidden="1">
          <a:extLst>
            <a:ext uri="{FF2B5EF4-FFF2-40B4-BE49-F238E27FC236}">
              <a16:creationId xmlns:a16="http://schemas.microsoft.com/office/drawing/2014/main" id="{7801E62E-C7DC-4D2B-9E4A-08CF74E2767D}"/>
            </a:ext>
          </a:extLst>
        </xdr:cNvPr>
        <xdr:cNvSpPr txBox="1">
          <a:spLocks noChangeArrowheads="1"/>
        </xdr:cNvSpPr>
      </xdr:nvSpPr>
      <xdr:spPr bwMode="auto">
        <a:xfrm>
          <a:off x="13687400" y="7231748"/>
          <a:ext cx="1217734" cy="8077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742" name="Text Box 86" hidden="1">
          <a:extLst>
            <a:ext uri="{FF2B5EF4-FFF2-40B4-BE49-F238E27FC236}">
              <a16:creationId xmlns:a16="http://schemas.microsoft.com/office/drawing/2014/main" id="{1339FBE2-4419-4DFF-AC5C-50DFA717142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116959</xdr:rowOff>
    </xdr:from>
    <xdr:to>
      <xdr:col>5</xdr:col>
      <xdr:colOff>102160</xdr:colOff>
      <xdr:row>223</xdr:row>
      <xdr:rowOff>102673</xdr:rowOff>
    </xdr:to>
    <xdr:sp macro="" textlink="">
      <xdr:nvSpPr>
        <xdr:cNvPr id="743" name="Text Box 85" hidden="1">
          <a:extLst>
            <a:ext uri="{FF2B5EF4-FFF2-40B4-BE49-F238E27FC236}">
              <a16:creationId xmlns:a16="http://schemas.microsoft.com/office/drawing/2014/main" id="{846E5049-0435-4640-BECE-0023D0A3A3A0}"/>
            </a:ext>
          </a:extLst>
        </xdr:cNvPr>
        <xdr:cNvSpPr txBox="1">
          <a:spLocks noChangeArrowheads="1"/>
        </xdr:cNvSpPr>
      </xdr:nvSpPr>
      <xdr:spPr bwMode="auto">
        <a:xfrm>
          <a:off x="3981263" y="39864784"/>
          <a:ext cx="1312022" cy="4148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78222</xdr:rowOff>
    </xdr:from>
    <xdr:to>
      <xdr:col>5</xdr:col>
      <xdr:colOff>102160</xdr:colOff>
      <xdr:row>223</xdr:row>
      <xdr:rowOff>20916</xdr:rowOff>
    </xdr:to>
    <xdr:sp macro="" textlink="">
      <xdr:nvSpPr>
        <xdr:cNvPr id="744" name="Text Box 84" hidden="1">
          <a:extLst>
            <a:ext uri="{FF2B5EF4-FFF2-40B4-BE49-F238E27FC236}">
              <a16:creationId xmlns:a16="http://schemas.microsoft.com/office/drawing/2014/main" id="{356D2AEF-A5C9-4634-BABF-DA7A63B13D8D}"/>
            </a:ext>
          </a:extLst>
        </xdr:cNvPr>
        <xdr:cNvSpPr txBox="1">
          <a:spLocks noChangeArrowheads="1"/>
        </xdr:cNvSpPr>
      </xdr:nvSpPr>
      <xdr:spPr bwMode="auto">
        <a:xfrm>
          <a:off x="3981263" y="40187997"/>
          <a:ext cx="1312022" cy="37431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65609</xdr:rowOff>
    </xdr:from>
    <xdr:to>
      <xdr:col>5</xdr:col>
      <xdr:colOff>102160</xdr:colOff>
      <xdr:row>224</xdr:row>
      <xdr:rowOff>102671</xdr:rowOff>
    </xdr:to>
    <xdr:sp macro="" textlink="">
      <xdr:nvSpPr>
        <xdr:cNvPr id="745" name="Text Box 83" hidden="1">
          <a:extLst>
            <a:ext uri="{FF2B5EF4-FFF2-40B4-BE49-F238E27FC236}">
              <a16:creationId xmlns:a16="http://schemas.microsoft.com/office/drawing/2014/main" id="{79B67D3C-A064-4163-8FB0-1F0951F900A7}"/>
            </a:ext>
          </a:extLst>
        </xdr:cNvPr>
        <xdr:cNvSpPr txBox="1">
          <a:spLocks noChangeArrowheads="1"/>
        </xdr:cNvSpPr>
      </xdr:nvSpPr>
      <xdr:spPr bwMode="auto">
        <a:xfrm>
          <a:off x="3981263" y="40718309"/>
          <a:ext cx="1312022" cy="34755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212</xdr:row>
      <xdr:rowOff>20916</xdr:rowOff>
    </xdr:to>
    <xdr:sp macro="" textlink="">
      <xdr:nvSpPr>
        <xdr:cNvPr id="746" name="Text Box 82" hidden="1">
          <a:extLst>
            <a:ext uri="{FF2B5EF4-FFF2-40B4-BE49-F238E27FC236}">
              <a16:creationId xmlns:a16="http://schemas.microsoft.com/office/drawing/2014/main" id="{87F124B2-1EF2-4332-8402-73FBEB5ACCC9}"/>
            </a:ext>
          </a:extLst>
        </xdr:cNvPr>
        <xdr:cNvSpPr txBox="1">
          <a:spLocks noChangeArrowheads="1"/>
        </xdr:cNvSpPr>
      </xdr:nvSpPr>
      <xdr:spPr bwMode="auto">
        <a:xfrm>
          <a:off x="3981263" y="40899285"/>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183</xdr:row>
      <xdr:rowOff>142592</xdr:rowOff>
    </xdr:from>
    <xdr:to>
      <xdr:col>5</xdr:col>
      <xdr:colOff>102160</xdr:colOff>
      <xdr:row>190</xdr:row>
      <xdr:rowOff>63</xdr:rowOff>
    </xdr:to>
    <xdr:sp macro="" textlink="">
      <xdr:nvSpPr>
        <xdr:cNvPr id="747" name="Text Box 81" hidden="1">
          <a:extLst>
            <a:ext uri="{FF2B5EF4-FFF2-40B4-BE49-F238E27FC236}">
              <a16:creationId xmlns:a16="http://schemas.microsoft.com/office/drawing/2014/main" id="{FF0D0520-CA62-4E30-BE02-D04C6509FA9E}"/>
            </a:ext>
          </a:extLst>
        </xdr:cNvPr>
        <xdr:cNvSpPr txBox="1">
          <a:spLocks noChangeArrowheads="1"/>
        </xdr:cNvSpPr>
      </xdr:nvSpPr>
      <xdr:spPr bwMode="auto">
        <a:xfrm>
          <a:off x="3981263" y="36813842"/>
          <a:ext cx="1312022" cy="11242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47904</xdr:rowOff>
    </xdr:from>
    <xdr:to>
      <xdr:col>5</xdr:col>
      <xdr:colOff>102160</xdr:colOff>
      <xdr:row>191</xdr:row>
      <xdr:rowOff>1652</xdr:rowOff>
    </xdr:to>
    <xdr:sp macro="" textlink="">
      <xdr:nvSpPr>
        <xdr:cNvPr id="748" name="Text Box 80" hidden="1">
          <a:extLst>
            <a:ext uri="{FF2B5EF4-FFF2-40B4-BE49-F238E27FC236}">
              <a16:creationId xmlns:a16="http://schemas.microsoft.com/office/drawing/2014/main" id="{62C476E4-11AF-4C60-95DE-D36C22185406}"/>
            </a:ext>
          </a:extLst>
        </xdr:cNvPr>
        <xdr:cNvSpPr txBox="1">
          <a:spLocks noChangeArrowheads="1"/>
        </xdr:cNvSpPr>
      </xdr:nvSpPr>
      <xdr:spPr bwMode="auto">
        <a:xfrm>
          <a:off x="3981263" y="37262079"/>
          <a:ext cx="1312022" cy="858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63724</xdr:rowOff>
    </xdr:from>
    <xdr:to>
      <xdr:col>5</xdr:col>
      <xdr:colOff>102160</xdr:colOff>
      <xdr:row>192</xdr:row>
      <xdr:rowOff>857</xdr:rowOff>
    </xdr:to>
    <xdr:sp macro="" textlink="">
      <xdr:nvSpPr>
        <xdr:cNvPr id="749" name="Text Box 79" hidden="1">
          <a:extLst>
            <a:ext uri="{FF2B5EF4-FFF2-40B4-BE49-F238E27FC236}">
              <a16:creationId xmlns:a16="http://schemas.microsoft.com/office/drawing/2014/main" id="{21A44408-9A5D-4AFC-9383-3F8922881728}"/>
            </a:ext>
          </a:extLst>
        </xdr:cNvPr>
        <xdr:cNvSpPr txBox="1">
          <a:spLocks noChangeArrowheads="1"/>
        </xdr:cNvSpPr>
      </xdr:nvSpPr>
      <xdr:spPr bwMode="auto">
        <a:xfrm>
          <a:off x="3981263" y="37639849"/>
          <a:ext cx="1312022" cy="6610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31235</xdr:rowOff>
    </xdr:from>
    <xdr:to>
      <xdr:col>5</xdr:col>
      <xdr:colOff>102160</xdr:colOff>
      <xdr:row>198</xdr:row>
      <xdr:rowOff>125691</xdr:rowOff>
    </xdr:to>
    <xdr:sp macro="" textlink="">
      <xdr:nvSpPr>
        <xdr:cNvPr id="750" name="Text Box 78" hidden="1">
          <a:extLst>
            <a:ext uri="{FF2B5EF4-FFF2-40B4-BE49-F238E27FC236}">
              <a16:creationId xmlns:a16="http://schemas.microsoft.com/office/drawing/2014/main" id="{3A4D67C7-CFAF-4F4F-A0CF-6D57F65644CD}"/>
            </a:ext>
          </a:extLst>
        </xdr:cNvPr>
        <xdr:cNvSpPr txBox="1">
          <a:spLocks noChangeArrowheads="1"/>
        </xdr:cNvSpPr>
      </xdr:nvSpPr>
      <xdr:spPr bwMode="auto">
        <a:xfrm>
          <a:off x="3981263" y="37969310"/>
          <a:ext cx="1312022" cy="15422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49634</xdr:rowOff>
    </xdr:from>
    <xdr:to>
      <xdr:col>5</xdr:col>
      <xdr:colOff>102160</xdr:colOff>
      <xdr:row>57</xdr:row>
      <xdr:rowOff>373203</xdr:rowOff>
    </xdr:to>
    <xdr:sp macro="" textlink="">
      <xdr:nvSpPr>
        <xdr:cNvPr id="751" name="Text Box 77" hidden="1">
          <a:extLst>
            <a:ext uri="{FF2B5EF4-FFF2-40B4-BE49-F238E27FC236}">
              <a16:creationId xmlns:a16="http://schemas.microsoft.com/office/drawing/2014/main" id="{7B2E37ED-7167-4E0E-8C29-C4155C3160C8}"/>
            </a:ext>
          </a:extLst>
        </xdr:cNvPr>
        <xdr:cNvSpPr txBox="1">
          <a:spLocks noChangeArrowheads="1"/>
        </xdr:cNvSpPr>
      </xdr:nvSpPr>
      <xdr:spPr bwMode="auto">
        <a:xfrm>
          <a:off x="3981263" y="11251034"/>
          <a:ext cx="1312022" cy="682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49634</xdr:rowOff>
    </xdr:from>
    <xdr:to>
      <xdr:col>5</xdr:col>
      <xdr:colOff>102160</xdr:colOff>
      <xdr:row>58</xdr:row>
      <xdr:rowOff>104356</xdr:rowOff>
    </xdr:to>
    <xdr:sp macro="" textlink="">
      <xdr:nvSpPr>
        <xdr:cNvPr id="752" name="Text Box 76" hidden="1">
          <a:extLst>
            <a:ext uri="{FF2B5EF4-FFF2-40B4-BE49-F238E27FC236}">
              <a16:creationId xmlns:a16="http://schemas.microsoft.com/office/drawing/2014/main" id="{77FBBE80-48DD-4775-86B2-D5FC9C782F59}"/>
            </a:ext>
          </a:extLst>
        </xdr:cNvPr>
        <xdr:cNvSpPr txBox="1">
          <a:spLocks noChangeArrowheads="1"/>
        </xdr:cNvSpPr>
      </xdr:nvSpPr>
      <xdr:spPr bwMode="auto">
        <a:xfrm>
          <a:off x="3981263" y="11251034"/>
          <a:ext cx="1312022" cy="9405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10412</xdr:rowOff>
    </xdr:from>
    <xdr:to>
      <xdr:col>5</xdr:col>
      <xdr:colOff>102160</xdr:colOff>
      <xdr:row>59</xdr:row>
      <xdr:rowOff>73585</xdr:rowOff>
    </xdr:to>
    <xdr:sp macro="" textlink="">
      <xdr:nvSpPr>
        <xdr:cNvPr id="753" name="Text Box 75" hidden="1">
          <a:extLst>
            <a:ext uri="{FF2B5EF4-FFF2-40B4-BE49-F238E27FC236}">
              <a16:creationId xmlns:a16="http://schemas.microsoft.com/office/drawing/2014/main" id="{BE44E23A-8504-43A5-A571-B0BAB9CE9D05}"/>
            </a:ext>
          </a:extLst>
        </xdr:cNvPr>
        <xdr:cNvSpPr txBox="1">
          <a:spLocks noChangeArrowheads="1"/>
        </xdr:cNvSpPr>
      </xdr:nvSpPr>
      <xdr:spPr bwMode="auto">
        <a:xfrm>
          <a:off x="3981263" y="11573762"/>
          <a:ext cx="1312022" cy="98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392253</xdr:rowOff>
    </xdr:from>
    <xdr:to>
      <xdr:col>5</xdr:col>
      <xdr:colOff>102160</xdr:colOff>
      <xdr:row>61</xdr:row>
      <xdr:rowOff>37140</xdr:rowOff>
    </xdr:to>
    <xdr:sp macro="" textlink="">
      <xdr:nvSpPr>
        <xdr:cNvPr id="754" name="Text Box 74" hidden="1">
          <a:extLst>
            <a:ext uri="{FF2B5EF4-FFF2-40B4-BE49-F238E27FC236}">
              <a16:creationId xmlns:a16="http://schemas.microsoft.com/office/drawing/2014/main" id="{D239C182-148F-4D07-986E-B1C4D9E347F6}"/>
            </a:ext>
          </a:extLst>
        </xdr:cNvPr>
        <xdr:cNvSpPr txBox="1">
          <a:spLocks noChangeArrowheads="1"/>
        </xdr:cNvSpPr>
      </xdr:nvSpPr>
      <xdr:spPr bwMode="auto">
        <a:xfrm>
          <a:off x="3981263" y="11952428"/>
          <a:ext cx="1312022" cy="1346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202539</xdr:rowOff>
    </xdr:from>
    <xdr:to>
      <xdr:col>5</xdr:col>
      <xdr:colOff>102160</xdr:colOff>
      <xdr:row>64</xdr:row>
      <xdr:rowOff>29069</xdr:rowOff>
    </xdr:to>
    <xdr:sp macro="" textlink="">
      <xdr:nvSpPr>
        <xdr:cNvPr id="755" name="Text Box 73" hidden="1">
          <a:extLst>
            <a:ext uri="{FF2B5EF4-FFF2-40B4-BE49-F238E27FC236}">
              <a16:creationId xmlns:a16="http://schemas.microsoft.com/office/drawing/2014/main" id="{25E0519D-F62A-4D4E-AEF7-A033685A2324}"/>
            </a:ext>
          </a:extLst>
        </xdr:cNvPr>
        <xdr:cNvSpPr txBox="1">
          <a:spLocks noChangeArrowheads="1"/>
        </xdr:cNvSpPr>
      </xdr:nvSpPr>
      <xdr:spPr bwMode="auto">
        <a:xfrm>
          <a:off x="3981263" y="12677114"/>
          <a:ext cx="1312022" cy="16013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93917</xdr:rowOff>
    </xdr:from>
    <xdr:to>
      <xdr:col>5</xdr:col>
      <xdr:colOff>102160</xdr:colOff>
      <xdr:row>75</xdr:row>
      <xdr:rowOff>74436</xdr:rowOff>
    </xdr:to>
    <xdr:sp macro="" textlink="">
      <xdr:nvSpPr>
        <xdr:cNvPr id="756" name="Text Box 72" hidden="1">
          <a:extLst>
            <a:ext uri="{FF2B5EF4-FFF2-40B4-BE49-F238E27FC236}">
              <a16:creationId xmlns:a16="http://schemas.microsoft.com/office/drawing/2014/main" id="{13BC0CBD-636C-400A-84B3-650F26E5F042}"/>
            </a:ext>
          </a:extLst>
        </xdr:cNvPr>
        <xdr:cNvSpPr txBox="1">
          <a:spLocks noChangeArrowheads="1"/>
        </xdr:cNvSpPr>
      </xdr:nvSpPr>
      <xdr:spPr bwMode="auto">
        <a:xfrm>
          <a:off x="3981263" y="15753017"/>
          <a:ext cx="1312022" cy="707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102160</xdr:colOff>
      <xdr:row>76</xdr:row>
      <xdr:rowOff>83861</xdr:rowOff>
    </xdr:to>
    <xdr:sp macro="" textlink="">
      <xdr:nvSpPr>
        <xdr:cNvPr id="757" name="Text Box 71" hidden="1">
          <a:extLst>
            <a:ext uri="{FF2B5EF4-FFF2-40B4-BE49-F238E27FC236}">
              <a16:creationId xmlns:a16="http://schemas.microsoft.com/office/drawing/2014/main" id="{8B274BFD-3E62-446E-8387-5EA69EBF9EAA}"/>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30948</xdr:rowOff>
    </xdr:from>
    <xdr:to>
      <xdr:col>5</xdr:col>
      <xdr:colOff>102160</xdr:colOff>
      <xdr:row>77</xdr:row>
      <xdr:rowOff>112246</xdr:rowOff>
    </xdr:to>
    <xdr:sp macro="" textlink="">
      <xdr:nvSpPr>
        <xdr:cNvPr id="758" name="Text Box 70" hidden="1">
          <a:extLst>
            <a:ext uri="{FF2B5EF4-FFF2-40B4-BE49-F238E27FC236}">
              <a16:creationId xmlns:a16="http://schemas.microsoft.com/office/drawing/2014/main" id="{7A1B0C74-72E6-46CD-A0A3-8C1382E62FEB}"/>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102160</xdr:colOff>
      <xdr:row>78</xdr:row>
      <xdr:rowOff>97557</xdr:rowOff>
    </xdr:to>
    <xdr:sp macro="" textlink="">
      <xdr:nvSpPr>
        <xdr:cNvPr id="759" name="Text Box 69" hidden="1">
          <a:extLst>
            <a:ext uri="{FF2B5EF4-FFF2-40B4-BE49-F238E27FC236}">
              <a16:creationId xmlns:a16="http://schemas.microsoft.com/office/drawing/2014/main" id="{C3680CF5-CA60-4EEE-80E5-154337E3F510}"/>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67953</xdr:rowOff>
    </xdr:from>
    <xdr:to>
      <xdr:col>5</xdr:col>
      <xdr:colOff>102160</xdr:colOff>
      <xdr:row>99</xdr:row>
      <xdr:rowOff>103033</xdr:rowOff>
    </xdr:to>
    <xdr:sp macro="" textlink="">
      <xdr:nvSpPr>
        <xdr:cNvPr id="760" name="Text Box 68" hidden="1">
          <a:extLst>
            <a:ext uri="{FF2B5EF4-FFF2-40B4-BE49-F238E27FC236}">
              <a16:creationId xmlns:a16="http://schemas.microsoft.com/office/drawing/2014/main" id="{CFBD864B-7DDA-4131-9FA1-6892FD554F16}"/>
            </a:ext>
          </a:extLst>
        </xdr:cNvPr>
        <xdr:cNvSpPr txBox="1">
          <a:spLocks noChangeArrowheads="1"/>
        </xdr:cNvSpPr>
      </xdr:nvSpPr>
      <xdr:spPr bwMode="auto">
        <a:xfrm>
          <a:off x="3981263" y="20327628"/>
          <a:ext cx="1312022" cy="9399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68388</xdr:rowOff>
    </xdr:from>
    <xdr:to>
      <xdr:col>5</xdr:col>
      <xdr:colOff>102160</xdr:colOff>
      <xdr:row>99</xdr:row>
      <xdr:rowOff>103033</xdr:rowOff>
    </xdr:to>
    <xdr:sp macro="" textlink="">
      <xdr:nvSpPr>
        <xdr:cNvPr id="761" name="Text Box 67" hidden="1">
          <a:extLst>
            <a:ext uri="{FF2B5EF4-FFF2-40B4-BE49-F238E27FC236}">
              <a16:creationId xmlns:a16="http://schemas.microsoft.com/office/drawing/2014/main" id="{A9EA47E9-1D0A-46AC-A394-C5C4CCED9B20}"/>
            </a:ext>
          </a:extLst>
        </xdr:cNvPr>
        <xdr:cNvSpPr txBox="1">
          <a:spLocks noChangeArrowheads="1"/>
        </xdr:cNvSpPr>
      </xdr:nvSpPr>
      <xdr:spPr bwMode="auto">
        <a:xfrm>
          <a:off x="3981263" y="20505863"/>
          <a:ext cx="1312022" cy="761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46063</xdr:rowOff>
    </xdr:from>
    <xdr:to>
      <xdr:col>5</xdr:col>
      <xdr:colOff>102160</xdr:colOff>
      <xdr:row>99</xdr:row>
      <xdr:rowOff>103033</xdr:rowOff>
    </xdr:to>
    <xdr:sp macro="" textlink="">
      <xdr:nvSpPr>
        <xdr:cNvPr id="762" name="Text Box 66" hidden="1">
          <a:extLst>
            <a:ext uri="{FF2B5EF4-FFF2-40B4-BE49-F238E27FC236}">
              <a16:creationId xmlns:a16="http://schemas.microsoft.com/office/drawing/2014/main" id="{49A14B63-5A53-455F-B658-FADE3350BB7B}"/>
            </a:ext>
          </a:extLst>
        </xdr:cNvPr>
        <xdr:cNvSpPr txBox="1">
          <a:spLocks noChangeArrowheads="1"/>
        </xdr:cNvSpPr>
      </xdr:nvSpPr>
      <xdr:spPr bwMode="auto">
        <a:xfrm>
          <a:off x="3981263" y="20670863"/>
          <a:ext cx="1312022" cy="596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19030</xdr:rowOff>
    </xdr:from>
    <xdr:to>
      <xdr:col>5</xdr:col>
      <xdr:colOff>102160</xdr:colOff>
      <xdr:row>99</xdr:row>
      <xdr:rowOff>103033</xdr:rowOff>
    </xdr:to>
    <xdr:sp macro="" textlink="">
      <xdr:nvSpPr>
        <xdr:cNvPr id="763" name="Text Box 65" hidden="1">
          <a:extLst>
            <a:ext uri="{FF2B5EF4-FFF2-40B4-BE49-F238E27FC236}">
              <a16:creationId xmlns:a16="http://schemas.microsoft.com/office/drawing/2014/main" id="{88AA11F8-5198-4959-92DB-106B68D31715}"/>
            </a:ext>
          </a:extLst>
        </xdr:cNvPr>
        <xdr:cNvSpPr txBox="1">
          <a:spLocks noChangeArrowheads="1"/>
        </xdr:cNvSpPr>
      </xdr:nvSpPr>
      <xdr:spPr bwMode="auto">
        <a:xfrm>
          <a:off x="3981263" y="20643830"/>
          <a:ext cx="1312022" cy="6237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119</xdr:row>
      <xdr:rowOff>1330</xdr:rowOff>
    </xdr:from>
    <xdr:to>
      <xdr:col>21</xdr:col>
      <xdr:colOff>274366</xdr:colOff>
      <xdr:row>123</xdr:row>
      <xdr:rowOff>19475</xdr:rowOff>
    </xdr:to>
    <xdr:sp macro="" textlink="">
      <xdr:nvSpPr>
        <xdr:cNvPr id="764" name="Text Box 63" hidden="1">
          <a:extLst>
            <a:ext uri="{FF2B5EF4-FFF2-40B4-BE49-F238E27FC236}">
              <a16:creationId xmlns:a16="http://schemas.microsoft.com/office/drawing/2014/main" id="{5AB70086-E3FF-47C2-9057-68DAF9FED7A8}"/>
            </a:ext>
          </a:extLst>
        </xdr:cNvPr>
        <xdr:cNvSpPr txBox="1">
          <a:spLocks noChangeArrowheads="1"/>
        </xdr:cNvSpPr>
      </xdr:nvSpPr>
      <xdr:spPr bwMode="auto">
        <a:xfrm>
          <a:off x="17533665" y="25090180"/>
          <a:ext cx="1333501" cy="7420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20</xdr:row>
      <xdr:rowOff>50426</xdr:rowOff>
    </xdr:from>
    <xdr:to>
      <xdr:col>22</xdr:col>
      <xdr:colOff>445815</xdr:colOff>
      <xdr:row>23</xdr:row>
      <xdr:rowOff>249377</xdr:rowOff>
    </xdr:to>
    <xdr:sp macro="" textlink="">
      <xdr:nvSpPr>
        <xdr:cNvPr id="765" name="Text Box 87" hidden="1">
          <a:extLst>
            <a:ext uri="{FF2B5EF4-FFF2-40B4-BE49-F238E27FC236}">
              <a16:creationId xmlns:a16="http://schemas.microsoft.com/office/drawing/2014/main" id="{26E86C31-5D82-47BA-966B-9D683450B498}"/>
            </a:ext>
          </a:extLst>
        </xdr:cNvPr>
        <xdr:cNvSpPr txBox="1">
          <a:spLocks noChangeArrowheads="1"/>
        </xdr:cNvSpPr>
      </xdr:nvSpPr>
      <xdr:spPr bwMode="auto">
        <a:xfrm>
          <a:off x="18352815" y="4565276"/>
          <a:ext cx="1447800" cy="738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27</xdr:row>
      <xdr:rowOff>173395</xdr:rowOff>
    </xdr:from>
    <xdr:to>
      <xdr:col>22</xdr:col>
      <xdr:colOff>445815</xdr:colOff>
      <xdr:row>32</xdr:row>
      <xdr:rowOff>29026</xdr:rowOff>
    </xdr:to>
    <xdr:sp macro="" textlink="">
      <xdr:nvSpPr>
        <xdr:cNvPr id="766" name="Text Box 88" hidden="1">
          <a:extLst>
            <a:ext uri="{FF2B5EF4-FFF2-40B4-BE49-F238E27FC236}">
              <a16:creationId xmlns:a16="http://schemas.microsoft.com/office/drawing/2014/main" id="{D8DC883F-2FDF-4978-AC0F-FE6281572864}"/>
            </a:ext>
          </a:extLst>
        </xdr:cNvPr>
        <xdr:cNvSpPr txBox="1">
          <a:spLocks noChangeArrowheads="1"/>
        </xdr:cNvSpPr>
      </xdr:nvSpPr>
      <xdr:spPr bwMode="auto">
        <a:xfrm>
          <a:off x="18352815" y="6304320"/>
          <a:ext cx="1447800" cy="760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123</xdr:row>
      <xdr:rowOff>9806</xdr:rowOff>
    </xdr:from>
    <xdr:to>
      <xdr:col>22</xdr:col>
      <xdr:colOff>445815</xdr:colOff>
      <xdr:row>126</xdr:row>
      <xdr:rowOff>142886</xdr:rowOff>
    </xdr:to>
    <xdr:sp macro="" textlink="">
      <xdr:nvSpPr>
        <xdr:cNvPr id="767" name="Text Box 132" hidden="1">
          <a:extLst>
            <a:ext uri="{FF2B5EF4-FFF2-40B4-BE49-F238E27FC236}">
              <a16:creationId xmlns:a16="http://schemas.microsoft.com/office/drawing/2014/main" id="{88403E3A-D412-46C7-B506-C100AFFB1451}"/>
            </a:ext>
          </a:extLst>
        </xdr:cNvPr>
        <xdr:cNvSpPr txBox="1">
          <a:spLocks noChangeArrowheads="1"/>
        </xdr:cNvSpPr>
      </xdr:nvSpPr>
      <xdr:spPr bwMode="auto">
        <a:xfrm>
          <a:off x="18352815" y="25822556"/>
          <a:ext cx="1447800" cy="6760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768" name="Text Box 158" hidden="1">
          <a:extLst>
            <a:ext uri="{FF2B5EF4-FFF2-40B4-BE49-F238E27FC236}">
              <a16:creationId xmlns:a16="http://schemas.microsoft.com/office/drawing/2014/main" id="{AA8E1EED-0A6A-4C21-A76F-7298A213E36A}"/>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102160</xdr:colOff>
      <xdr:row>224</xdr:row>
      <xdr:rowOff>102671</xdr:rowOff>
    </xdr:to>
    <xdr:sp macro="" textlink="">
      <xdr:nvSpPr>
        <xdr:cNvPr id="769" name="Text Box 157" hidden="1">
          <a:extLst>
            <a:ext uri="{FF2B5EF4-FFF2-40B4-BE49-F238E27FC236}">
              <a16:creationId xmlns:a16="http://schemas.microsoft.com/office/drawing/2014/main" id="{4ED049A0-BD0C-4BD8-BDB6-E40B04CB4EA7}"/>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65609</xdr:rowOff>
    </xdr:from>
    <xdr:to>
      <xdr:col>5</xdr:col>
      <xdr:colOff>102160</xdr:colOff>
      <xdr:row>224</xdr:row>
      <xdr:rowOff>20916</xdr:rowOff>
    </xdr:to>
    <xdr:sp macro="" textlink="">
      <xdr:nvSpPr>
        <xdr:cNvPr id="770" name="Text Box 156" hidden="1">
          <a:extLst>
            <a:ext uri="{FF2B5EF4-FFF2-40B4-BE49-F238E27FC236}">
              <a16:creationId xmlns:a16="http://schemas.microsoft.com/office/drawing/2014/main" id="{BAB1B43E-56F0-46EA-9AFC-E919D65909EA}"/>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225</xdr:row>
      <xdr:rowOff>102671</xdr:rowOff>
    </xdr:to>
    <xdr:sp macro="" textlink="">
      <xdr:nvSpPr>
        <xdr:cNvPr id="771" name="Text Box 155" hidden="1">
          <a:extLst>
            <a:ext uri="{FF2B5EF4-FFF2-40B4-BE49-F238E27FC236}">
              <a16:creationId xmlns:a16="http://schemas.microsoft.com/office/drawing/2014/main" id="{80B09511-DAB4-4A1F-B93A-AEC7EAB56FA4}"/>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65609</xdr:rowOff>
    </xdr:from>
    <xdr:to>
      <xdr:col>5</xdr:col>
      <xdr:colOff>102160</xdr:colOff>
      <xdr:row>213</xdr:row>
      <xdr:rowOff>20916</xdr:rowOff>
    </xdr:to>
    <xdr:sp macro="" textlink="">
      <xdr:nvSpPr>
        <xdr:cNvPr id="772" name="Text Box 154" hidden="1">
          <a:extLst>
            <a:ext uri="{FF2B5EF4-FFF2-40B4-BE49-F238E27FC236}">
              <a16:creationId xmlns:a16="http://schemas.microsoft.com/office/drawing/2014/main" id="{ADE565FF-DBA5-4649-92B7-1DC94A4CFF1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142592</xdr:rowOff>
    </xdr:from>
    <xdr:to>
      <xdr:col>5</xdr:col>
      <xdr:colOff>102160</xdr:colOff>
      <xdr:row>190</xdr:row>
      <xdr:rowOff>124104</xdr:rowOff>
    </xdr:to>
    <xdr:sp macro="" textlink="">
      <xdr:nvSpPr>
        <xdr:cNvPr id="773" name="Text Box 153" hidden="1">
          <a:extLst>
            <a:ext uri="{FF2B5EF4-FFF2-40B4-BE49-F238E27FC236}">
              <a16:creationId xmlns:a16="http://schemas.microsoft.com/office/drawing/2014/main" id="{244E3602-10C2-4045-A770-6104DA7D38F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69577</xdr:rowOff>
    </xdr:from>
    <xdr:to>
      <xdr:col>5</xdr:col>
      <xdr:colOff>102160</xdr:colOff>
      <xdr:row>192</xdr:row>
      <xdr:rowOff>9917</xdr:rowOff>
    </xdr:to>
    <xdr:sp macro="" textlink="">
      <xdr:nvSpPr>
        <xdr:cNvPr id="774" name="Text Box 152" hidden="1">
          <a:extLst>
            <a:ext uri="{FF2B5EF4-FFF2-40B4-BE49-F238E27FC236}">
              <a16:creationId xmlns:a16="http://schemas.microsoft.com/office/drawing/2014/main" id="{6BEFCDC5-71AA-4253-9269-A8EA50305DDE}"/>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102160</xdr:colOff>
      <xdr:row>192</xdr:row>
      <xdr:rowOff>164818</xdr:rowOff>
    </xdr:to>
    <xdr:sp macro="" textlink="">
      <xdr:nvSpPr>
        <xdr:cNvPr id="775" name="Text Box 151" hidden="1">
          <a:extLst>
            <a:ext uri="{FF2B5EF4-FFF2-40B4-BE49-F238E27FC236}">
              <a16:creationId xmlns:a16="http://schemas.microsoft.com/office/drawing/2014/main" id="{88E89F5C-24CE-4AC1-84B5-58038DCFAC99}"/>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164819</xdr:rowOff>
    </xdr:from>
    <xdr:to>
      <xdr:col>5</xdr:col>
      <xdr:colOff>102160</xdr:colOff>
      <xdr:row>199</xdr:row>
      <xdr:rowOff>125692</xdr:rowOff>
    </xdr:to>
    <xdr:sp macro="" textlink="">
      <xdr:nvSpPr>
        <xdr:cNvPr id="776" name="Text Box 150" hidden="1">
          <a:extLst>
            <a:ext uri="{FF2B5EF4-FFF2-40B4-BE49-F238E27FC236}">
              <a16:creationId xmlns:a16="http://schemas.microsoft.com/office/drawing/2014/main" id="{1F822355-0139-4CFF-8784-D31DE422A759}"/>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102160</xdr:colOff>
      <xdr:row>58</xdr:row>
      <xdr:rowOff>134518</xdr:rowOff>
    </xdr:to>
    <xdr:sp macro="" textlink="">
      <xdr:nvSpPr>
        <xdr:cNvPr id="777" name="Text Box 149" hidden="1">
          <a:extLst>
            <a:ext uri="{FF2B5EF4-FFF2-40B4-BE49-F238E27FC236}">
              <a16:creationId xmlns:a16="http://schemas.microsoft.com/office/drawing/2014/main" id="{8ACA913B-667E-4ED4-89B7-08D27B0066D9}"/>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102160</xdr:colOff>
      <xdr:row>59</xdr:row>
      <xdr:rowOff>349596</xdr:rowOff>
    </xdr:to>
    <xdr:sp macro="" textlink="">
      <xdr:nvSpPr>
        <xdr:cNvPr id="778" name="Text Box 148" hidden="1">
          <a:extLst>
            <a:ext uri="{FF2B5EF4-FFF2-40B4-BE49-F238E27FC236}">
              <a16:creationId xmlns:a16="http://schemas.microsoft.com/office/drawing/2014/main" id="{E2472538-29C5-4D20-BC51-B8FD1D0989A2}"/>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58318</xdr:rowOff>
    </xdr:from>
    <xdr:to>
      <xdr:col>5</xdr:col>
      <xdr:colOff>102160</xdr:colOff>
      <xdr:row>60</xdr:row>
      <xdr:rowOff>256979</xdr:rowOff>
    </xdr:to>
    <xdr:sp macro="" textlink="">
      <xdr:nvSpPr>
        <xdr:cNvPr id="779" name="Text Box 147" hidden="1">
          <a:extLst>
            <a:ext uri="{FF2B5EF4-FFF2-40B4-BE49-F238E27FC236}">
              <a16:creationId xmlns:a16="http://schemas.microsoft.com/office/drawing/2014/main" id="{33D2D57B-77AE-4C5C-8E03-9CF1899048B8}"/>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96418</xdr:rowOff>
    </xdr:from>
    <xdr:to>
      <xdr:col>5</xdr:col>
      <xdr:colOff>102160</xdr:colOff>
      <xdr:row>62</xdr:row>
      <xdr:rowOff>150267</xdr:rowOff>
    </xdr:to>
    <xdr:sp macro="" textlink="">
      <xdr:nvSpPr>
        <xdr:cNvPr id="780" name="Text Box 146" hidden="1">
          <a:extLst>
            <a:ext uri="{FF2B5EF4-FFF2-40B4-BE49-F238E27FC236}">
              <a16:creationId xmlns:a16="http://schemas.microsoft.com/office/drawing/2014/main" id="{4F4FAB34-CE49-4DB2-A62F-4003DCCE473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368646</xdr:rowOff>
    </xdr:from>
    <xdr:to>
      <xdr:col>5</xdr:col>
      <xdr:colOff>102160</xdr:colOff>
      <xdr:row>65</xdr:row>
      <xdr:rowOff>58341</xdr:rowOff>
    </xdr:to>
    <xdr:sp macro="" textlink="">
      <xdr:nvSpPr>
        <xdr:cNvPr id="781" name="Text Box 145" hidden="1">
          <a:extLst>
            <a:ext uri="{FF2B5EF4-FFF2-40B4-BE49-F238E27FC236}">
              <a16:creationId xmlns:a16="http://schemas.microsoft.com/office/drawing/2014/main" id="{12BA6F44-19F3-4FFE-9D8A-6F625C312423}"/>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102160</xdr:colOff>
      <xdr:row>76</xdr:row>
      <xdr:rowOff>83861</xdr:rowOff>
    </xdr:to>
    <xdr:sp macro="" textlink="">
      <xdr:nvSpPr>
        <xdr:cNvPr id="782" name="Text Box 144" hidden="1">
          <a:extLst>
            <a:ext uri="{FF2B5EF4-FFF2-40B4-BE49-F238E27FC236}">
              <a16:creationId xmlns:a16="http://schemas.microsoft.com/office/drawing/2014/main" id="{4EEA89AA-A051-451F-A3D7-4BFE3EABDFDC}"/>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30948</xdr:rowOff>
    </xdr:from>
    <xdr:to>
      <xdr:col>5</xdr:col>
      <xdr:colOff>102160</xdr:colOff>
      <xdr:row>77</xdr:row>
      <xdr:rowOff>112246</xdr:rowOff>
    </xdr:to>
    <xdr:sp macro="" textlink="">
      <xdr:nvSpPr>
        <xdr:cNvPr id="783" name="Text Box 143" hidden="1">
          <a:extLst>
            <a:ext uri="{FF2B5EF4-FFF2-40B4-BE49-F238E27FC236}">
              <a16:creationId xmlns:a16="http://schemas.microsoft.com/office/drawing/2014/main" id="{60A83B3E-0BC3-4A9C-9605-E1C5F29ED6ED}"/>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102160</xdr:colOff>
      <xdr:row>78</xdr:row>
      <xdr:rowOff>97557</xdr:rowOff>
    </xdr:to>
    <xdr:sp macro="" textlink="">
      <xdr:nvSpPr>
        <xdr:cNvPr id="784" name="Text Box 142" hidden="1">
          <a:extLst>
            <a:ext uri="{FF2B5EF4-FFF2-40B4-BE49-F238E27FC236}">
              <a16:creationId xmlns:a16="http://schemas.microsoft.com/office/drawing/2014/main" id="{96F43280-A86D-4F6D-BE04-F0281F36026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170121</xdr:rowOff>
    </xdr:from>
    <xdr:to>
      <xdr:col>5</xdr:col>
      <xdr:colOff>102160</xdr:colOff>
      <xdr:row>78</xdr:row>
      <xdr:rowOff>326345</xdr:rowOff>
    </xdr:to>
    <xdr:sp macro="" textlink="">
      <xdr:nvSpPr>
        <xdr:cNvPr id="785" name="Text Box 141" hidden="1">
          <a:extLst>
            <a:ext uri="{FF2B5EF4-FFF2-40B4-BE49-F238E27FC236}">
              <a16:creationId xmlns:a16="http://schemas.microsoft.com/office/drawing/2014/main" id="{A948B343-1CA0-46F2-9DDE-8E2A6F936EB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68388</xdr:rowOff>
    </xdr:from>
    <xdr:to>
      <xdr:col>5</xdr:col>
      <xdr:colOff>102160</xdr:colOff>
      <xdr:row>100</xdr:row>
      <xdr:rowOff>86613</xdr:rowOff>
    </xdr:to>
    <xdr:sp macro="" textlink="">
      <xdr:nvSpPr>
        <xdr:cNvPr id="786" name="Text Box 140" hidden="1">
          <a:extLst>
            <a:ext uri="{FF2B5EF4-FFF2-40B4-BE49-F238E27FC236}">
              <a16:creationId xmlns:a16="http://schemas.microsoft.com/office/drawing/2014/main" id="{A9AD3584-7F42-45D0-A251-8A9E498E4CC1}"/>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46063</xdr:rowOff>
    </xdr:from>
    <xdr:to>
      <xdr:col>5</xdr:col>
      <xdr:colOff>102160</xdr:colOff>
      <xdr:row>100</xdr:row>
      <xdr:rowOff>86613</xdr:rowOff>
    </xdr:to>
    <xdr:sp macro="" textlink="">
      <xdr:nvSpPr>
        <xdr:cNvPr id="787" name="Text Box 139" hidden="1">
          <a:extLst>
            <a:ext uri="{FF2B5EF4-FFF2-40B4-BE49-F238E27FC236}">
              <a16:creationId xmlns:a16="http://schemas.microsoft.com/office/drawing/2014/main" id="{4E81C6B0-66E2-4686-B018-461B6D5ABA6B}"/>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66205</xdr:rowOff>
    </xdr:from>
    <xdr:to>
      <xdr:col>5</xdr:col>
      <xdr:colOff>102160</xdr:colOff>
      <xdr:row>100</xdr:row>
      <xdr:rowOff>86613</xdr:rowOff>
    </xdr:to>
    <xdr:sp macro="" textlink="">
      <xdr:nvSpPr>
        <xdr:cNvPr id="788" name="Text Box 138" hidden="1">
          <a:extLst>
            <a:ext uri="{FF2B5EF4-FFF2-40B4-BE49-F238E27FC236}">
              <a16:creationId xmlns:a16="http://schemas.microsoft.com/office/drawing/2014/main" id="{72F9142A-F853-45CF-A441-ACE984F08E2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10016</xdr:rowOff>
    </xdr:from>
    <xdr:to>
      <xdr:col>5</xdr:col>
      <xdr:colOff>102160</xdr:colOff>
      <xdr:row>100</xdr:row>
      <xdr:rowOff>86613</xdr:rowOff>
    </xdr:to>
    <xdr:sp macro="" textlink="">
      <xdr:nvSpPr>
        <xdr:cNvPr id="789" name="Text Box 137" hidden="1">
          <a:extLst>
            <a:ext uri="{FF2B5EF4-FFF2-40B4-BE49-F238E27FC236}">
              <a16:creationId xmlns:a16="http://schemas.microsoft.com/office/drawing/2014/main" id="{D43634C0-3ABA-4006-82C0-659DC993E431}"/>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119</xdr:row>
      <xdr:rowOff>145036</xdr:rowOff>
    </xdr:from>
    <xdr:to>
      <xdr:col>21</xdr:col>
      <xdr:colOff>274366</xdr:colOff>
      <xdr:row>124</xdr:row>
      <xdr:rowOff>19475</xdr:rowOff>
    </xdr:to>
    <xdr:sp macro="" textlink="">
      <xdr:nvSpPr>
        <xdr:cNvPr id="790" name="Text Box 136" hidden="1">
          <a:extLst>
            <a:ext uri="{FF2B5EF4-FFF2-40B4-BE49-F238E27FC236}">
              <a16:creationId xmlns:a16="http://schemas.microsoft.com/office/drawing/2014/main" id="{75F3D380-0668-4FCA-AE73-CA6C19374A22}"/>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20</xdr:row>
      <xdr:rowOff>50426</xdr:rowOff>
    </xdr:from>
    <xdr:to>
      <xdr:col>22</xdr:col>
      <xdr:colOff>445815</xdr:colOff>
      <xdr:row>23</xdr:row>
      <xdr:rowOff>239852</xdr:rowOff>
    </xdr:to>
    <xdr:sp macro="" textlink="">
      <xdr:nvSpPr>
        <xdr:cNvPr id="791" name="Text Box 135" hidden="1">
          <a:extLst>
            <a:ext uri="{FF2B5EF4-FFF2-40B4-BE49-F238E27FC236}">
              <a16:creationId xmlns:a16="http://schemas.microsoft.com/office/drawing/2014/main" id="{318CE53E-7289-4A74-8AEA-232A86D8598D}"/>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28</xdr:row>
      <xdr:rowOff>164664</xdr:rowOff>
    </xdr:from>
    <xdr:to>
      <xdr:col>22</xdr:col>
      <xdr:colOff>445815</xdr:colOff>
      <xdr:row>33</xdr:row>
      <xdr:rowOff>27673</xdr:rowOff>
    </xdr:to>
    <xdr:sp macro="" textlink="">
      <xdr:nvSpPr>
        <xdr:cNvPr id="792" name="Text Box 134" hidden="1">
          <a:extLst>
            <a:ext uri="{FF2B5EF4-FFF2-40B4-BE49-F238E27FC236}">
              <a16:creationId xmlns:a16="http://schemas.microsoft.com/office/drawing/2014/main" id="{12EB923A-6C83-4F54-AB4D-16952111AFCE}"/>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124</xdr:row>
      <xdr:rowOff>9804</xdr:rowOff>
    </xdr:from>
    <xdr:to>
      <xdr:col>22</xdr:col>
      <xdr:colOff>445815</xdr:colOff>
      <xdr:row>127</xdr:row>
      <xdr:rowOff>142886</xdr:rowOff>
    </xdr:to>
    <xdr:sp macro="" textlink="">
      <xdr:nvSpPr>
        <xdr:cNvPr id="793" name="Text Box 133" hidden="1">
          <a:extLst>
            <a:ext uri="{FF2B5EF4-FFF2-40B4-BE49-F238E27FC236}">
              <a16:creationId xmlns:a16="http://schemas.microsoft.com/office/drawing/2014/main" id="{9D64B5C3-FC52-41A4-A1C4-9EC6FD15CCC4}"/>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794" name="Text Box 52" hidden="1">
          <a:extLst>
            <a:ext uri="{FF2B5EF4-FFF2-40B4-BE49-F238E27FC236}">
              <a16:creationId xmlns:a16="http://schemas.microsoft.com/office/drawing/2014/main" id="{C91D9A7C-5D7D-4C53-BA08-B4B6E1FCF9C8}"/>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102160</xdr:colOff>
      <xdr:row>224</xdr:row>
      <xdr:rowOff>102671</xdr:rowOff>
    </xdr:to>
    <xdr:sp macro="" textlink="">
      <xdr:nvSpPr>
        <xdr:cNvPr id="795" name="Text Box 51" hidden="1">
          <a:extLst>
            <a:ext uri="{FF2B5EF4-FFF2-40B4-BE49-F238E27FC236}">
              <a16:creationId xmlns:a16="http://schemas.microsoft.com/office/drawing/2014/main" id="{D5AD1A6E-DBCC-4022-B9C4-DE2AB131F682}"/>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65609</xdr:rowOff>
    </xdr:from>
    <xdr:to>
      <xdr:col>5</xdr:col>
      <xdr:colOff>102160</xdr:colOff>
      <xdr:row>224</xdr:row>
      <xdr:rowOff>20916</xdr:rowOff>
    </xdr:to>
    <xdr:sp macro="" textlink="">
      <xdr:nvSpPr>
        <xdr:cNvPr id="796" name="Text Box 50" hidden="1">
          <a:extLst>
            <a:ext uri="{FF2B5EF4-FFF2-40B4-BE49-F238E27FC236}">
              <a16:creationId xmlns:a16="http://schemas.microsoft.com/office/drawing/2014/main" id="{F9D99361-CCFC-4FB6-892E-A51D3D4AE0E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225</xdr:row>
      <xdr:rowOff>102671</xdr:rowOff>
    </xdr:to>
    <xdr:sp macro="" textlink="">
      <xdr:nvSpPr>
        <xdr:cNvPr id="797" name="Text Box 49" hidden="1">
          <a:extLst>
            <a:ext uri="{FF2B5EF4-FFF2-40B4-BE49-F238E27FC236}">
              <a16:creationId xmlns:a16="http://schemas.microsoft.com/office/drawing/2014/main" id="{DE2530C5-BACC-46E9-BDC1-F5F7DD2CDA72}"/>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65609</xdr:rowOff>
    </xdr:from>
    <xdr:to>
      <xdr:col>5</xdr:col>
      <xdr:colOff>102160</xdr:colOff>
      <xdr:row>213</xdr:row>
      <xdr:rowOff>20916</xdr:rowOff>
    </xdr:to>
    <xdr:sp macro="" textlink="">
      <xdr:nvSpPr>
        <xdr:cNvPr id="798" name="Text Box 48" hidden="1">
          <a:extLst>
            <a:ext uri="{FF2B5EF4-FFF2-40B4-BE49-F238E27FC236}">
              <a16:creationId xmlns:a16="http://schemas.microsoft.com/office/drawing/2014/main" id="{5F0F2755-FD8C-46A0-B98C-F83D610FD84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142592</xdr:rowOff>
    </xdr:from>
    <xdr:to>
      <xdr:col>5</xdr:col>
      <xdr:colOff>102160</xdr:colOff>
      <xdr:row>190</xdr:row>
      <xdr:rowOff>124104</xdr:rowOff>
    </xdr:to>
    <xdr:sp macro="" textlink="">
      <xdr:nvSpPr>
        <xdr:cNvPr id="799" name="Text Box 47" hidden="1">
          <a:extLst>
            <a:ext uri="{FF2B5EF4-FFF2-40B4-BE49-F238E27FC236}">
              <a16:creationId xmlns:a16="http://schemas.microsoft.com/office/drawing/2014/main" id="{82EFC274-F66A-4645-AEC5-359B58A040E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69577</xdr:rowOff>
    </xdr:from>
    <xdr:to>
      <xdr:col>5</xdr:col>
      <xdr:colOff>102160</xdr:colOff>
      <xdr:row>192</xdr:row>
      <xdr:rowOff>9917</xdr:rowOff>
    </xdr:to>
    <xdr:sp macro="" textlink="">
      <xdr:nvSpPr>
        <xdr:cNvPr id="800" name="Text Box 46" hidden="1">
          <a:extLst>
            <a:ext uri="{FF2B5EF4-FFF2-40B4-BE49-F238E27FC236}">
              <a16:creationId xmlns:a16="http://schemas.microsoft.com/office/drawing/2014/main" id="{42875022-3747-421A-9D47-B9812D57BD5A}"/>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102160</xdr:colOff>
      <xdr:row>192</xdr:row>
      <xdr:rowOff>164818</xdr:rowOff>
    </xdr:to>
    <xdr:sp macro="" textlink="">
      <xdr:nvSpPr>
        <xdr:cNvPr id="801" name="Text Box 45" hidden="1">
          <a:extLst>
            <a:ext uri="{FF2B5EF4-FFF2-40B4-BE49-F238E27FC236}">
              <a16:creationId xmlns:a16="http://schemas.microsoft.com/office/drawing/2014/main" id="{3D66DE99-6AAC-4D6E-9722-7345F2C15634}"/>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164819</xdr:rowOff>
    </xdr:from>
    <xdr:to>
      <xdr:col>5</xdr:col>
      <xdr:colOff>102160</xdr:colOff>
      <xdr:row>199</xdr:row>
      <xdr:rowOff>125692</xdr:rowOff>
    </xdr:to>
    <xdr:sp macro="" textlink="">
      <xdr:nvSpPr>
        <xdr:cNvPr id="802" name="Text Box 44" hidden="1">
          <a:extLst>
            <a:ext uri="{FF2B5EF4-FFF2-40B4-BE49-F238E27FC236}">
              <a16:creationId xmlns:a16="http://schemas.microsoft.com/office/drawing/2014/main" id="{12830AA5-AAA8-44CA-BB6A-B3B36C9076E3}"/>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102160</xdr:colOff>
      <xdr:row>58</xdr:row>
      <xdr:rowOff>134518</xdr:rowOff>
    </xdr:to>
    <xdr:sp macro="" textlink="">
      <xdr:nvSpPr>
        <xdr:cNvPr id="803" name="Text Box 43" hidden="1">
          <a:extLst>
            <a:ext uri="{FF2B5EF4-FFF2-40B4-BE49-F238E27FC236}">
              <a16:creationId xmlns:a16="http://schemas.microsoft.com/office/drawing/2014/main" id="{88DDEE6F-D2AF-48D4-B3FC-BAE099BB5BF4}"/>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102160</xdr:colOff>
      <xdr:row>59</xdr:row>
      <xdr:rowOff>349596</xdr:rowOff>
    </xdr:to>
    <xdr:sp macro="" textlink="">
      <xdr:nvSpPr>
        <xdr:cNvPr id="804" name="Text Box 42" hidden="1">
          <a:extLst>
            <a:ext uri="{FF2B5EF4-FFF2-40B4-BE49-F238E27FC236}">
              <a16:creationId xmlns:a16="http://schemas.microsoft.com/office/drawing/2014/main" id="{EB71D751-CB9E-43CB-9793-C0556CC524E0}"/>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58318</xdr:rowOff>
    </xdr:from>
    <xdr:to>
      <xdr:col>5</xdr:col>
      <xdr:colOff>102160</xdr:colOff>
      <xdr:row>60</xdr:row>
      <xdr:rowOff>256979</xdr:rowOff>
    </xdr:to>
    <xdr:sp macro="" textlink="">
      <xdr:nvSpPr>
        <xdr:cNvPr id="805" name="Text Box 41" hidden="1">
          <a:extLst>
            <a:ext uri="{FF2B5EF4-FFF2-40B4-BE49-F238E27FC236}">
              <a16:creationId xmlns:a16="http://schemas.microsoft.com/office/drawing/2014/main" id="{66DE80DF-936D-42CA-96B6-4C488D7C439E}"/>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96418</xdr:rowOff>
    </xdr:from>
    <xdr:to>
      <xdr:col>5</xdr:col>
      <xdr:colOff>102160</xdr:colOff>
      <xdr:row>62</xdr:row>
      <xdr:rowOff>150267</xdr:rowOff>
    </xdr:to>
    <xdr:sp macro="" textlink="">
      <xdr:nvSpPr>
        <xdr:cNvPr id="806" name="Text Box 40" hidden="1">
          <a:extLst>
            <a:ext uri="{FF2B5EF4-FFF2-40B4-BE49-F238E27FC236}">
              <a16:creationId xmlns:a16="http://schemas.microsoft.com/office/drawing/2014/main" id="{8E4F234A-E145-4E48-BDB6-01BD929231C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368646</xdr:rowOff>
    </xdr:from>
    <xdr:to>
      <xdr:col>5</xdr:col>
      <xdr:colOff>102160</xdr:colOff>
      <xdr:row>65</xdr:row>
      <xdr:rowOff>58341</xdr:rowOff>
    </xdr:to>
    <xdr:sp macro="" textlink="">
      <xdr:nvSpPr>
        <xdr:cNvPr id="807" name="Text Box 39" hidden="1">
          <a:extLst>
            <a:ext uri="{FF2B5EF4-FFF2-40B4-BE49-F238E27FC236}">
              <a16:creationId xmlns:a16="http://schemas.microsoft.com/office/drawing/2014/main" id="{17F15983-EAAD-414A-8A2E-F672D18B4351}"/>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102160</xdr:colOff>
      <xdr:row>76</xdr:row>
      <xdr:rowOff>83861</xdr:rowOff>
    </xdr:to>
    <xdr:sp macro="" textlink="">
      <xdr:nvSpPr>
        <xdr:cNvPr id="808" name="Text Box 38" hidden="1">
          <a:extLst>
            <a:ext uri="{FF2B5EF4-FFF2-40B4-BE49-F238E27FC236}">
              <a16:creationId xmlns:a16="http://schemas.microsoft.com/office/drawing/2014/main" id="{282D540C-167E-4C54-9DFF-A639136AF2B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30948</xdr:rowOff>
    </xdr:from>
    <xdr:to>
      <xdr:col>5</xdr:col>
      <xdr:colOff>102160</xdr:colOff>
      <xdr:row>77</xdr:row>
      <xdr:rowOff>112246</xdr:rowOff>
    </xdr:to>
    <xdr:sp macro="" textlink="">
      <xdr:nvSpPr>
        <xdr:cNvPr id="809" name="Text Box 37" hidden="1">
          <a:extLst>
            <a:ext uri="{FF2B5EF4-FFF2-40B4-BE49-F238E27FC236}">
              <a16:creationId xmlns:a16="http://schemas.microsoft.com/office/drawing/2014/main" id="{B0E3D3B0-0DC6-4722-B47C-5AE23E3E6B96}"/>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102160</xdr:colOff>
      <xdr:row>78</xdr:row>
      <xdr:rowOff>97557</xdr:rowOff>
    </xdr:to>
    <xdr:sp macro="" textlink="">
      <xdr:nvSpPr>
        <xdr:cNvPr id="810" name="Text Box 36" hidden="1">
          <a:extLst>
            <a:ext uri="{FF2B5EF4-FFF2-40B4-BE49-F238E27FC236}">
              <a16:creationId xmlns:a16="http://schemas.microsoft.com/office/drawing/2014/main" id="{A91C3172-EAC1-46DD-BEA4-91524B708A23}"/>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170121</xdr:rowOff>
    </xdr:from>
    <xdr:to>
      <xdr:col>5</xdr:col>
      <xdr:colOff>102160</xdr:colOff>
      <xdr:row>78</xdr:row>
      <xdr:rowOff>326345</xdr:rowOff>
    </xdr:to>
    <xdr:sp macro="" textlink="">
      <xdr:nvSpPr>
        <xdr:cNvPr id="811" name="Text Box 35" hidden="1">
          <a:extLst>
            <a:ext uri="{FF2B5EF4-FFF2-40B4-BE49-F238E27FC236}">
              <a16:creationId xmlns:a16="http://schemas.microsoft.com/office/drawing/2014/main" id="{BED78E91-BF66-424D-AC39-12CE1214FF2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68388</xdr:rowOff>
    </xdr:from>
    <xdr:to>
      <xdr:col>5</xdr:col>
      <xdr:colOff>102160</xdr:colOff>
      <xdr:row>100</xdr:row>
      <xdr:rowOff>86613</xdr:rowOff>
    </xdr:to>
    <xdr:sp macro="" textlink="">
      <xdr:nvSpPr>
        <xdr:cNvPr id="812" name="Text Box 34" hidden="1">
          <a:extLst>
            <a:ext uri="{FF2B5EF4-FFF2-40B4-BE49-F238E27FC236}">
              <a16:creationId xmlns:a16="http://schemas.microsoft.com/office/drawing/2014/main" id="{0D9D687F-66EC-4C5D-954E-1FA014AB08CD}"/>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46063</xdr:rowOff>
    </xdr:from>
    <xdr:to>
      <xdr:col>5</xdr:col>
      <xdr:colOff>102160</xdr:colOff>
      <xdr:row>100</xdr:row>
      <xdr:rowOff>86613</xdr:rowOff>
    </xdr:to>
    <xdr:sp macro="" textlink="">
      <xdr:nvSpPr>
        <xdr:cNvPr id="813" name="Text Box 33" hidden="1">
          <a:extLst>
            <a:ext uri="{FF2B5EF4-FFF2-40B4-BE49-F238E27FC236}">
              <a16:creationId xmlns:a16="http://schemas.microsoft.com/office/drawing/2014/main" id="{A744AF40-698E-4002-832F-8EEDF7EFA62A}"/>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66205</xdr:rowOff>
    </xdr:from>
    <xdr:to>
      <xdr:col>5</xdr:col>
      <xdr:colOff>102160</xdr:colOff>
      <xdr:row>100</xdr:row>
      <xdr:rowOff>86613</xdr:rowOff>
    </xdr:to>
    <xdr:sp macro="" textlink="">
      <xdr:nvSpPr>
        <xdr:cNvPr id="814" name="Text Box 32" hidden="1">
          <a:extLst>
            <a:ext uri="{FF2B5EF4-FFF2-40B4-BE49-F238E27FC236}">
              <a16:creationId xmlns:a16="http://schemas.microsoft.com/office/drawing/2014/main" id="{D8FA8A10-1FDA-47C6-8676-0BF9DE1E096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10016</xdr:rowOff>
    </xdr:from>
    <xdr:to>
      <xdr:col>5</xdr:col>
      <xdr:colOff>102160</xdr:colOff>
      <xdr:row>100</xdr:row>
      <xdr:rowOff>86613</xdr:rowOff>
    </xdr:to>
    <xdr:sp macro="" textlink="">
      <xdr:nvSpPr>
        <xdr:cNvPr id="815" name="Text Box 31" hidden="1">
          <a:extLst>
            <a:ext uri="{FF2B5EF4-FFF2-40B4-BE49-F238E27FC236}">
              <a16:creationId xmlns:a16="http://schemas.microsoft.com/office/drawing/2014/main" id="{0043C925-DAE0-49CF-88AB-7EAF970732BD}"/>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119</xdr:row>
      <xdr:rowOff>145036</xdr:rowOff>
    </xdr:from>
    <xdr:to>
      <xdr:col>21</xdr:col>
      <xdr:colOff>274366</xdr:colOff>
      <xdr:row>124</xdr:row>
      <xdr:rowOff>19475</xdr:rowOff>
    </xdr:to>
    <xdr:sp macro="" textlink="">
      <xdr:nvSpPr>
        <xdr:cNvPr id="816" name="Text Box 30" hidden="1">
          <a:extLst>
            <a:ext uri="{FF2B5EF4-FFF2-40B4-BE49-F238E27FC236}">
              <a16:creationId xmlns:a16="http://schemas.microsoft.com/office/drawing/2014/main" id="{94D07D57-5BDB-474F-92FC-EAF110D2A319}"/>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20</xdr:row>
      <xdr:rowOff>50426</xdr:rowOff>
    </xdr:from>
    <xdr:to>
      <xdr:col>22</xdr:col>
      <xdr:colOff>445815</xdr:colOff>
      <xdr:row>23</xdr:row>
      <xdr:rowOff>239852</xdr:rowOff>
    </xdr:to>
    <xdr:sp macro="" textlink="">
      <xdr:nvSpPr>
        <xdr:cNvPr id="817" name="Text Box 29" hidden="1">
          <a:extLst>
            <a:ext uri="{FF2B5EF4-FFF2-40B4-BE49-F238E27FC236}">
              <a16:creationId xmlns:a16="http://schemas.microsoft.com/office/drawing/2014/main" id="{7C2D94FB-5EAF-472B-97C4-3AC990DAA12F}"/>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28</xdr:row>
      <xdr:rowOff>164664</xdr:rowOff>
    </xdr:from>
    <xdr:to>
      <xdr:col>22</xdr:col>
      <xdr:colOff>445815</xdr:colOff>
      <xdr:row>33</xdr:row>
      <xdr:rowOff>27673</xdr:rowOff>
    </xdr:to>
    <xdr:sp macro="" textlink="">
      <xdr:nvSpPr>
        <xdr:cNvPr id="818" name="Text Box 28" hidden="1">
          <a:extLst>
            <a:ext uri="{FF2B5EF4-FFF2-40B4-BE49-F238E27FC236}">
              <a16:creationId xmlns:a16="http://schemas.microsoft.com/office/drawing/2014/main" id="{28C04324-B9D1-4542-826A-4C8AFAC3D28F}"/>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124</xdr:row>
      <xdr:rowOff>9804</xdr:rowOff>
    </xdr:from>
    <xdr:to>
      <xdr:col>22</xdr:col>
      <xdr:colOff>445815</xdr:colOff>
      <xdr:row>127</xdr:row>
      <xdr:rowOff>142886</xdr:rowOff>
    </xdr:to>
    <xdr:sp macro="" textlink="">
      <xdr:nvSpPr>
        <xdr:cNvPr id="819" name="Text Box 27" hidden="1">
          <a:extLst>
            <a:ext uri="{FF2B5EF4-FFF2-40B4-BE49-F238E27FC236}">
              <a16:creationId xmlns:a16="http://schemas.microsoft.com/office/drawing/2014/main" id="{05389B8C-7097-4158-B673-C030F4817E5C}"/>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820" name="Text Box 26" hidden="1">
          <a:extLst>
            <a:ext uri="{FF2B5EF4-FFF2-40B4-BE49-F238E27FC236}">
              <a16:creationId xmlns:a16="http://schemas.microsoft.com/office/drawing/2014/main" id="{44D38B68-5C5B-4E39-983B-6BF8224270B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102160</xdr:colOff>
      <xdr:row>224</xdr:row>
      <xdr:rowOff>102671</xdr:rowOff>
    </xdr:to>
    <xdr:sp macro="" textlink="">
      <xdr:nvSpPr>
        <xdr:cNvPr id="821" name="Text Box 25" hidden="1">
          <a:extLst>
            <a:ext uri="{FF2B5EF4-FFF2-40B4-BE49-F238E27FC236}">
              <a16:creationId xmlns:a16="http://schemas.microsoft.com/office/drawing/2014/main" id="{25FAFDE4-BFB3-4DE9-9294-6C51A596E8BE}"/>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65609</xdr:rowOff>
    </xdr:from>
    <xdr:to>
      <xdr:col>5</xdr:col>
      <xdr:colOff>102160</xdr:colOff>
      <xdr:row>224</xdr:row>
      <xdr:rowOff>20916</xdr:rowOff>
    </xdr:to>
    <xdr:sp macro="" textlink="">
      <xdr:nvSpPr>
        <xdr:cNvPr id="822" name="Text Box 24" hidden="1">
          <a:extLst>
            <a:ext uri="{FF2B5EF4-FFF2-40B4-BE49-F238E27FC236}">
              <a16:creationId xmlns:a16="http://schemas.microsoft.com/office/drawing/2014/main" id="{A56E709E-3628-4CE4-9DA1-97D2C39EACA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225</xdr:row>
      <xdr:rowOff>102671</xdr:rowOff>
    </xdr:to>
    <xdr:sp macro="" textlink="">
      <xdr:nvSpPr>
        <xdr:cNvPr id="823" name="Text Box 23" hidden="1">
          <a:extLst>
            <a:ext uri="{FF2B5EF4-FFF2-40B4-BE49-F238E27FC236}">
              <a16:creationId xmlns:a16="http://schemas.microsoft.com/office/drawing/2014/main" id="{75FFA9BF-C434-4493-AFAA-00F265B69321}"/>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65609</xdr:rowOff>
    </xdr:from>
    <xdr:to>
      <xdr:col>5</xdr:col>
      <xdr:colOff>102160</xdr:colOff>
      <xdr:row>213</xdr:row>
      <xdr:rowOff>20916</xdr:rowOff>
    </xdr:to>
    <xdr:sp macro="" textlink="">
      <xdr:nvSpPr>
        <xdr:cNvPr id="824" name="Text Box 22" hidden="1">
          <a:extLst>
            <a:ext uri="{FF2B5EF4-FFF2-40B4-BE49-F238E27FC236}">
              <a16:creationId xmlns:a16="http://schemas.microsoft.com/office/drawing/2014/main" id="{7C0C2690-8EE2-45A8-9649-5B0A31C1FAB5}"/>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142592</xdr:rowOff>
    </xdr:from>
    <xdr:to>
      <xdr:col>5</xdr:col>
      <xdr:colOff>102160</xdr:colOff>
      <xdr:row>190</xdr:row>
      <xdr:rowOff>124104</xdr:rowOff>
    </xdr:to>
    <xdr:sp macro="" textlink="">
      <xdr:nvSpPr>
        <xdr:cNvPr id="825" name="Text Box 21" hidden="1">
          <a:extLst>
            <a:ext uri="{FF2B5EF4-FFF2-40B4-BE49-F238E27FC236}">
              <a16:creationId xmlns:a16="http://schemas.microsoft.com/office/drawing/2014/main" id="{E3478169-BB36-437F-A870-C57EE18CF2E3}"/>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69577</xdr:rowOff>
    </xdr:from>
    <xdr:to>
      <xdr:col>5</xdr:col>
      <xdr:colOff>102160</xdr:colOff>
      <xdr:row>192</xdr:row>
      <xdr:rowOff>9917</xdr:rowOff>
    </xdr:to>
    <xdr:sp macro="" textlink="">
      <xdr:nvSpPr>
        <xdr:cNvPr id="826" name="Text Box 20" hidden="1">
          <a:extLst>
            <a:ext uri="{FF2B5EF4-FFF2-40B4-BE49-F238E27FC236}">
              <a16:creationId xmlns:a16="http://schemas.microsoft.com/office/drawing/2014/main" id="{8AD086FD-63A7-4364-8CFD-F054D50CD548}"/>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102160</xdr:colOff>
      <xdr:row>192</xdr:row>
      <xdr:rowOff>164818</xdr:rowOff>
    </xdr:to>
    <xdr:sp macro="" textlink="">
      <xdr:nvSpPr>
        <xdr:cNvPr id="827" name="Text Box 19" hidden="1">
          <a:extLst>
            <a:ext uri="{FF2B5EF4-FFF2-40B4-BE49-F238E27FC236}">
              <a16:creationId xmlns:a16="http://schemas.microsoft.com/office/drawing/2014/main" id="{614925F2-BC35-4D74-9D1A-6A0BAF2FD81E}"/>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164819</xdr:rowOff>
    </xdr:from>
    <xdr:to>
      <xdr:col>5</xdr:col>
      <xdr:colOff>102160</xdr:colOff>
      <xdr:row>199</xdr:row>
      <xdr:rowOff>125692</xdr:rowOff>
    </xdr:to>
    <xdr:sp macro="" textlink="">
      <xdr:nvSpPr>
        <xdr:cNvPr id="828" name="Text Box 18" hidden="1">
          <a:extLst>
            <a:ext uri="{FF2B5EF4-FFF2-40B4-BE49-F238E27FC236}">
              <a16:creationId xmlns:a16="http://schemas.microsoft.com/office/drawing/2014/main" id="{A6A16468-5404-4514-A575-AC3E34EBB5D0}"/>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102160</xdr:colOff>
      <xdr:row>58</xdr:row>
      <xdr:rowOff>134518</xdr:rowOff>
    </xdr:to>
    <xdr:sp macro="" textlink="">
      <xdr:nvSpPr>
        <xdr:cNvPr id="829" name="Text Box 17" hidden="1">
          <a:extLst>
            <a:ext uri="{FF2B5EF4-FFF2-40B4-BE49-F238E27FC236}">
              <a16:creationId xmlns:a16="http://schemas.microsoft.com/office/drawing/2014/main" id="{0B5A4180-732B-4AFE-B9BE-71DA26AE9C9A}"/>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77087</xdr:rowOff>
    </xdr:from>
    <xdr:to>
      <xdr:col>5</xdr:col>
      <xdr:colOff>102160</xdr:colOff>
      <xdr:row>59</xdr:row>
      <xdr:rowOff>349596</xdr:rowOff>
    </xdr:to>
    <xdr:sp macro="" textlink="">
      <xdr:nvSpPr>
        <xdr:cNvPr id="830" name="Text Box 16" hidden="1">
          <a:extLst>
            <a:ext uri="{FF2B5EF4-FFF2-40B4-BE49-F238E27FC236}">
              <a16:creationId xmlns:a16="http://schemas.microsoft.com/office/drawing/2014/main" id="{E9F0B2F8-5C44-40DC-ADA4-A5852A3C06EA}"/>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58318</xdr:rowOff>
    </xdr:from>
    <xdr:to>
      <xdr:col>5</xdr:col>
      <xdr:colOff>102160</xdr:colOff>
      <xdr:row>60</xdr:row>
      <xdr:rowOff>256979</xdr:rowOff>
    </xdr:to>
    <xdr:sp macro="" textlink="">
      <xdr:nvSpPr>
        <xdr:cNvPr id="831" name="Text Box 15" hidden="1">
          <a:extLst>
            <a:ext uri="{FF2B5EF4-FFF2-40B4-BE49-F238E27FC236}">
              <a16:creationId xmlns:a16="http://schemas.microsoft.com/office/drawing/2014/main" id="{266334D2-7DDE-4255-89D6-18AA341209E5}"/>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96418</xdr:rowOff>
    </xdr:from>
    <xdr:to>
      <xdr:col>5</xdr:col>
      <xdr:colOff>102160</xdr:colOff>
      <xdr:row>62</xdr:row>
      <xdr:rowOff>150267</xdr:rowOff>
    </xdr:to>
    <xdr:sp macro="" textlink="">
      <xdr:nvSpPr>
        <xdr:cNvPr id="832" name="Text Box 14" hidden="1">
          <a:extLst>
            <a:ext uri="{FF2B5EF4-FFF2-40B4-BE49-F238E27FC236}">
              <a16:creationId xmlns:a16="http://schemas.microsoft.com/office/drawing/2014/main" id="{CC91E22E-FEEE-4521-815D-59E3596B9A8A}"/>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368646</xdr:rowOff>
    </xdr:from>
    <xdr:to>
      <xdr:col>5</xdr:col>
      <xdr:colOff>102160</xdr:colOff>
      <xdr:row>65</xdr:row>
      <xdr:rowOff>58341</xdr:rowOff>
    </xdr:to>
    <xdr:sp macro="" textlink="">
      <xdr:nvSpPr>
        <xdr:cNvPr id="833" name="Text Box 13" hidden="1">
          <a:extLst>
            <a:ext uri="{FF2B5EF4-FFF2-40B4-BE49-F238E27FC236}">
              <a16:creationId xmlns:a16="http://schemas.microsoft.com/office/drawing/2014/main" id="{68DCF4DE-CE6A-4885-9F3B-C366B8211DCE}"/>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102160</xdr:colOff>
      <xdr:row>76</xdr:row>
      <xdr:rowOff>83861</xdr:rowOff>
    </xdr:to>
    <xdr:sp macro="" textlink="">
      <xdr:nvSpPr>
        <xdr:cNvPr id="834" name="Text Box 12" hidden="1">
          <a:extLst>
            <a:ext uri="{FF2B5EF4-FFF2-40B4-BE49-F238E27FC236}">
              <a16:creationId xmlns:a16="http://schemas.microsoft.com/office/drawing/2014/main" id="{47FCDACC-3066-418E-8613-CA1DEE15D82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30948</xdr:rowOff>
    </xdr:from>
    <xdr:to>
      <xdr:col>5</xdr:col>
      <xdr:colOff>102160</xdr:colOff>
      <xdr:row>77</xdr:row>
      <xdr:rowOff>112246</xdr:rowOff>
    </xdr:to>
    <xdr:sp macro="" textlink="">
      <xdr:nvSpPr>
        <xdr:cNvPr id="835" name="Text Box 11" hidden="1">
          <a:extLst>
            <a:ext uri="{FF2B5EF4-FFF2-40B4-BE49-F238E27FC236}">
              <a16:creationId xmlns:a16="http://schemas.microsoft.com/office/drawing/2014/main" id="{2C7BF845-9A06-4956-8829-0F114FBB815E}"/>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102160</xdr:colOff>
      <xdr:row>78</xdr:row>
      <xdr:rowOff>97557</xdr:rowOff>
    </xdr:to>
    <xdr:sp macro="" textlink="">
      <xdr:nvSpPr>
        <xdr:cNvPr id="836" name="Text Box 10" hidden="1">
          <a:extLst>
            <a:ext uri="{FF2B5EF4-FFF2-40B4-BE49-F238E27FC236}">
              <a16:creationId xmlns:a16="http://schemas.microsoft.com/office/drawing/2014/main" id="{228E6F7A-8B7C-49E5-AEB8-CC58B25208F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170121</xdr:rowOff>
    </xdr:from>
    <xdr:to>
      <xdr:col>5</xdr:col>
      <xdr:colOff>102160</xdr:colOff>
      <xdr:row>78</xdr:row>
      <xdr:rowOff>326345</xdr:rowOff>
    </xdr:to>
    <xdr:sp macro="" textlink="">
      <xdr:nvSpPr>
        <xdr:cNvPr id="837" name="Text Box 9" hidden="1">
          <a:extLst>
            <a:ext uri="{FF2B5EF4-FFF2-40B4-BE49-F238E27FC236}">
              <a16:creationId xmlns:a16="http://schemas.microsoft.com/office/drawing/2014/main" id="{EF5708DD-0321-42A3-A247-19CA24FF9606}"/>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68388</xdr:rowOff>
    </xdr:from>
    <xdr:to>
      <xdr:col>5</xdr:col>
      <xdr:colOff>102160</xdr:colOff>
      <xdr:row>100</xdr:row>
      <xdr:rowOff>86613</xdr:rowOff>
    </xdr:to>
    <xdr:sp macro="" textlink="">
      <xdr:nvSpPr>
        <xdr:cNvPr id="838" name="Text Box 8" hidden="1">
          <a:extLst>
            <a:ext uri="{FF2B5EF4-FFF2-40B4-BE49-F238E27FC236}">
              <a16:creationId xmlns:a16="http://schemas.microsoft.com/office/drawing/2014/main" id="{D590FB7D-2411-4C1B-81AF-A261BF39F62A}"/>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46063</xdr:rowOff>
    </xdr:from>
    <xdr:to>
      <xdr:col>5</xdr:col>
      <xdr:colOff>102160</xdr:colOff>
      <xdr:row>100</xdr:row>
      <xdr:rowOff>86613</xdr:rowOff>
    </xdr:to>
    <xdr:sp macro="" textlink="">
      <xdr:nvSpPr>
        <xdr:cNvPr id="839" name="Text Box 7" hidden="1">
          <a:extLst>
            <a:ext uri="{FF2B5EF4-FFF2-40B4-BE49-F238E27FC236}">
              <a16:creationId xmlns:a16="http://schemas.microsoft.com/office/drawing/2014/main" id="{0289474E-A9A5-4235-8493-972AEFF26168}"/>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66205</xdr:rowOff>
    </xdr:from>
    <xdr:to>
      <xdr:col>5</xdr:col>
      <xdr:colOff>102160</xdr:colOff>
      <xdr:row>100</xdr:row>
      <xdr:rowOff>86613</xdr:rowOff>
    </xdr:to>
    <xdr:sp macro="" textlink="">
      <xdr:nvSpPr>
        <xdr:cNvPr id="840" name="Text Box 6" hidden="1">
          <a:extLst>
            <a:ext uri="{FF2B5EF4-FFF2-40B4-BE49-F238E27FC236}">
              <a16:creationId xmlns:a16="http://schemas.microsoft.com/office/drawing/2014/main" id="{31FE5447-EFDA-4A82-9560-1DFEC184CC7E}"/>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10016</xdr:rowOff>
    </xdr:from>
    <xdr:to>
      <xdr:col>5</xdr:col>
      <xdr:colOff>102160</xdr:colOff>
      <xdr:row>100</xdr:row>
      <xdr:rowOff>86613</xdr:rowOff>
    </xdr:to>
    <xdr:sp macro="" textlink="">
      <xdr:nvSpPr>
        <xdr:cNvPr id="841" name="Text Box 5" hidden="1">
          <a:extLst>
            <a:ext uri="{FF2B5EF4-FFF2-40B4-BE49-F238E27FC236}">
              <a16:creationId xmlns:a16="http://schemas.microsoft.com/office/drawing/2014/main" id="{E4292583-139E-4EDC-AD2F-E1BE406E1C55}"/>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119</xdr:row>
      <xdr:rowOff>145036</xdr:rowOff>
    </xdr:from>
    <xdr:to>
      <xdr:col>21</xdr:col>
      <xdr:colOff>274366</xdr:colOff>
      <xdr:row>124</xdr:row>
      <xdr:rowOff>19475</xdr:rowOff>
    </xdr:to>
    <xdr:sp macro="" textlink="">
      <xdr:nvSpPr>
        <xdr:cNvPr id="842" name="Text Box 4" hidden="1">
          <a:extLst>
            <a:ext uri="{FF2B5EF4-FFF2-40B4-BE49-F238E27FC236}">
              <a16:creationId xmlns:a16="http://schemas.microsoft.com/office/drawing/2014/main" id="{DBAB3E52-5657-4A92-A600-7D3571FBE724}"/>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20</xdr:row>
      <xdr:rowOff>50426</xdr:rowOff>
    </xdr:from>
    <xdr:to>
      <xdr:col>22</xdr:col>
      <xdr:colOff>445815</xdr:colOff>
      <xdr:row>23</xdr:row>
      <xdr:rowOff>239852</xdr:rowOff>
    </xdr:to>
    <xdr:sp macro="" textlink="">
      <xdr:nvSpPr>
        <xdr:cNvPr id="843" name="Text Box 3" hidden="1">
          <a:extLst>
            <a:ext uri="{FF2B5EF4-FFF2-40B4-BE49-F238E27FC236}">
              <a16:creationId xmlns:a16="http://schemas.microsoft.com/office/drawing/2014/main" id="{CCAD58F7-AE2B-4FDF-95D9-31F4A8777D68}"/>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28</xdr:row>
      <xdr:rowOff>164664</xdr:rowOff>
    </xdr:from>
    <xdr:to>
      <xdr:col>22</xdr:col>
      <xdr:colOff>445815</xdr:colOff>
      <xdr:row>33</xdr:row>
      <xdr:rowOff>27673</xdr:rowOff>
    </xdr:to>
    <xdr:sp macro="" textlink="">
      <xdr:nvSpPr>
        <xdr:cNvPr id="844" name="Text Box 2" hidden="1">
          <a:extLst>
            <a:ext uri="{FF2B5EF4-FFF2-40B4-BE49-F238E27FC236}">
              <a16:creationId xmlns:a16="http://schemas.microsoft.com/office/drawing/2014/main" id="{FAB3448F-0807-4191-9A0A-40174370631C}"/>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124</xdr:row>
      <xdr:rowOff>9804</xdr:rowOff>
    </xdr:from>
    <xdr:to>
      <xdr:col>22</xdr:col>
      <xdr:colOff>445815</xdr:colOff>
      <xdr:row>127</xdr:row>
      <xdr:rowOff>142886</xdr:rowOff>
    </xdr:to>
    <xdr:sp macro="" textlink="">
      <xdr:nvSpPr>
        <xdr:cNvPr id="845" name="Text Box 1" hidden="1">
          <a:extLst>
            <a:ext uri="{FF2B5EF4-FFF2-40B4-BE49-F238E27FC236}">
              <a16:creationId xmlns:a16="http://schemas.microsoft.com/office/drawing/2014/main" id="{F8E514A9-7A52-4470-B383-F79EE8856F2B}"/>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846" name="Text Box 78" hidden="1">
          <a:extLst>
            <a:ext uri="{FF2B5EF4-FFF2-40B4-BE49-F238E27FC236}">
              <a16:creationId xmlns:a16="http://schemas.microsoft.com/office/drawing/2014/main" id="{C5256FCD-4270-4DBE-8002-36A156DD136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102673</xdr:rowOff>
    </xdr:from>
    <xdr:to>
      <xdr:col>5</xdr:col>
      <xdr:colOff>102160</xdr:colOff>
      <xdr:row>229</xdr:row>
      <xdr:rowOff>102672</xdr:rowOff>
    </xdr:to>
    <xdr:sp macro="" textlink="">
      <xdr:nvSpPr>
        <xdr:cNvPr id="847" name="Text Box 77" hidden="1">
          <a:extLst>
            <a:ext uri="{FF2B5EF4-FFF2-40B4-BE49-F238E27FC236}">
              <a16:creationId xmlns:a16="http://schemas.microsoft.com/office/drawing/2014/main" id="{E44D95FA-750B-4EFB-9D54-9EB0F88C5AE0}"/>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229</xdr:row>
      <xdr:rowOff>20917</xdr:rowOff>
    </xdr:to>
    <xdr:sp macro="" textlink="">
      <xdr:nvSpPr>
        <xdr:cNvPr id="848" name="Text Box 76" hidden="1">
          <a:extLst>
            <a:ext uri="{FF2B5EF4-FFF2-40B4-BE49-F238E27FC236}">
              <a16:creationId xmlns:a16="http://schemas.microsoft.com/office/drawing/2014/main" id="{1D61CA48-E468-4D67-8C7E-3361EDE3483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65609</xdr:rowOff>
    </xdr:from>
    <xdr:to>
      <xdr:col>5</xdr:col>
      <xdr:colOff>102160</xdr:colOff>
      <xdr:row>230</xdr:row>
      <xdr:rowOff>102673</xdr:rowOff>
    </xdr:to>
    <xdr:sp macro="" textlink="">
      <xdr:nvSpPr>
        <xdr:cNvPr id="849" name="Text Box 75" hidden="1">
          <a:extLst>
            <a:ext uri="{FF2B5EF4-FFF2-40B4-BE49-F238E27FC236}">
              <a16:creationId xmlns:a16="http://schemas.microsoft.com/office/drawing/2014/main" id="{DF987542-6AE9-43E0-B3E4-77805E4DA153}"/>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65609</xdr:rowOff>
    </xdr:from>
    <xdr:to>
      <xdr:col>5</xdr:col>
      <xdr:colOff>102160</xdr:colOff>
      <xdr:row>218</xdr:row>
      <xdr:rowOff>20915</xdr:rowOff>
    </xdr:to>
    <xdr:sp macro="" textlink="">
      <xdr:nvSpPr>
        <xdr:cNvPr id="850" name="Text Box 74" hidden="1">
          <a:extLst>
            <a:ext uri="{FF2B5EF4-FFF2-40B4-BE49-F238E27FC236}">
              <a16:creationId xmlns:a16="http://schemas.microsoft.com/office/drawing/2014/main" id="{8304DB78-8FF2-4225-8C90-5195BFEBF239}"/>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144181</xdr:rowOff>
    </xdr:from>
    <xdr:to>
      <xdr:col>5</xdr:col>
      <xdr:colOff>102160</xdr:colOff>
      <xdr:row>195</xdr:row>
      <xdr:rowOff>88796</xdr:rowOff>
    </xdr:to>
    <xdr:sp macro="" textlink="">
      <xdr:nvSpPr>
        <xdr:cNvPr id="851" name="Text Box 73" hidden="1">
          <a:extLst>
            <a:ext uri="{FF2B5EF4-FFF2-40B4-BE49-F238E27FC236}">
              <a16:creationId xmlns:a16="http://schemas.microsoft.com/office/drawing/2014/main" id="{1D5ACDE9-4BE9-412F-84E0-7B63C6F887F1}"/>
            </a:ext>
          </a:extLst>
        </xdr:cNvPr>
        <xdr:cNvSpPr txBox="1">
          <a:spLocks noChangeArrowheads="1"/>
        </xdr:cNvSpPr>
      </xdr:nvSpPr>
      <xdr:spPr bwMode="auto">
        <a:xfrm>
          <a:off x="3981263" y="37901281"/>
          <a:ext cx="1312022" cy="1030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10596</xdr:rowOff>
    </xdr:from>
    <xdr:to>
      <xdr:col>5</xdr:col>
      <xdr:colOff>102160</xdr:colOff>
      <xdr:row>196</xdr:row>
      <xdr:rowOff>125691</xdr:rowOff>
    </xdr:to>
    <xdr:sp macro="" textlink="">
      <xdr:nvSpPr>
        <xdr:cNvPr id="852" name="Text Box 72" hidden="1">
          <a:extLst>
            <a:ext uri="{FF2B5EF4-FFF2-40B4-BE49-F238E27FC236}">
              <a16:creationId xmlns:a16="http://schemas.microsoft.com/office/drawing/2014/main" id="{E17CBDFA-B802-4046-B156-BB6332421989}"/>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124103</xdr:rowOff>
    </xdr:from>
    <xdr:to>
      <xdr:col>5</xdr:col>
      <xdr:colOff>102160</xdr:colOff>
      <xdr:row>197</xdr:row>
      <xdr:rowOff>144180</xdr:rowOff>
    </xdr:to>
    <xdr:sp macro="" textlink="">
      <xdr:nvSpPr>
        <xdr:cNvPr id="853" name="Text Box 71" hidden="1">
          <a:extLst>
            <a:ext uri="{FF2B5EF4-FFF2-40B4-BE49-F238E27FC236}">
              <a16:creationId xmlns:a16="http://schemas.microsoft.com/office/drawing/2014/main" id="{E02EABF0-C8C0-4666-A9BA-731C1D32455A}"/>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102673</xdr:rowOff>
    </xdr:from>
    <xdr:to>
      <xdr:col>5</xdr:col>
      <xdr:colOff>102160</xdr:colOff>
      <xdr:row>204</xdr:row>
      <xdr:rowOff>78476</xdr:rowOff>
    </xdr:to>
    <xdr:sp macro="" textlink="">
      <xdr:nvSpPr>
        <xdr:cNvPr id="854" name="Text Box 70" hidden="1">
          <a:extLst>
            <a:ext uri="{FF2B5EF4-FFF2-40B4-BE49-F238E27FC236}">
              <a16:creationId xmlns:a16="http://schemas.microsoft.com/office/drawing/2014/main" id="{7D018973-FDA2-457E-AA2E-DA46C72F1181}"/>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102160</xdr:colOff>
      <xdr:row>58</xdr:row>
      <xdr:rowOff>189132</xdr:rowOff>
    </xdr:to>
    <xdr:sp macro="" textlink="">
      <xdr:nvSpPr>
        <xdr:cNvPr id="855" name="Text Box 69" hidden="1">
          <a:extLst>
            <a:ext uri="{FF2B5EF4-FFF2-40B4-BE49-F238E27FC236}">
              <a16:creationId xmlns:a16="http://schemas.microsoft.com/office/drawing/2014/main" id="{A3662F74-0A23-4D1D-B2F9-DB064DD2BDC1}"/>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102160</xdr:colOff>
      <xdr:row>66</xdr:row>
      <xdr:rowOff>122551</xdr:rowOff>
    </xdr:to>
    <xdr:sp macro="" textlink="">
      <xdr:nvSpPr>
        <xdr:cNvPr id="856" name="Text Box 68" hidden="1">
          <a:extLst>
            <a:ext uri="{FF2B5EF4-FFF2-40B4-BE49-F238E27FC236}">
              <a16:creationId xmlns:a16="http://schemas.microsoft.com/office/drawing/2014/main" id="{E51699CA-1696-4A26-A8D1-6E745E7C705E}"/>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236944</xdr:rowOff>
    </xdr:from>
    <xdr:to>
      <xdr:col>5</xdr:col>
      <xdr:colOff>102160</xdr:colOff>
      <xdr:row>70</xdr:row>
      <xdr:rowOff>57735</xdr:rowOff>
    </xdr:to>
    <xdr:sp macro="" textlink="">
      <xdr:nvSpPr>
        <xdr:cNvPr id="857" name="Text Box 67" hidden="1">
          <a:extLst>
            <a:ext uri="{FF2B5EF4-FFF2-40B4-BE49-F238E27FC236}">
              <a16:creationId xmlns:a16="http://schemas.microsoft.com/office/drawing/2014/main" id="{0B16A5DA-838C-4B6C-93E9-F0C467CC83FC}"/>
            </a:ext>
          </a:extLst>
        </xdr:cNvPr>
        <xdr:cNvSpPr txBox="1">
          <a:spLocks noChangeArrowheads="1"/>
        </xdr:cNvSpPr>
      </xdr:nvSpPr>
      <xdr:spPr bwMode="auto">
        <a:xfrm>
          <a:off x="3981263" y="1232416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255994</xdr:rowOff>
    </xdr:from>
    <xdr:to>
      <xdr:col>5</xdr:col>
      <xdr:colOff>102160</xdr:colOff>
      <xdr:row>70</xdr:row>
      <xdr:rowOff>76785</xdr:rowOff>
    </xdr:to>
    <xdr:sp macro="" textlink="">
      <xdr:nvSpPr>
        <xdr:cNvPr id="858" name="Text Box 66" hidden="1">
          <a:extLst>
            <a:ext uri="{FF2B5EF4-FFF2-40B4-BE49-F238E27FC236}">
              <a16:creationId xmlns:a16="http://schemas.microsoft.com/office/drawing/2014/main" id="{1DF9D45F-CA79-4855-84A3-F08A6337B2EB}"/>
            </a:ext>
          </a:extLst>
        </xdr:cNvPr>
        <xdr:cNvSpPr txBox="1">
          <a:spLocks noChangeArrowheads="1"/>
        </xdr:cNvSpPr>
      </xdr:nvSpPr>
      <xdr:spPr bwMode="auto">
        <a:xfrm>
          <a:off x="3981263" y="1234321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139948</xdr:rowOff>
    </xdr:from>
    <xdr:to>
      <xdr:col>5</xdr:col>
      <xdr:colOff>102160</xdr:colOff>
      <xdr:row>70</xdr:row>
      <xdr:rowOff>54560</xdr:rowOff>
    </xdr:to>
    <xdr:sp macro="" textlink="">
      <xdr:nvSpPr>
        <xdr:cNvPr id="859" name="Text Box 65" hidden="1">
          <a:extLst>
            <a:ext uri="{FF2B5EF4-FFF2-40B4-BE49-F238E27FC236}">
              <a16:creationId xmlns:a16="http://schemas.microsoft.com/office/drawing/2014/main" id="{0E384792-185D-4737-9B2D-6FD8FC64E7F3}"/>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10579</xdr:rowOff>
    </xdr:from>
    <xdr:to>
      <xdr:col>5</xdr:col>
      <xdr:colOff>102160</xdr:colOff>
      <xdr:row>81</xdr:row>
      <xdr:rowOff>105628</xdr:rowOff>
    </xdr:to>
    <xdr:sp macro="" textlink="">
      <xdr:nvSpPr>
        <xdr:cNvPr id="860" name="Text Box 64" hidden="1">
          <a:extLst>
            <a:ext uri="{FF2B5EF4-FFF2-40B4-BE49-F238E27FC236}">
              <a16:creationId xmlns:a16="http://schemas.microsoft.com/office/drawing/2014/main" id="{19A05021-BFF7-494D-B9E2-CCAA46F38252}"/>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112246</xdr:rowOff>
    </xdr:from>
    <xdr:to>
      <xdr:col>5</xdr:col>
      <xdr:colOff>102160</xdr:colOff>
      <xdr:row>81</xdr:row>
      <xdr:rowOff>16348</xdr:rowOff>
    </xdr:to>
    <xdr:sp macro="" textlink="">
      <xdr:nvSpPr>
        <xdr:cNvPr id="861" name="Text Box 63" hidden="1">
          <a:extLst>
            <a:ext uri="{FF2B5EF4-FFF2-40B4-BE49-F238E27FC236}">
              <a16:creationId xmlns:a16="http://schemas.microsoft.com/office/drawing/2014/main" id="{9847B33A-02DE-479C-949F-7FF44E9D14AD}"/>
            </a:ext>
          </a:extLst>
        </xdr:cNvPr>
        <xdr:cNvSpPr txBox="1">
          <a:spLocks noChangeArrowheads="1"/>
        </xdr:cNvSpPr>
      </xdr:nvSpPr>
      <xdr:spPr bwMode="auto">
        <a:xfrm>
          <a:off x="3981263" y="16860371"/>
          <a:ext cx="1312022" cy="866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47106</xdr:rowOff>
    </xdr:from>
    <xdr:to>
      <xdr:col>5</xdr:col>
      <xdr:colOff>102160</xdr:colOff>
      <xdr:row>83</xdr:row>
      <xdr:rowOff>88831</xdr:rowOff>
    </xdr:to>
    <xdr:sp macro="" textlink="">
      <xdr:nvSpPr>
        <xdr:cNvPr id="862" name="Text Box 62" hidden="1">
          <a:extLst>
            <a:ext uri="{FF2B5EF4-FFF2-40B4-BE49-F238E27FC236}">
              <a16:creationId xmlns:a16="http://schemas.microsoft.com/office/drawing/2014/main" id="{0495FB46-3CB5-47C0-A270-15DF5449AC14}"/>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228461</xdr:rowOff>
    </xdr:from>
    <xdr:to>
      <xdr:col>5</xdr:col>
      <xdr:colOff>102160</xdr:colOff>
      <xdr:row>84</xdr:row>
      <xdr:rowOff>105925</xdr:rowOff>
    </xdr:to>
    <xdr:sp macro="" textlink="">
      <xdr:nvSpPr>
        <xdr:cNvPr id="863" name="Text Box 61" hidden="1">
          <a:extLst>
            <a:ext uri="{FF2B5EF4-FFF2-40B4-BE49-F238E27FC236}">
              <a16:creationId xmlns:a16="http://schemas.microsoft.com/office/drawing/2014/main" id="{ECED64E0-A5B9-4F8C-B996-19E3F451D0A3}"/>
            </a:ext>
          </a:extLst>
        </xdr:cNvPr>
        <xdr:cNvSpPr txBox="1">
          <a:spLocks noChangeArrowheads="1"/>
        </xdr:cNvSpPr>
      </xdr:nvSpPr>
      <xdr:spPr bwMode="auto">
        <a:xfrm>
          <a:off x="3981263" y="17192486"/>
          <a:ext cx="1312022" cy="1163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28881</xdr:rowOff>
    </xdr:from>
    <xdr:to>
      <xdr:col>5</xdr:col>
      <xdr:colOff>102160</xdr:colOff>
      <xdr:row>106</xdr:row>
      <xdr:rowOff>29481</xdr:rowOff>
    </xdr:to>
    <xdr:sp macro="" textlink="">
      <xdr:nvSpPr>
        <xdr:cNvPr id="864" name="Text Box 60" hidden="1">
          <a:extLst>
            <a:ext uri="{FF2B5EF4-FFF2-40B4-BE49-F238E27FC236}">
              <a16:creationId xmlns:a16="http://schemas.microsoft.com/office/drawing/2014/main" id="{F2C17152-E667-454D-9F03-606BFC997337}"/>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67833</xdr:rowOff>
    </xdr:from>
    <xdr:to>
      <xdr:col>5</xdr:col>
      <xdr:colOff>102160</xdr:colOff>
      <xdr:row>105</xdr:row>
      <xdr:rowOff>191110</xdr:rowOff>
    </xdr:to>
    <xdr:sp macro="" textlink="">
      <xdr:nvSpPr>
        <xdr:cNvPr id="865" name="Text Box 59" hidden="1">
          <a:extLst>
            <a:ext uri="{FF2B5EF4-FFF2-40B4-BE49-F238E27FC236}">
              <a16:creationId xmlns:a16="http://schemas.microsoft.com/office/drawing/2014/main" id="{7C3D32FF-F423-410D-94A7-8949F61385A0}"/>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76892</xdr:rowOff>
    </xdr:from>
    <xdr:to>
      <xdr:col>5</xdr:col>
      <xdr:colOff>102160</xdr:colOff>
      <xdr:row>105</xdr:row>
      <xdr:rowOff>142610</xdr:rowOff>
    </xdr:to>
    <xdr:sp macro="" textlink="">
      <xdr:nvSpPr>
        <xdr:cNvPr id="866" name="Text Box 58" hidden="1">
          <a:extLst>
            <a:ext uri="{FF2B5EF4-FFF2-40B4-BE49-F238E27FC236}">
              <a16:creationId xmlns:a16="http://schemas.microsoft.com/office/drawing/2014/main" id="{371A94F0-DF98-4809-8711-9FDFED1CB8A3}"/>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28707</xdr:rowOff>
    </xdr:from>
    <xdr:to>
      <xdr:col>5</xdr:col>
      <xdr:colOff>102160</xdr:colOff>
      <xdr:row>105</xdr:row>
      <xdr:rowOff>142610</xdr:rowOff>
    </xdr:to>
    <xdr:sp macro="" textlink="">
      <xdr:nvSpPr>
        <xdr:cNvPr id="867" name="Text Box 57" hidden="1">
          <a:extLst>
            <a:ext uri="{FF2B5EF4-FFF2-40B4-BE49-F238E27FC236}">
              <a16:creationId xmlns:a16="http://schemas.microsoft.com/office/drawing/2014/main" id="{07097ECC-7384-4605-BAB4-5226096F0911}"/>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123045</xdr:rowOff>
    </xdr:from>
    <xdr:to>
      <xdr:col>21</xdr:col>
      <xdr:colOff>254522</xdr:colOff>
      <xdr:row>129</xdr:row>
      <xdr:rowOff>18826</xdr:rowOff>
    </xdr:to>
    <xdr:sp macro="" textlink="">
      <xdr:nvSpPr>
        <xdr:cNvPr id="868" name="Text Box 56" hidden="1">
          <a:extLst>
            <a:ext uri="{FF2B5EF4-FFF2-40B4-BE49-F238E27FC236}">
              <a16:creationId xmlns:a16="http://schemas.microsoft.com/office/drawing/2014/main" id="{93FAF1A6-E4C6-4109-B3D1-B99127C7320B}"/>
            </a:ext>
          </a:extLst>
        </xdr:cNvPr>
        <xdr:cNvSpPr txBox="1">
          <a:spLocks noChangeArrowheads="1"/>
        </xdr:cNvSpPr>
      </xdr:nvSpPr>
      <xdr:spPr bwMode="auto">
        <a:xfrm>
          <a:off x="17513821" y="26119945"/>
          <a:ext cx="1333501" cy="7974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239852</xdr:rowOff>
    </xdr:to>
    <xdr:sp macro="" textlink="">
      <xdr:nvSpPr>
        <xdr:cNvPr id="869" name="Text Box 55" hidden="1">
          <a:extLst>
            <a:ext uri="{FF2B5EF4-FFF2-40B4-BE49-F238E27FC236}">
              <a16:creationId xmlns:a16="http://schemas.microsoft.com/office/drawing/2014/main" id="{12F6AF84-8605-4383-A72A-141C284D8ABA}"/>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164665</xdr:rowOff>
    </xdr:from>
    <xdr:to>
      <xdr:col>22</xdr:col>
      <xdr:colOff>425971</xdr:colOff>
      <xdr:row>34</xdr:row>
      <xdr:rowOff>39017</xdr:rowOff>
    </xdr:to>
    <xdr:sp macro="" textlink="">
      <xdr:nvSpPr>
        <xdr:cNvPr id="870" name="Text Box 54" hidden="1">
          <a:extLst>
            <a:ext uri="{FF2B5EF4-FFF2-40B4-BE49-F238E27FC236}">
              <a16:creationId xmlns:a16="http://schemas.microsoft.com/office/drawing/2014/main" id="{91A6FFF5-9AA5-4271-8842-D64DCE524D89}"/>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1148</xdr:rowOff>
    </xdr:from>
    <xdr:to>
      <xdr:col>22</xdr:col>
      <xdr:colOff>425971</xdr:colOff>
      <xdr:row>132</xdr:row>
      <xdr:rowOff>142885</xdr:rowOff>
    </xdr:to>
    <xdr:sp macro="" textlink="">
      <xdr:nvSpPr>
        <xdr:cNvPr id="871" name="Text Box 53" hidden="1">
          <a:extLst>
            <a:ext uri="{FF2B5EF4-FFF2-40B4-BE49-F238E27FC236}">
              <a16:creationId xmlns:a16="http://schemas.microsoft.com/office/drawing/2014/main" id="{E42C207A-10AC-4662-BE37-9013FEAD476A}"/>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68683</xdr:rowOff>
    </xdr:from>
    <xdr:to>
      <xdr:col>11</xdr:col>
      <xdr:colOff>639676</xdr:colOff>
      <xdr:row>45</xdr:row>
      <xdr:rowOff>11532</xdr:rowOff>
    </xdr:to>
    <xdr:sp macro="" textlink="">
      <xdr:nvSpPr>
        <xdr:cNvPr id="872" name="Text Box 82" hidden="1">
          <a:extLst>
            <a:ext uri="{FF2B5EF4-FFF2-40B4-BE49-F238E27FC236}">
              <a16:creationId xmlns:a16="http://schemas.microsoft.com/office/drawing/2014/main" id="{3D9E5CDF-3689-48FB-9F48-18AB7CCBA9AC}"/>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56776</xdr:rowOff>
    </xdr:from>
    <xdr:to>
      <xdr:col>24</xdr:col>
      <xdr:colOff>483122</xdr:colOff>
      <xdr:row>23</xdr:row>
      <xdr:rowOff>316846</xdr:rowOff>
    </xdr:to>
    <xdr:sp macro="" textlink="">
      <xdr:nvSpPr>
        <xdr:cNvPr id="873" name="Text Box 83" hidden="1">
          <a:extLst>
            <a:ext uri="{FF2B5EF4-FFF2-40B4-BE49-F238E27FC236}">
              <a16:creationId xmlns:a16="http://schemas.microsoft.com/office/drawing/2014/main" id="{724199BE-CC10-479E-B314-6363F3693959}"/>
            </a:ext>
          </a:extLst>
        </xdr:cNvPr>
        <xdr:cNvSpPr txBox="1">
          <a:spLocks noChangeArrowheads="1"/>
        </xdr:cNvSpPr>
      </xdr:nvSpPr>
      <xdr:spPr bwMode="auto">
        <a:xfrm>
          <a:off x="19985832" y="4571626"/>
          <a:ext cx="1376090" cy="7998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171015</xdr:rowOff>
    </xdr:from>
    <xdr:to>
      <xdr:col>24</xdr:col>
      <xdr:colOff>483122</xdr:colOff>
      <xdr:row>34</xdr:row>
      <xdr:rowOff>105522</xdr:rowOff>
    </xdr:to>
    <xdr:sp macro="" textlink="">
      <xdr:nvSpPr>
        <xdr:cNvPr id="874" name="Text Box 84" hidden="1">
          <a:extLst>
            <a:ext uri="{FF2B5EF4-FFF2-40B4-BE49-F238E27FC236}">
              <a16:creationId xmlns:a16="http://schemas.microsoft.com/office/drawing/2014/main" id="{9B12D1A5-7A75-4531-B8D1-576FDAF9824F}"/>
            </a:ext>
          </a:extLst>
        </xdr:cNvPr>
        <xdr:cNvSpPr txBox="1">
          <a:spLocks noChangeArrowheads="1"/>
        </xdr:cNvSpPr>
      </xdr:nvSpPr>
      <xdr:spPr bwMode="auto">
        <a:xfrm>
          <a:off x="19985832" y="6667065"/>
          <a:ext cx="1376090" cy="83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483122</xdr:colOff>
      <xdr:row>133</xdr:row>
      <xdr:rowOff>82823</xdr:rowOff>
    </xdr:to>
    <xdr:sp macro="" textlink="">
      <xdr:nvSpPr>
        <xdr:cNvPr id="875" name="Text Box 85" hidden="1">
          <a:extLst>
            <a:ext uri="{FF2B5EF4-FFF2-40B4-BE49-F238E27FC236}">
              <a16:creationId xmlns:a16="http://schemas.microsoft.com/office/drawing/2014/main" id="{80833ED7-43D7-4448-9223-E3EA0B1CCEF6}"/>
            </a:ext>
          </a:extLst>
        </xdr:cNvPr>
        <xdr:cNvSpPr txBox="1">
          <a:spLocks noChangeArrowheads="1"/>
        </xdr:cNvSpPr>
      </xdr:nvSpPr>
      <xdr:spPr bwMode="auto">
        <a:xfrm>
          <a:off x="19985832" y="26899748"/>
          <a:ext cx="137609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876" name="Text Box 115" hidden="1">
          <a:extLst>
            <a:ext uri="{FF2B5EF4-FFF2-40B4-BE49-F238E27FC236}">
              <a16:creationId xmlns:a16="http://schemas.microsoft.com/office/drawing/2014/main" id="{08DB56F0-A021-4969-A0A7-BA95E231BB4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102673</xdr:rowOff>
    </xdr:from>
    <xdr:to>
      <xdr:col>5</xdr:col>
      <xdr:colOff>102160</xdr:colOff>
      <xdr:row>229</xdr:row>
      <xdr:rowOff>102672</xdr:rowOff>
    </xdr:to>
    <xdr:sp macro="" textlink="">
      <xdr:nvSpPr>
        <xdr:cNvPr id="877" name="Text Box 114" hidden="1">
          <a:extLst>
            <a:ext uri="{FF2B5EF4-FFF2-40B4-BE49-F238E27FC236}">
              <a16:creationId xmlns:a16="http://schemas.microsoft.com/office/drawing/2014/main" id="{D3B3964F-A0C2-4E54-92FD-F214B711ADFE}"/>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229</xdr:row>
      <xdr:rowOff>20917</xdr:rowOff>
    </xdr:to>
    <xdr:sp macro="" textlink="">
      <xdr:nvSpPr>
        <xdr:cNvPr id="878" name="Text Box 113" hidden="1">
          <a:extLst>
            <a:ext uri="{FF2B5EF4-FFF2-40B4-BE49-F238E27FC236}">
              <a16:creationId xmlns:a16="http://schemas.microsoft.com/office/drawing/2014/main" id="{8C1AD82A-0D3C-45FA-AAE0-0CD7D3CC0DE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65609</xdr:rowOff>
    </xdr:from>
    <xdr:to>
      <xdr:col>5</xdr:col>
      <xdr:colOff>102160</xdr:colOff>
      <xdr:row>230</xdr:row>
      <xdr:rowOff>102673</xdr:rowOff>
    </xdr:to>
    <xdr:sp macro="" textlink="">
      <xdr:nvSpPr>
        <xdr:cNvPr id="879" name="Text Box 112" hidden="1">
          <a:extLst>
            <a:ext uri="{FF2B5EF4-FFF2-40B4-BE49-F238E27FC236}">
              <a16:creationId xmlns:a16="http://schemas.microsoft.com/office/drawing/2014/main" id="{BFE4BDC1-4405-4BA7-B6D9-5EF4E2088EAA}"/>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65609</xdr:rowOff>
    </xdr:from>
    <xdr:to>
      <xdr:col>5</xdr:col>
      <xdr:colOff>102160</xdr:colOff>
      <xdr:row>218</xdr:row>
      <xdr:rowOff>20915</xdr:rowOff>
    </xdr:to>
    <xdr:sp macro="" textlink="">
      <xdr:nvSpPr>
        <xdr:cNvPr id="880" name="Text Box 111" hidden="1">
          <a:extLst>
            <a:ext uri="{FF2B5EF4-FFF2-40B4-BE49-F238E27FC236}">
              <a16:creationId xmlns:a16="http://schemas.microsoft.com/office/drawing/2014/main" id="{A4FAFFE4-3A4F-4D9E-B0DE-805E68B3FE96}"/>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144181</xdr:rowOff>
    </xdr:from>
    <xdr:to>
      <xdr:col>5</xdr:col>
      <xdr:colOff>102160</xdr:colOff>
      <xdr:row>195</xdr:row>
      <xdr:rowOff>69579</xdr:rowOff>
    </xdr:to>
    <xdr:sp macro="" textlink="">
      <xdr:nvSpPr>
        <xdr:cNvPr id="881" name="Text Box 110" hidden="1">
          <a:extLst>
            <a:ext uri="{FF2B5EF4-FFF2-40B4-BE49-F238E27FC236}">
              <a16:creationId xmlns:a16="http://schemas.microsoft.com/office/drawing/2014/main" id="{F029B8C0-F162-4CD3-8016-336618F2AECB}"/>
            </a:ext>
          </a:extLst>
        </xdr:cNvPr>
        <xdr:cNvSpPr txBox="1">
          <a:spLocks noChangeArrowheads="1"/>
        </xdr:cNvSpPr>
      </xdr:nvSpPr>
      <xdr:spPr bwMode="auto">
        <a:xfrm>
          <a:off x="3981263" y="37901281"/>
          <a:ext cx="1312022" cy="1011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10596</xdr:rowOff>
    </xdr:from>
    <xdr:to>
      <xdr:col>5</xdr:col>
      <xdr:colOff>102160</xdr:colOff>
      <xdr:row>196</xdr:row>
      <xdr:rowOff>125691</xdr:rowOff>
    </xdr:to>
    <xdr:sp macro="" textlink="">
      <xdr:nvSpPr>
        <xdr:cNvPr id="882" name="Text Box 109" hidden="1">
          <a:extLst>
            <a:ext uri="{FF2B5EF4-FFF2-40B4-BE49-F238E27FC236}">
              <a16:creationId xmlns:a16="http://schemas.microsoft.com/office/drawing/2014/main" id="{2FAD5E7A-B6FE-4167-B817-91822C11E3FD}"/>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124103</xdr:rowOff>
    </xdr:from>
    <xdr:to>
      <xdr:col>5</xdr:col>
      <xdr:colOff>102160</xdr:colOff>
      <xdr:row>197</xdr:row>
      <xdr:rowOff>144180</xdr:rowOff>
    </xdr:to>
    <xdr:sp macro="" textlink="">
      <xdr:nvSpPr>
        <xdr:cNvPr id="883" name="Text Box 108" hidden="1">
          <a:extLst>
            <a:ext uri="{FF2B5EF4-FFF2-40B4-BE49-F238E27FC236}">
              <a16:creationId xmlns:a16="http://schemas.microsoft.com/office/drawing/2014/main" id="{17FA34D8-933C-4507-A033-1442B653BB8F}"/>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102673</xdr:rowOff>
    </xdr:from>
    <xdr:to>
      <xdr:col>5</xdr:col>
      <xdr:colOff>102160</xdr:colOff>
      <xdr:row>204</xdr:row>
      <xdr:rowOff>78476</xdr:rowOff>
    </xdr:to>
    <xdr:sp macro="" textlink="">
      <xdr:nvSpPr>
        <xdr:cNvPr id="884" name="Text Box 107" hidden="1">
          <a:extLst>
            <a:ext uri="{FF2B5EF4-FFF2-40B4-BE49-F238E27FC236}">
              <a16:creationId xmlns:a16="http://schemas.microsoft.com/office/drawing/2014/main" id="{D600D7D4-466D-4597-888E-5D0239CCE822}"/>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102160</xdr:colOff>
      <xdr:row>58</xdr:row>
      <xdr:rowOff>189132</xdr:rowOff>
    </xdr:to>
    <xdr:sp macro="" textlink="">
      <xdr:nvSpPr>
        <xdr:cNvPr id="885" name="Text Box 106" hidden="1">
          <a:extLst>
            <a:ext uri="{FF2B5EF4-FFF2-40B4-BE49-F238E27FC236}">
              <a16:creationId xmlns:a16="http://schemas.microsoft.com/office/drawing/2014/main" id="{887C4BDD-F72B-4111-8469-853D37C28546}"/>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102160</xdr:colOff>
      <xdr:row>66</xdr:row>
      <xdr:rowOff>122551</xdr:rowOff>
    </xdr:to>
    <xdr:sp macro="" textlink="">
      <xdr:nvSpPr>
        <xdr:cNvPr id="886" name="Text Box 105" hidden="1">
          <a:extLst>
            <a:ext uri="{FF2B5EF4-FFF2-40B4-BE49-F238E27FC236}">
              <a16:creationId xmlns:a16="http://schemas.microsoft.com/office/drawing/2014/main" id="{3E6A4775-EB12-4F5E-9AC4-EA91C820F773}"/>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236944</xdr:rowOff>
    </xdr:from>
    <xdr:to>
      <xdr:col>5</xdr:col>
      <xdr:colOff>102160</xdr:colOff>
      <xdr:row>70</xdr:row>
      <xdr:rowOff>73610</xdr:rowOff>
    </xdr:to>
    <xdr:sp macro="" textlink="">
      <xdr:nvSpPr>
        <xdr:cNvPr id="887" name="Text Box 104" hidden="1">
          <a:extLst>
            <a:ext uri="{FF2B5EF4-FFF2-40B4-BE49-F238E27FC236}">
              <a16:creationId xmlns:a16="http://schemas.microsoft.com/office/drawing/2014/main" id="{C85B6462-02B7-48D8-827E-E26791FD105D}"/>
            </a:ext>
          </a:extLst>
        </xdr:cNvPr>
        <xdr:cNvSpPr txBox="1">
          <a:spLocks noChangeArrowheads="1"/>
        </xdr:cNvSpPr>
      </xdr:nvSpPr>
      <xdr:spPr bwMode="auto">
        <a:xfrm>
          <a:off x="3981263" y="12324169"/>
          <a:ext cx="1312022" cy="32021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255994</xdr:rowOff>
    </xdr:from>
    <xdr:to>
      <xdr:col>5</xdr:col>
      <xdr:colOff>102160</xdr:colOff>
      <xdr:row>70</xdr:row>
      <xdr:rowOff>104400</xdr:rowOff>
    </xdr:to>
    <xdr:sp macro="" textlink="">
      <xdr:nvSpPr>
        <xdr:cNvPr id="888" name="Text Box 103" hidden="1">
          <a:extLst>
            <a:ext uri="{FF2B5EF4-FFF2-40B4-BE49-F238E27FC236}">
              <a16:creationId xmlns:a16="http://schemas.microsoft.com/office/drawing/2014/main" id="{385F8024-FF59-47EF-9CD1-20813E190B8C}"/>
            </a:ext>
          </a:extLst>
        </xdr:cNvPr>
        <xdr:cNvSpPr txBox="1">
          <a:spLocks noChangeArrowheads="1"/>
        </xdr:cNvSpPr>
      </xdr:nvSpPr>
      <xdr:spPr bwMode="auto">
        <a:xfrm>
          <a:off x="3981263" y="12343219"/>
          <a:ext cx="1312022" cy="3213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139948</xdr:rowOff>
    </xdr:from>
    <xdr:to>
      <xdr:col>5</xdr:col>
      <xdr:colOff>102160</xdr:colOff>
      <xdr:row>70</xdr:row>
      <xdr:rowOff>54560</xdr:rowOff>
    </xdr:to>
    <xdr:sp macro="" textlink="">
      <xdr:nvSpPr>
        <xdr:cNvPr id="889" name="Text Box 102" hidden="1">
          <a:extLst>
            <a:ext uri="{FF2B5EF4-FFF2-40B4-BE49-F238E27FC236}">
              <a16:creationId xmlns:a16="http://schemas.microsoft.com/office/drawing/2014/main" id="{926D4FDE-73A0-49F1-A120-6A499FFB6BCB}"/>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10579</xdr:rowOff>
    </xdr:from>
    <xdr:to>
      <xdr:col>5</xdr:col>
      <xdr:colOff>102160</xdr:colOff>
      <xdr:row>81</xdr:row>
      <xdr:rowOff>105628</xdr:rowOff>
    </xdr:to>
    <xdr:sp macro="" textlink="">
      <xdr:nvSpPr>
        <xdr:cNvPr id="890" name="Text Box 101" hidden="1">
          <a:extLst>
            <a:ext uri="{FF2B5EF4-FFF2-40B4-BE49-F238E27FC236}">
              <a16:creationId xmlns:a16="http://schemas.microsoft.com/office/drawing/2014/main" id="{CA262CC7-1BA7-498E-8733-E3F24FD98D57}"/>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112246</xdr:rowOff>
    </xdr:from>
    <xdr:to>
      <xdr:col>5</xdr:col>
      <xdr:colOff>102160</xdr:colOff>
      <xdr:row>81</xdr:row>
      <xdr:rowOff>25727</xdr:rowOff>
    </xdr:to>
    <xdr:sp macro="" textlink="">
      <xdr:nvSpPr>
        <xdr:cNvPr id="891" name="Text Box 100" hidden="1">
          <a:extLst>
            <a:ext uri="{FF2B5EF4-FFF2-40B4-BE49-F238E27FC236}">
              <a16:creationId xmlns:a16="http://schemas.microsoft.com/office/drawing/2014/main" id="{E9D4852E-4F9D-4AB1-B1F5-3ED95F951E4D}"/>
            </a:ext>
          </a:extLst>
        </xdr:cNvPr>
        <xdr:cNvSpPr txBox="1">
          <a:spLocks noChangeArrowheads="1"/>
        </xdr:cNvSpPr>
      </xdr:nvSpPr>
      <xdr:spPr bwMode="auto">
        <a:xfrm>
          <a:off x="3981263" y="16860371"/>
          <a:ext cx="1312022" cy="875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47106</xdr:rowOff>
    </xdr:from>
    <xdr:to>
      <xdr:col>5</xdr:col>
      <xdr:colOff>102160</xdr:colOff>
      <xdr:row>83</xdr:row>
      <xdr:rowOff>88831</xdr:rowOff>
    </xdr:to>
    <xdr:sp macro="" textlink="">
      <xdr:nvSpPr>
        <xdr:cNvPr id="892" name="Text Box 99" hidden="1">
          <a:extLst>
            <a:ext uri="{FF2B5EF4-FFF2-40B4-BE49-F238E27FC236}">
              <a16:creationId xmlns:a16="http://schemas.microsoft.com/office/drawing/2014/main" id="{648F29C6-77B4-4A23-A43B-6C3C3B0E2E35}"/>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228461</xdr:rowOff>
    </xdr:from>
    <xdr:to>
      <xdr:col>5</xdr:col>
      <xdr:colOff>102160</xdr:colOff>
      <xdr:row>84</xdr:row>
      <xdr:rowOff>77944</xdr:rowOff>
    </xdr:to>
    <xdr:sp macro="" textlink="">
      <xdr:nvSpPr>
        <xdr:cNvPr id="893" name="Text Box 98" hidden="1">
          <a:extLst>
            <a:ext uri="{FF2B5EF4-FFF2-40B4-BE49-F238E27FC236}">
              <a16:creationId xmlns:a16="http://schemas.microsoft.com/office/drawing/2014/main" id="{842F656E-00AF-4924-93DB-AEEC435F5FD2}"/>
            </a:ext>
          </a:extLst>
        </xdr:cNvPr>
        <xdr:cNvSpPr txBox="1">
          <a:spLocks noChangeArrowheads="1"/>
        </xdr:cNvSpPr>
      </xdr:nvSpPr>
      <xdr:spPr bwMode="auto">
        <a:xfrm>
          <a:off x="3981263" y="17192486"/>
          <a:ext cx="1312022" cy="113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28881</xdr:rowOff>
    </xdr:from>
    <xdr:to>
      <xdr:col>5</xdr:col>
      <xdr:colOff>102160</xdr:colOff>
      <xdr:row>106</xdr:row>
      <xdr:rowOff>29481</xdr:rowOff>
    </xdr:to>
    <xdr:sp macro="" textlink="">
      <xdr:nvSpPr>
        <xdr:cNvPr id="894" name="Text Box 97" hidden="1">
          <a:extLst>
            <a:ext uri="{FF2B5EF4-FFF2-40B4-BE49-F238E27FC236}">
              <a16:creationId xmlns:a16="http://schemas.microsoft.com/office/drawing/2014/main" id="{E12130ED-8C45-4160-8285-EED40338F488}"/>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67833</xdr:rowOff>
    </xdr:from>
    <xdr:to>
      <xdr:col>5</xdr:col>
      <xdr:colOff>102160</xdr:colOff>
      <xdr:row>105</xdr:row>
      <xdr:rowOff>191110</xdr:rowOff>
    </xdr:to>
    <xdr:sp macro="" textlink="">
      <xdr:nvSpPr>
        <xdr:cNvPr id="895" name="Text Box 96" hidden="1">
          <a:extLst>
            <a:ext uri="{FF2B5EF4-FFF2-40B4-BE49-F238E27FC236}">
              <a16:creationId xmlns:a16="http://schemas.microsoft.com/office/drawing/2014/main" id="{1DE7F618-6E25-4D55-8D05-78C25C4E6E77}"/>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76892</xdr:rowOff>
    </xdr:from>
    <xdr:to>
      <xdr:col>5</xdr:col>
      <xdr:colOff>102160</xdr:colOff>
      <xdr:row>105</xdr:row>
      <xdr:rowOff>142610</xdr:rowOff>
    </xdr:to>
    <xdr:sp macro="" textlink="">
      <xdr:nvSpPr>
        <xdr:cNvPr id="896" name="Text Box 95" hidden="1">
          <a:extLst>
            <a:ext uri="{FF2B5EF4-FFF2-40B4-BE49-F238E27FC236}">
              <a16:creationId xmlns:a16="http://schemas.microsoft.com/office/drawing/2014/main" id="{D2045ECE-F490-4EF8-BAFD-C7AFDC76CF6B}"/>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28707</xdr:rowOff>
    </xdr:from>
    <xdr:to>
      <xdr:col>5</xdr:col>
      <xdr:colOff>102160</xdr:colOff>
      <xdr:row>105</xdr:row>
      <xdr:rowOff>142610</xdr:rowOff>
    </xdr:to>
    <xdr:sp macro="" textlink="">
      <xdr:nvSpPr>
        <xdr:cNvPr id="897" name="Text Box 94" hidden="1">
          <a:extLst>
            <a:ext uri="{FF2B5EF4-FFF2-40B4-BE49-F238E27FC236}">
              <a16:creationId xmlns:a16="http://schemas.microsoft.com/office/drawing/2014/main" id="{0687223A-CA9A-48C0-9032-62E9F6505FBC}"/>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123045</xdr:rowOff>
    </xdr:from>
    <xdr:to>
      <xdr:col>21</xdr:col>
      <xdr:colOff>254522</xdr:colOff>
      <xdr:row>129</xdr:row>
      <xdr:rowOff>37876</xdr:rowOff>
    </xdr:to>
    <xdr:sp macro="" textlink="">
      <xdr:nvSpPr>
        <xdr:cNvPr id="898" name="Text Box 93" hidden="1">
          <a:extLst>
            <a:ext uri="{FF2B5EF4-FFF2-40B4-BE49-F238E27FC236}">
              <a16:creationId xmlns:a16="http://schemas.microsoft.com/office/drawing/2014/main" id="{7F87F683-4F19-4554-A091-9E60C85E37C0}"/>
            </a:ext>
          </a:extLst>
        </xdr:cNvPr>
        <xdr:cNvSpPr txBox="1">
          <a:spLocks noChangeArrowheads="1"/>
        </xdr:cNvSpPr>
      </xdr:nvSpPr>
      <xdr:spPr bwMode="auto">
        <a:xfrm>
          <a:off x="17513821" y="26119945"/>
          <a:ext cx="1333501" cy="81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239852</xdr:rowOff>
    </xdr:to>
    <xdr:sp macro="" textlink="">
      <xdr:nvSpPr>
        <xdr:cNvPr id="899" name="Text Box 92" hidden="1">
          <a:extLst>
            <a:ext uri="{FF2B5EF4-FFF2-40B4-BE49-F238E27FC236}">
              <a16:creationId xmlns:a16="http://schemas.microsoft.com/office/drawing/2014/main" id="{6D978ADF-AFA9-48E1-9EC2-9712858E3731}"/>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164665</xdr:rowOff>
    </xdr:from>
    <xdr:to>
      <xdr:col>22</xdr:col>
      <xdr:colOff>425971</xdr:colOff>
      <xdr:row>34</xdr:row>
      <xdr:rowOff>39017</xdr:rowOff>
    </xdr:to>
    <xdr:sp macro="" textlink="">
      <xdr:nvSpPr>
        <xdr:cNvPr id="900" name="Text Box 91" hidden="1">
          <a:extLst>
            <a:ext uri="{FF2B5EF4-FFF2-40B4-BE49-F238E27FC236}">
              <a16:creationId xmlns:a16="http://schemas.microsoft.com/office/drawing/2014/main" id="{80FC7D04-AB18-4C4D-90E5-453E10D5CBC1}"/>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1148</xdr:rowOff>
    </xdr:from>
    <xdr:to>
      <xdr:col>22</xdr:col>
      <xdr:colOff>425971</xdr:colOff>
      <xdr:row>132</xdr:row>
      <xdr:rowOff>142885</xdr:rowOff>
    </xdr:to>
    <xdr:sp macro="" textlink="">
      <xdr:nvSpPr>
        <xdr:cNvPr id="901" name="Text Box 90" hidden="1">
          <a:extLst>
            <a:ext uri="{FF2B5EF4-FFF2-40B4-BE49-F238E27FC236}">
              <a16:creationId xmlns:a16="http://schemas.microsoft.com/office/drawing/2014/main" id="{50D9098A-1F92-42B1-9364-2203F562217C}"/>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68683</xdr:rowOff>
    </xdr:from>
    <xdr:to>
      <xdr:col>11</xdr:col>
      <xdr:colOff>639676</xdr:colOff>
      <xdr:row>45</xdr:row>
      <xdr:rowOff>11532</xdr:rowOff>
    </xdr:to>
    <xdr:sp macro="" textlink="">
      <xdr:nvSpPr>
        <xdr:cNvPr id="902" name="Text Box 89" hidden="1">
          <a:extLst>
            <a:ext uri="{FF2B5EF4-FFF2-40B4-BE49-F238E27FC236}">
              <a16:creationId xmlns:a16="http://schemas.microsoft.com/office/drawing/2014/main" id="{24BF13B6-F5E0-4790-AB5F-600FA75CE86E}"/>
            </a:ext>
          </a:extLst>
        </xdr:cNvPr>
        <xdr:cNvSpPr txBox="1">
          <a:spLocks noChangeArrowheads="1"/>
        </xdr:cNvSpPr>
      </xdr:nvSpPr>
      <xdr:spPr bwMode="auto">
        <a:xfrm>
          <a:off x="9314696" y="8555458"/>
          <a:ext cx="1402430" cy="8477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316846</xdr:rowOff>
    </xdr:to>
    <xdr:sp macro="" textlink="">
      <xdr:nvSpPr>
        <xdr:cNvPr id="903" name="Text Box 88" hidden="1">
          <a:extLst>
            <a:ext uri="{FF2B5EF4-FFF2-40B4-BE49-F238E27FC236}">
              <a16:creationId xmlns:a16="http://schemas.microsoft.com/office/drawing/2014/main" id="{71E3A258-5CD2-4700-B861-90CAE503CF97}"/>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164665</xdr:rowOff>
    </xdr:from>
    <xdr:to>
      <xdr:col>24</xdr:col>
      <xdr:colOff>464072</xdr:colOff>
      <xdr:row>34</xdr:row>
      <xdr:rowOff>105522</xdr:rowOff>
    </xdr:to>
    <xdr:sp macro="" textlink="">
      <xdr:nvSpPr>
        <xdr:cNvPr id="904" name="Text Box 87" hidden="1">
          <a:extLst>
            <a:ext uri="{FF2B5EF4-FFF2-40B4-BE49-F238E27FC236}">
              <a16:creationId xmlns:a16="http://schemas.microsoft.com/office/drawing/2014/main" id="{2741A917-2630-4255-9DE9-7A48239ECF5D}"/>
            </a:ext>
          </a:extLst>
        </xdr:cNvPr>
        <xdr:cNvSpPr txBox="1">
          <a:spLocks noChangeArrowheads="1"/>
        </xdr:cNvSpPr>
      </xdr:nvSpPr>
      <xdr:spPr bwMode="auto">
        <a:xfrm>
          <a:off x="19985832" y="6660715"/>
          <a:ext cx="1357040" cy="845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464072</xdr:colOff>
      <xdr:row>133</xdr:row>
      <xdr:rowOff>82823</xdr:rowOff>
    </xdr:to>
    <xdr:sp macro="" textlink="">
      <xdr:nvSpPr>
        <xdr:cNvPr id="905" name="Text Box 86" hidden="1">
          <a:extLst>
            <a:ext uri="{FF2B5EF4-FFF2-40B4-BE49-F238E27FC236}">
              <a16:creationId xmlns:a16="http://schemas.microsoft.com/office/drawing/2014/main" id="{5A398595-393A-456E-8A75-794066C33E6A}"/>
            </a:ext>
          </a:extLst>
        </xdr:cNvPr>
        <xdr:cNvSpPr txBox="1">
          <a:spLocks noChangeArrowheads="1"/>
        </xdr:cNvSpPr>
      </xdr:nvSpPr>
      <xdr:spPr bwMode="auto">
        <a:xfrm>
          <a:off x="19985832" y="26899748"/>
          <a:ext cx="1357040" cy="805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906" name="Text Box 145" hidden="1">
          <a:extLst>
            <a:ext uri="{FF2B5EF4-FFF2-40B4-BE49-F238E27FC236}">
              <a16:creationId xmlns:a16="http://schemas.microsoft.com/office/drawing/2014/main" id="{888C90BD-CC0A-40D2-8AEA-8FC568BAC9F9}"/>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102673</xdr:rowOff>
    </xdr:from>
    <xdr:to>
      <xdr:col>5</xdr:col>
      <xdr:colOff>102160</xdr:colOff>
      <xdr:row>229</xdr:row>
      <xdr:rowOff>102672</xdr:rowOff>
    </xdr:to>
    <xdr:sp macro="" textlink="">
      <xdr:nvSpPr>
        <xdr:cNvPr id="907" name="Text Box 144" hidden="1">
          <a:extLst>
            <a:ext uri="{FF2B5EF4-FFF2-40B4-BE49-F238E27FC236}">
              <a16:creationId xmlns:a16="http://schemas.microsoft.com/office/drawing/2014/main" id="{3AD5BECF-4C49-4706-B23C-11CB608EFC9A}"/>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229</xdr:row>
      <xdr:rowOff>20917</xdr:rowOff>
    </xdr:to>
    <xdr:sp macro="" textlink="">
      <xdr:nvSpPr>
        <xdr:cNvPr id="908" name="Text Box 143" hidden="1">
          <a:extLst>
            <a:ext uri="{FF2B5EF4-FFF2-40B4-BE49-F238E27FC236}">
              <a16:creationId xmlns:a16="http://schemas.microsoft.com/office/drawing/2014/main" id="{D50B37B6-203C-4708-8324-BEDF0F73DC5B}"/>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65609</xdr:rowOff>
    </xdr:from>
    <xdr:to>
      <xdr:col>5</xdr:col>
      <xdr:colOff>102160</xdr:colOff>
      <xdr:row>230</xdr:row>
      <xdr:rowOff>102673</xdr:rowOff>
    </xdr:to>
    <xdr:sp macro="" textlink="">
      <xdr:nvSpPr>
        <xdr:cNvPr id="909" name="Text Box 142" hidden="1">
          <a:extLst>
            <a:ext uri="{FF2B5EF4-FFF2-40B4-BE49-F238E27FC236}">
              <a16:creationId xmlns:a16="http://schemas.microsoft.com/office/drawing/2014/main" id="{ED8B207F-F417-452A-AB6D-DE592C9923A7}"/>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65609</xdr:rowOff>
    </xdr:from>
    <xdr:to>
      <xdr:col>5</xdr:col>
      <xdr:colOff>102160</xdr:colOff>
      <xdr:row>218</xdr:row>
      <xdr:rowOff>20915</xdr:rowOff>
    </xdr:to>
    <xdr:sp macro="" textlink="">
      <xdr:nvSpPr>
        <xdr:cNvPr id="910" name="Text Box 141" hidden="1">
          <a:extLst>
            <a:ext uri="{FF2B5EF4-FFF2-40B4-BE49-F238E27FC236}">
              <a16:creationId xmlns:a16="http://schemas.microsoft.com/office/drawing/2014/main" id="{F0D83254-871E-49B7-9DAB-6D2109D9BD6C}"/>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144181</xdr:rowOff>
    </xdr:from>
    <xdr:to>
      <xdr:col>5</xdr:col>
      <xdr:colOff>102160</xdr:colOff>
      <xdr:row>195</xdr:row>
      <xdr:rowOff>69579</xdr:rowOff>
    </xdr:to>
    <xdr:sp macro="" textlink="">
      <xdr:nvSpPr>
        <xdr:cNvPr id="911" name="Text Box 140" hidden="1">
          <a:extLst>
            <a:ext uri="{FF2B5EF4-FFF2-40B4-BE49-F238E27FC236}">
              <a16:creationId xmlns:a16="http://schemas.microsoft.com/office/drawing/2014/main" id="{CB2E763A-B754-4419-B482-88916FB7151A}"/>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10596</xdr:rowOff>
    </xdr:from>
    <xdr:to>
      <xdr:col>5</xdr:col>
      <xdr:colOff>102160</xdr:colOff>
      <xdr:row>196</xdr:row>
      <xdr:rowOff>125691</xdr:rowOff>
    </xdr:to>
    <xdr:sp macro="" textlink="">
      <xdr:nvSpPr>
        <xdr:cNvPr id="912" name="Text Box 139" hidden="1">
          <a:extLst>
            <a:ext uri="{FF2B5EF4-FFF2-40B4-BE49-F238E27FC236}">
              <a16:creationId xmlns:a16="http://schemas.microsoft.com/office/drawing/2014/main" id="{5A0D5913-A129-44B9-AFB3-A937FA7A7E8F}"/>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124103</xdr:rowOff>
    </xdr:from>
    <xdr:to>
      <xdr:col>5</xdr:col>
      <xdr:colOff>102160</xdr:colOff>
      <xdr:row>197</xdr:row>
      <xdr:rowOff>144180</xdr:rowOff>
    </xdr:to>
    <xdr:sp macro="" textlink="">
      <xdr:nvSpPr>
        <xdr:cNvPr id="913" name="Text Box 138" hidden="1">
          <a:extLst>
            <a:ext uri="{FF2B5EF4-FFF2-40B4-BE49-F238E27FC236}">
              <a16:creationId xmlns:a16="http://schemas.microsoft.com/office/drawing/2014/main" id="{75E411BA-AE77-4284-A98F-D6B0E59A215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102673</xdr:rowOff>
    </xdr:from>
    <xdr:to>
      <xdr:col>5</xdr:col>
      <xdr:colOff>102160</xdr:colOff>
      <xdr:row>204</xdr:row>
      <xdr:rowOff>78476</xdr:rowOff>
    </xdr:to>
    <xdr:sp macro="" textlink="">
      <xdr:nvSpPr>
        <xdr:cNvPr id="914" name="Text Box 137" hidden="1">
          <a:extLst>
            <a:ext uri="{FF2B5EF4-FFF2-40B4-BE49-F238E27FC236}">
              <a16:creationId xmlns:a16="http://schemas.microsoft.com/office/drawing/2014/main" id="{FF22EA46-A512-489F-B14E-58E0BB53B0FB}"/>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102160</xdr:colOff>
      <xdr:row>58</xdr:row>
      <xdr:rowOff>189132</xdr:rowOff>
    </xdr:to>
    <xdr:sp macro="" textlink="">
      <xdr:nvSpPr>
        <xdr:cNvPr id="915" name="Text Box 136" hidden="1">
          <a:extLst>
            <a:ext uri="{FF2B5EF4-FFF2-40B4-BE49-F238E27FC236}">
              <a16:creationId xmlns:a16="http://schemas.microsoft.com/office/drawing/2014/main" id="{AF22C4CF-B057-40E3-89DF-7FD2477640A4}"/>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102160</xdr:colOff>
      <xdr:row>66</xdr:row>
      <xdr:rowOff>122551</xdr:rowOff>
    </xdr:to>
    <xdr:sp macro="" textlink="">
      <xdr:nvSpPr>
        <xdr:cNvPr id="916" name="Text Box 135" hidden="1">
          <a:extLst>
            <a:ext uri="{FF2B5EF4-FFF2-40B4-BE49-F238E27FC236}">
              <a16:creationId xmlns:a16="http://schemas.microsoft.com/office/drawing/2014/main" id="{7A06DB76-63D0-4A29-B669-680765D9F28A}"/>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236944</xdr:rowOff>
    </xdr:from>
    <xdr:to>
      <xdr:col>5</xdr:col>
      <xdr:colOff>102160</xdr:colOff>
      <xdr:row>70</xdr:row>
      <xdr:rowOff>73610</xdr:rowOff>
    </xdr:to>
    <xdr:sp macro="" textlink="">
      <xdr:nvSpPr>
        <xdr:cNvPr id="917" name="Text Box 134" hidden="1">
          <a:extLst>
            <a:ext uri="{FF2B5EF4-FFF2-40B4-BE49-F238E27FC236}">
              <a16:creationId xmlns:a16="http://schemas.microsoft.com/office/drawing/2014/main" id="{141FF003-9C7D-4058-A092-037ECE8D81F5}"/>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255994</xdr:rowOff>
    </xdr:from>
    <xdr:to>
      <xdr:col>5</xdr:col>
      <xdr:colOff>102160</xdr:colOff>
      <xdr:row>70</xdr:row>
      <xdr:rowOff>104400</xdr:rowOff>
    </xdr:to>
    <xdr:sp macro="" textlink="">
      <xdr:nvSpPr>
        <xdr:cNvPr id="918" name="Text Box 133" hidden="1">
          <a:extLst>
            <a:ext uri="{FF2B5EF4-FFF2-40B4-BE49-F238E27FC236}">
              <a16:creationId xmlns:a16="http://schemas.microsoft.com/office/drawing/2014/main" id="{A42A3BCA-478B-4FA5-B4C5-3A515EAC6D01}"/>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139948</xdr:rowOff>
    </xdr:from>
    <xdr:to>
      <xdr:col>5</xdr:col>
      <xdr:colOff>102160</xdr:colOff>
      <xdr:row>70</xdr:row>
      <xdr:rowOff>54560</xdr:rowOff>
    </xdr:to>
    <xdr:sp macro="" textlink="">
      <xdr:nvSpPr>
        <xdr:cNvPr id="919" name="Text Box 132" hidden="1">
          <a:extLst>
            <a:ext uri="{FF2B5EF4-FFF2-40B4-BE49-F238E27FC236}">
              <a16:creationId xmlns:a16="http://schemas.microsoft.com/office/drawing/2014/main" id="{5E04D5CD-DA51-417F-9D05-0A3318F14A77}"/>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10579</xdr:rowOff>
    </xdr:from>
    <xdr:to>
      <xdr:col>5</xdr:col>
      <xdr:colOff>102160</xdr:colOff>
      <xdr:row>81</xdr:row>
      <xdr:rowOff>105628</xdr:rowOff>
    </xdr:to>
    <xdr:sp macro="" textlink="">
      <xdr:nvSpPr>
        <xdr:cNvPr id="920" name="Text Box 131" hidden="1">
          <a:extLst>
            <a:ext uri="{FF2B5EF4-FFF2-40B4-BE49-F238E27FC236}">
              <a16:creationId xmlns:a16="http://schemas.microsoft.com/office/drawing/2014/main" id="{486AA3BA-6823-460A-B633-7DD7C23F621E}"/>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112246</xdr:rowOff>
    </xdr:from>
    <xdr:to>
      <xdr:col>5</xdr:col>
      <xdr:colOff>102160</xdr:colOff>
      <xdr:row>81</xdr:row>
      <xdr:rowOff>25727</xdr:rowOff>
    </xdr:to>
    <xdr:sp macro="" textlink="">
      <xdr:nvSpPr>
        <xdr:cNvPr id="921" name="Text Box 130" hidden="1">
          <a:extLst>
            <a:ext uri="{FF2B5EF4-FFF2-40B4-BE49-F238E27FC236}">
              <a16:creationId xmlns:a16="http://schemas.microsoft.com/office/drawing/2014/main" id="{91A5E2AB-8D3C-443B-A747-7666C9EB9715}"/>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47106</xdr:rowOff>
    </xdr:from>
    <xdr:to>
      <xdr:col>5</xdr:col>
      <xdr:colOff>102160</xdr:colOff>
      <xdr:row>83</xdr:row>
      <xdr:rowOff>88831</xdr:rowOff>
    </xdr:to>
    <xdr:sp macro="" textlink="">
      <xdr:nvSpPr>
        <xdr:cNvPr id="922" name="Text Box 129" hidden="1">
          <a:extLst>
            <a:ext uri="{FF2B5EF4-FFF2-40B4-BE49-F238E27FC236}">
              <a16:creationId xmlns:a16="http://schemas.microsoft.com/office/drawing/2014/main" id="{B86D1727-011B-4E91-BA17-40FA2ECAD784}"/>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228461</xdr:rowOff>
    </xdr:from>
    <xdr:to>
      <xdr:col>5</xdr:col>
      <xdr:colOff>102160</xdr:colOff>
      <xdr:row>84</xdr:row>
      <xdr:rowOff>77944</xdr:rowOff>
    </xdr:to>
    <xdr:sp macro="" textlink="">
      <xdr:nvSpPr>
        <xdr:cNvPr id="923" name="Text Box 128" hidden="1">
          <a:extLst>
            <a:ext uri="{FF2B5EF4-FFF2-40B4-BE49-F238E27FC236}">
              <a16:creationId xmlns:a16="http://schemas.microsoft.com/office/drawing/2014/main" id="{465F3AD1-1610-4CCD-A5AE-3C9D63C5E809}"/>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28881</xdr:rowOff>
    </xdr:from>
    <xdr:to>
      <xdr:col>5</xdr:col>
      <xdr:colOff>102160</xdr:colOff>
      <xdr:row>106</xdr:row>
      <xdr:rowOff>29481</xdr:rowOff>
    </xdr:to>
    <xdr:sp macro="" textlink="">
      <xdr:nvSpPr>
        <xdr:cNvPr id="924" name="Text Box 127" hidden="1">
          <a:extLst>
            <a:ext uri="{FF2B5EF4-FFF2-40B4-BE49-F238E27FC236}">
              <a16:creationId xmlns:a16="http://schemas.microsoft.com/office/drawing/2014/main" id="{89E43593-9581-4250-9055-42CB7990714C}"/>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67833</xdr:rowOff>
    </xdr:from>
    <xdr:to>
      <xdr:col>5</xdr:col>
      <xdr:colOff>102160</xdr:colOff>
      <xdr:row>105</xdr:row>
      <xdr:rowOff>191110</xdr:rowOff>
    </xdr:to>
    <xdr:sp macro="" textlink="">
      <xdr:nvSpPr>
        <xdr:cNvPr id="925" name="Text Box 126" hidden="1">
          <a:extLst>
            <a:ext uri="{FF2B5EF4-FFF2-40B4-BE49-F238E27FC236}">
              <a16:creationId xmlns:a16="http://schemas.microsoft.com/office/drawing/2014/main" id="{28BEF7CE-FEE8-4B57-9E48-ABB4D522CE64}"/>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76892</xdr:rowOff>
    </xdr:from>
    <xdr:to>
      <xdr:col>5</xdr:col>
      <xdr:colOff>102160</xdr:colOff>
      <xdr:row>105</xdr:row>
      <xdr:rowOff>142610</xdr:rowOff>
    </xdr:to>
    <xdr:sp macro="" textlink="">
      <xdr:nvSpPr>
        <xdr:cNvPr id="926" name="Text Box 125" hidden="1">
          <a:extLst>
            <a:ext uri="{FF2B5EF4-FFF2-40B4-BE49-F238E27FC236}">
              <a16:creationId xmlns:a16="http://schemas.microsoft.com/office/drawing/2014/main" id="{216FB27E-CA3D-42CB-9D5C-500FFB382905}"/>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28707</xdr:rowOff>
    </xdr:from>
    <xdr:to>
      <xdr:col>5</xdr:col>
      <xdr:colOff>102160</xdr:colOff>
      <xdr:row>105</xdr:row>
      <xdr:rowOff>142610</xdr:rowOff>
    </xdr:to>
    <xdr:sp macro="" textlink="">
      <xdr:nvSpPr>
        <xdr:cNvPr id="927" name="Text Box 124" hidden="1">
          <a:extLst>
            <a:ext uri="{FF2B5EF4-FFF2-40B4-BE49-F238E27FC236}">
              <a16:creationId xmlns:a16="http://schemas.microsoft.com/office/drawing/2014/main" id="{06AFD8F5-FC58-4FBE-ACA5-0BF0CA1AD54C}"/>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123045</xdr:rowOff>
    </xdr:from>
    <xdr:to>
      <xdr:col>21</xdr:col>
      <xdr:colOff>254522</xdr:colOff>
      <xdr:row>129</xdr:row>
      <xdr:rowOff>37876</xdr:rowOff>
    </xdr:to>
    <xdr:sp macro="" textlink="">
      <xdr:nvSpPr>
        <xdr:cNvPr id="928" name="Text Box 123" hidden="1">
          <a:extLst>
            <a:ext uri="{FF2B5EF4-FFF2-40B4-BE49-F238E27FC236}">
              <a16:creationId xmlns:a16="http://schemas.microsoft.com/office/drawing/2014/main" id="{C68EA1B0-FB81-4714-9F78-25F06DE2AA5D}"/>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239852</xdr:rowOff>
    </xdr:to>
    <xdr:sp macro="" textlink="">
      <xdr:nvSpPr>
        <xdr:cNvPr id="929" name="Text Box 122" hidden="1">
          <a:extLst>
            <a:ext uri="{FF2B5EF4-FFF2-40B4-BE49-F238E27FC236}">
              <a16:creationId xmlns:a16="http://schemas.microsoft.com/office/drawing/2014/main" id="{11F2A608-DBF4-45DE-B69E-B46BAABAD6B2}"/>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164665</xdr:rowOff>
    </xdr:from>
    <xdr:to>
      <xdr:col>22</xdr:col>
      <xdr:colOff>425971</xdr:colOff>
      <xdr:row>34</xdr:row>
      <xdr:rowOff>39017</xdr:rowOff>
    </xdr:to>
    <xdr:sp macro="" textlink="">
      <xdr:nvSpPr>
        <xdr:cNvPr id="930" name="Text Box 121" hidden="1">
          <a:extLst>
            <a:ext uri="{FF2B5EF4-FFF2-40B4-BE49-F238E27FC236}">
              <a16:creationId xmlns:a16="http://schemas.microsoft.com/office/drawing/2014/main" id="{41EF3D75-53F8-40F6-9036-8D415CFE534A}"/>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1148</xdr:rowOff>
    </xdr:from>
    <xdr:to>
      <xdr:col>22</xdr:col>
      <xdr:colOff>425971</xdr:colOff>
      <xdr:row>132</xdr:row>
      <xdr:rowOff>142885</xdr:rowOff>
    </xdr:to>
    <xdr:sp macro="" textlink="">
      <xdr:nvSpPr>
        <xdr:cNvPr id="931" name="Text Box 120" hidden="1">
          <a:extLst>
            <a:ext uri="{FF2B5EF4-FFF2-40B4-BE49-F238E27FC236}">
              <a16:creationId xmlns:a16="http://schemas.microsoft.com/office/drawing/2014/main" id="{1E5B1FA6-E629-4E6D-9ECA-AF6F5F986756}"/>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68683</xdr:rowOff>
    </xdr:from>
    <xdr:to>
      <xdr:col>11</xdr:col>
      <xdr:colOff>639676</xdr:colOff>
      <xdr:row>45</xdr:row>
      <xdr:rowOff>11532</xdr:rowOff>
    </xdr:to>
    <xdr:sp macro="" textlink="">
      <xdr:nvSpPr>
        <xdr:cNvPr id="932" name="Text Box 119" hidden="1">
          <a:extLst>
            <a:ext uri="{FF2B5EF4-FFF2-40B4-BE49-F238E27FC236}">
              <a16:creationId xmlns:a16="http://schemas.microsoft.com/office/drawing/2014/main" id="{66B97A28-3621-4CA8-AB8B-0A12EF7419B8}"/>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316846</xdr:rowOff>
    </xdr:to>
    <xdr:sp macro="" textlink="">
      <xdr:nvSpPr>
        <xdr:cNvPr id="933" name="Text Box 118" hidden="1">
          <a:extLst>
            <a:ext uri="{FF2B5EF4-FFF2-40B4-BE49-F238E27FC236}">
              <a16:creationId xmlns:a16="http://schemas.microsoft.com/office/drawing/2014/main" id="{E387B64B-EF62-4C9F-B7B0-79212A3BA017}"/>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164665</xdr:rowOff>
    </xdr:from>
    <xdr:to>
      <xdr:col>24</xdr:col>
      <xdr:colOff>464072</xdr:colOff>
      <xdr:row>34</xdr:row>
      <xdr:rowOff>105522</xdr:rowOff>
    </xdr:to>
    <xdr:sp macro="" textlink="">
      <xdr:nvSpPr>
        <xdr:cNvPr id="934" name="Text Box 117" hidden="1">
          <a:extLst>
            <a:ext uri="{FF2B5EF4-FFF2-40B4-BE49-F238E27FC236}">
              <a16:creationId xmlns:a16="http://schemas.microsoft.com/office/drawing/2014/main" id="{E768D4BD-E572-4E50-A441-936C7D304479}"/>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464072</xdr:colOff>
      <xdr:row>133</xdr:row>
      <xdr:rowOff>82823</xdr:rowOff>
    </xdr:to>
    <xdr:sp macro="" textlink="">
      <xdr:nvSpPr>
        <xdr:cNvPr id="935" name="Text Box 116" hidden="1">
          <a:extLst>
            <a:ext uri="{FF2B5EF4-FFF2-40B4-BE49-F238E27FC236}">
              <a16:creationId xmlns:a16="http://schemas.microsoft.com/office/drawing/2014/main" id="{E61B0B62-0527-4009-838B-79566C0F181E}"/>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936" name="Text Box 175" hidden="1">
          <a:extLst>
            <a:ext uri="{FF2B5EF4-FFF2-40B4-BE49-F238E27FC236}">
              <a16:creationId xmlns:a16="http://schemas.microsoft.com/office/drawing/2014/main" id="{DAB5965B-760F-45C4-9B50-E3D40882A1F4}"/>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102673</xdr:rowOff>
    </xdr:from>
    <xdr:to>
      <xdr:col>5</xdr:col>
      <xdr:colOff>102160</xdr:colOff>
      <xdr:row>229</xdr:row>
      <xdr:rowOff>102672</xdr:rowOff>
    </xdr:to>
    <xdr:sp macro="" textlink="">
      <xdr:nvSpPr>
        <xdr:cNvPr id="937" name="Text Box 174" hidden="1">
          <a:extLst>
            <a:ext uri="{FF2B5EF4-FFF2-40B4-BE49-F238E27FC236}">
              <a16:creationId xmlns:a16="http://schemas.microsoft.com/office/drawing/2014/main" id="{BE70371C-0974-4CA5-B776-B5FCFF5EBD90}"/>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229</xdr:row>
      <xdr:rowOff>20917</xdr:rowOff>
    </xdr:to>
    <xdr:sp macro="" textlink="">
      <xdr:nvSpPr>
        <xdr:cNvPr id="938" name="Text Box 173" hidden="1">
          <a:extLst>
            <a:ext uri="{FF2B5EF4-FFF2-40B4-BE49-F238E27FC236}">
              <a16:creationId xmlns:a16="http://schemas.microsoft.com/office/drawing/2014/main" id="{1BA3CA10-6ADE-40C1-8BEE-69FF4442C2E6}"/>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65609</xdr:rowOff>
    </xdr:from>
    <xdr:to>
      <xdr:col>5</xdr:col>
      <xdr:colOff>102160</xdr:colOff>
      <xdr:row>230</xdr:row>
      <xdr:rowOff>102673</xdr:rowOff>
    </xdr:to>
    <xdr:sp macro="" textlink="">
      <xdr:nvSpPr>
        <xdr:cNvPr id="939" name="Text Box 172" hidden="1">
          <a:extLst>
            <a:ext uri="{FF2B5EF4-FFF2-40B4-BE49-F238E27FC236}">
              <a16:creationId xmlns:a16="http://schemas.microsoft.com/office/drawing/2014/main" id="{E247F322-1135-4064-A7EA-3593EB3106B5}"/>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65609</xdr:rowOff>
    </xdr:from>
    <xdr:to>
      <xdr:col>5</xdr:col>
      <xdr:colOff>102160</xdr:colOff>
      <xdr:row>218</xdr:row>
      <xdr:rowOff>20915</xdr:rowOff>
    </xdr:to>
    <xdr:sp macro="" textlink="">
      <xdr:nvSpPr>
        <xdr:cNvPr id="940" name="Text Box 171" hidden="1">
          <a:extLst>
            <a:ext uri="{FF2B5EF4-FFF2-40B4-BE49-F238E27FC236}">
              <a16:creationId xmlns:a16="http://schemas.microsoft.com/office/drawing/2014/main" id="{598CECC6-C3AB-4E25-B088-EF16069E2F06}"/>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144181</xdr:rowOff>
    </xdr:from>
    <xdr:to>
      <xdr:col>5</xdr:col>
      <xdr:colOff>102160</xdr:colOff>
      <xdr:row>195</xdr:row>
      <xdr:rowOff>69579</xdr:rowOff>
    </xdr:to>
    <xdr:sp macro="" textlink="">
      <xdr:nvSpPr>
        <xdr:cNvPr id="941" name="Text Box 170" hidden="1">
          <a:extLst>
            <a:ext uri="{FF2B5EF4-FFF2-40B4-BE49-F238E27FC236}">
              <a16:creationId xmlns:a16="http://schemas.microsoft.com/office/drawing/2014/main" id="{D927216C-4F39-4AC6-9A14-617C170AB2F4}"/>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10596</xdr:rowOff>
    </xdr:from>
    <xdr:to>
      <xdr:col>5</xdr:col>
      <xdr:colOff>102160</xdr:colOff>
      <xdr:row>196</xdr:row>
      <xdr:rowOff>125691</xdr:rowOff>
    </xdr:to>
    <xdr:sp macro="" textlink="">
      <xdr:nvSpPr>
        <xdr:cNvPr id="942" name="Text Box 169" hidden="1">
          <a:extLst>
            <a:ext uri="{FF2B5EF4-FFF2-40B4-BE49-F238E27FC236}">
              <a16:creationId xmlns:a16="http://schemas.microsoft.com/office/drawing/2014/main" id="{39EF61C1-EA3F-4079-9FAC-C5F6172CD321}"/>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124103</xdr:rowOff>
    </xdr:from>
    <xdr:to>
      <xdr:col>5</xdr:col>
      <xdr:colOff>102160</xdr:colOff>
      <xdr:row>197</xdr:row>
      <xdr:rowOff>144180</xdr:rowOff>
    </xdr:to>
    <xdr:sp macro="" textlink="">
      <xdr:nvSpPr>
        <xdr:cNvPr id="943" name="Text Box 168" hidden="1">
          <a:extLst>
            <a:ext uri="{FF2B5EF4-FFF2-40B4-BE49-F238E27FC236}">
              <a16:creationId xmlns:a16="http://schemas.microsoft.com/office/drawing/2014/main" id="{64530F46-B8AC-4BFA-AF8A-CF962FAC2CB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102673</xdr:rowOff>
    </xdr:from>
    <xdr:to>
      <xdr:col>5</xdr:col>
      <xdr:colOff>102160</xdr:colOff>
      <xdr:row>204</xdr:row>
      <xdr:rowOff>78476</xdr:rowOff>
    </xdr:to>
    <xdr:sp macro="" textlink="">
      <xdr:nvSpPr>
        <xdr:cNvPr id="944" name="Text Box 167" hidden="1">
          <a:extLst>
            <a:ext uri="{FF2B5EF4-FFF2-40B4-BE49-F238E27FC236}">
              <a16:creationId xmlns:a16="http://schemas.microsoft.com/office/drawing/2014/main" id="{B23B0A07-558C-44CE-A6CA-C00CDED3ADB0}"/>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102160</xdr:colOff>
      <xdr:row>58</xdr:row>
      <xdr:rowOff>189132</xdr:rowOff>
    </xdr:to>
    <xdr:sp macro="" textlink="">
      <xdr:nvSpPr>
        <xdr:cNvPr id="945" name="Text Box 166" hidden="1">
          <a:extLst>
            <a:ext uri="{FF2B5EF4-FFF2-40B4-BE49-F238E27FC236}">
              <a16:creationId xmlns:a16="http://schemas.microsoft.com/office/drawing/2014/main" id="{B6BB2D98-4926-4D90-B33F-569F3B42B5C7}"/>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164416</xdr:rowOff>
    </xdr:from>
    <xdr:to>
      <xdr:col>5</xdr:col>
      <xdr:colOff>102160</xdr:colOff>
      <xdr:row>66</xdr:row>
      <xdr:rowOff>122551</xdr:rowOff>
    </xdr:to>
    <xdr:sp macro="" textlink="">
      <xdr:nvSpPr>
        <xdr:cNvPr id="946" name="Text Box 165" hidden="1">
          <a:extLst>
            <a:ext uri="{FF2B5EF4-FFF2-40B4-BE49-F238E27FC236}">
              <a16:creationId xmlns:a16="http://schemas.microsoft.com/office/drawing/2014/main" id="{3AC1F4E6-CD38-498C-92D1-469B4662B3A7}"/>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236944</xdr:rowOff>
    </xdr:from>
    <xdr:to>
      <xdr:col>5</xdr:col>
      <xdr:colOff>102160</xdr:colOff>
      <xdr:row>70</xdr:row>
      <xdr:rowOff>73610</xdr:rowOff>
    </xdr:to>
    <xdr:sp macro="" textlink="">
      <xdr:nvSpPr>
        <xdr:cNvPr id="947" name="Text Box 164" hidden="1">
          <a:extLst>
            <a:ext uri="{FF2B5EF4-FFF2-40B4-BE49-F238E27FC236}">
              <a16:creationId xmlns:a16="http://schemas.microsoft.com/office/drawing/2014/main" id="{43862515-757D-4B00-8280-B092327B4624}"/>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255994</xdr:rowOff>
    </xdr:from>
    <xdr:to>
      <xdr:col>5</xdr:col>
      <xdr:colOff>102160</xdr:colOff>
      <xdr:row>70</xdr:row>
      <xdr:rowOff>104400</xdr:rowOff>
    </xdr:to>
    <xdr:sp macro="" textlink="">
      <xdr:nvSpPr>
        <xdr:cNvPr id="948" name="Text Box 163" hidden="1">
          <a:extLst>
            <a:ext uri="{FF2B5EF4-FFF2-40B4-BE49-F238E27FC236}">
              <a16:creationId xmlns:a16="http://schemas.microsoft.com/office/drawing/2014/main" id="{BEF5A39D-E7A0-4657-B660-5B4164C832EF}"/>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139948</xdr:rowOff>
    </xdr:from>
    <xdr:to>
      <xdr:col>5</xdr:col>
      <xdr:colOff>102160</xdr:colOff>
      <xdr:row>70</xdr:row>
      <xdr:rowOff>54560</xdr:rowOff>
    </xdr:to>
    <xdr:sp macro="" textlink="">
      <xdr:nvSpPr>
        <xdr:cNvPr id="949" name="Text Box 162" hidden="1">
          <a:extLst>
            <a:ext uri="{FF2B5EF4-FFF2-40B4-BE49-F238E27FC236}">
              <a16:creationId xmlns:a16="http://schemas.microsoft.com/office/drawing/2014/main" id="{05CB4ABC-59FB-4022-A28C-D792CB687A35}"/>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10579</xdr:rowOff>
    </xdr:from>
    <xdr:to>
      <xdr:col>5</xdr:col>
      <xdr:colOff>102160</xdr:colOff>
      <xdr:row>81</xdr:row>
      <xdr:rowOff>105628</xdr:rowOff>
    </xdr:to>
    <xdr:sp macro="" textlink="">
      <xdr:nvSpPr>
        <xdr:cNvPr id="950" name="Text Box 161" hidden="1">
          <a:extLst>
            <a:ext uri="{FF2B5EF4-FFF2-40B4-BE49-F238E27FC236}">
              <a16:creationId xmlns:a16="http://schemas.microsoft.com/office/drawing/2014/main" id="{F4D3ECFD-5AFE-4F67-BD7F-DCD5D0A5DEED}"/>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112246</xdr:rowOff>
    </xdr:from>
    <xdr:to>
      <xdr:col>5</xdr:col>
      <xdr:colOff>102160</xdr:colOff>
      <xdr:row>81</xdr:row>
      <xdr:rowOff>25727</xdr:rowOff>
    </xdr:to>
    <xdr:sp macro="" textlink="">
      <xdr:nvSpPr>
        <xdr:cNvPr id="951" name="Text Box 160" hidden="1">
          <a:extLst>
            <a:ext uri="{FF2B5EF4-FFF2-40B4-BE49-F238E27FC236}">
              <a16:creationId xmlns:a16="http://schemas.microsoft.com/office/drawing/2014/main" id="{C7653001-9FA1-4FED-A6A5-D0C69E0C5C5D}"/>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47106</xdr:rowOff>
    </xdr:from>
    <xdr:to>
      <xdr:col>5</xdr:col>
      <xdr:colOff>102160</xdr:colOff>
      <xdr:row>83</xdr:row>
      <xdr:rowOff>88831</xdr:rowOff>
    </xdr:to>
    <xdr:sp macro="" textlink="">
      <xdr:nvSpPr>
        <xdr:cNvPr id="952" name="Text Box 159" hidden="1">
          <a:extLst>
            <a:ext uri="{FF2B5EF4-FFF2-40B4-BE49-F238E27FC236}">
              <a16:creationId xmlns:a16="http://schemas.microsoft.com/office/drawing/2014/main" id="{D595D2CB-DEB1-4902-AFEE-1C06BD1EC73B}"/>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228461</xdr:rowOff>
    </xdr:from>
    <xdr:to>
      <xdr:col>5</xdr:col>
      <xdr:colOff>102160</xdr:colOff>
      <xdr:row>84</xdr:row>
      <xdr:rowOff>77944</xdr:rowOff>
    </xdr:to>
    <xdr:sp macro="" textlink="">
      <xdr:nvSpPr>
        <xdr:cNvPr id="953" name="Text Box 158" hidden="1">
          <a:extLst>
            <a:ext uri="{FF2B5EF4-FFF2-40B4-BE49-F238E27FC236}">
              <a16:creationId xmlns:a16="http://schemas.microsoft.com/office/drawing/2014/main" id="{836A132E-A5C2-48A6-8D2C-B8B5295CF834}"/>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28881</xdr:rowOff>
    </xdr:from>
    <xdr:to>
      <xdr:col>5</xdr:col>
      <xdr:colOff>102160</xdr:colOff>
      <xdr:row>106</xdr:row>
      <xdr:rowOff>29481</xdr:rowOff>
    </xdr:to>
    <xdr:sp macro="" textlink="">
      <xdr:nvSpPr>
        <xdr:cNvPr id="954" name="Text Box 157" hidden="1">
          <a:extLst>
            <a:ext uri="{FF2B5EF4-FFF2-40B4-BE49-F238E27FC236}">
              <a16:creationId xmlns:a16="http://schemas.microsoft.com/office/drawing/2014/main" id="{6947B0D8-5560-4288-A76A-8740E9B42983}"/>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67833</xdr:rowOff>
    </xdr:from>
    <xdr:to>
      <xdr:col>5</xdr:col>
      <xdr:colOff>102160</xdr:colOff>
      <xdr:row>105</xdr:row>
      <xdr:rowOff>191110</xdr:rowOff>
    </xdr:to>
    <xdr:sp macro="" textlink="">
      <xdr:nvSpPr>
        <xdr:cNvPr id="955" name="Text Box 156" hidden="1">
          <a:extLst>
            <a:ext uri="{FF2B5EF4-FFF2-40B4-BE49-F238E27FC236}">
              <a16:creationId xmlns:a16="http://schemas.microsoft.com/office/drawing/2014/main" id="{AF7BE77D-B269-49D5-866D-7E3F17C8C03E}"/>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76892</xdr:rowOff>
    </xdr:from>
    <xdr:to>
      <xdr:col>5</xdr:col>
      <xdr:colOff>102160</xdr:colOff>
      <xdr:row>105</xdr:row>
      <xdr:rowOff>142610</xdr:rowOff>
    </xdr:to>
    <xdr:sp macro="" textlink="">
      <xdr:nvSpPr>
        <xdr:cNvPr id="956" name="Text Box 155" hidden="1">
          <a:extLst>
            <a:ext uri="{FF2B5EF4-FFF2-40B4-BE49-F238E27FC236}">
              <a16:creationId xmlns:a16="http://schemas.microsoft.com/office/drawing/2014/main" id="{083C8A24-0332-4B8C-95E7-7E41C8BE04D1}"/>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28707</xdr:rowOff>
    </xdr:from>
    <xdr:to>
      <xdr:col>5</xdr:col>
      <xdr:colOff>102160</xdr:colOff>
      <xdr:row>105</xdr:row>
      <xdr:rowOff>142610</xdr:rowOff>
    </xdr:to>
    <xdr:sp macro="" textlink="">
      <xdr:nvSpPr>
        <xdr:cNvPr id="957" name="Text Box 154" hidden="1">
          <a:extLst>
            <a:ext uri="{FF2B5EF4-FFF2-40B4-BE49-F238E27FC236}">
              <a16:creationId xmlns:a16="http://schemas.microsoft.com/office/drawing/2014/main" id="{FDA47653-5F2A-46BF-AC70-D2E2556D6DDD}"/>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123045</xdr:rowOff>
    </xdr:from>
    <xdr:to>
      <xdr:col>21</xdr:col>
      <xdr:colOff>254522</xdr:colOff>
      <xdr:row>129</xdr:row>
      <xdr:rowOff>37876</xdr:rowOff>
    </xdr:to>
    <xdr:sp macro="" textlink="">
      <xdr:nvSpPr>
        <xdr:cNvPr id="958" name="Text Box 153" hidden="1">
          <a:extLst>
            <a:ext uri="{FF2B5EF4-FFF2-40B4-BE49-F238E27FC236}">
              <a16:creationId xmlns:a16="http://schemas.microsoft.com/office/drawing/2014/main" id="{AADEB5E8-F39B-4D28-A7B1-D6AAF6358809}"/>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239852</xdr:rowOff>
    </xdr:to>
    <xdr:sp macro="" textlink="">
      <xdr:nvSpPr>
        <xdr:cNvPr id="959" name="Text Box 152" hidden="1">
          <a:extLst>
            <a:ext uri="{FF2B5EF4-FFF2-40B4-BE49-F238E27FC236}">
              <a16:creationId xmlns:a16="http://schemas.microsoft.com/office/drawing/2014/main" id="{9BC9F321-62A6-40E9-82D8-331F99DFA759}"/>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164665</xdr:rowOff>
    </xdr:from>
    <xdr:to>
      <xdr:col>22</xdr:col>
      <xdr:colOff>425971</xdr:colOff>
      <xdr:row>34</xdr:row>
      <xdr:rowOff>39017</xdr:rowOff>
    </xdr:to>
    <xdr:sp macro="" textlink="">
      <xdr:nvSpPr>
        <xdr:cNvPr id="960" name="Text Box 151" hidden="1">
          <a:extLst>
            <a:ext uri="{FF2B5EF4-FFF2-40B4-BE49-F238E27FC236}">
              <a16:creationId xmlns:a16="http://schemas.microsoft.com/office/drawing/2014/main" id="{551FD8D2-80AF-4D22-82F4-47F62BDE7C1C}"/>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1148</xdr:rowOff>
    </xdr:from>
    <xdr:to>
      <xdr:col>22</xdr:col>
      <xdr:colOff>425971</xdr:colOff>
      <xdr:row>132</xdr:row>
      <xdr:rowOff>142885</xdr:rowOff>
    </xdr:to>
    <xdr:sp macro="" textlink="">
      <xdr:nvSpPr>
        <xdr:cNvPr id="961" name="Text Box 150" hidden="1">
          <a:extLst>
            <a:ext uri="{FF2B5EF4-FFF2-40B4-BE49-F238E27FC236}">
              <a16:creationId xmlns:a16="http://schemas.microsoft.com/office/drawing/2014/main" id="{19A2BAF8-33C6-4A3C-AB12-4C2140EA3B82}"/>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68683</xdr:rowOff>
    </xdr:from>
    <xdr:to>
      <xdr:col>11</xdr:col>
      <xdr:colOff>639676</xdr:colOff>
      <xdr:row>45</xdr:row>
      <xdr:rowOff>11532</xdr:rowOff>
    </xdr:to>
    <xdr:sp macro="" textlink="">
      <xdr:nvSpPr>
        <xdr:cNvPr id="962" name="Text Box 149" hidden="1">
          <a:extLst>
            <a:ext uri="{FF2B5EF4-FFF2-40B4-BE49-F238E27FC236}">
              <a16:creationId xmlns:a16="http://schemas.microsoft.com/office/drawing/2014/main" id="{E963DF6E-3F64-4122-B2A7-A76103A03F17}"/>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316846</xdr:rowOff>
    </xdr:to>
    <xdr:sp macro="" textlink="">
      <xdr:nvSpPr>
        <xdr:cNvPr id="963" name="Text Box 148" hidden="1">
          <a:extLst>
            <a:ext uri="{FF2B5EF4-FFF2-40B4-BE49-F238E27FC236}">
              <a16:creationId xmlns:a16="http://schemas.microsoft.com/office/drawing/2014/main" id="{23A807BF-F418-4BF8-81B7-3477647DDD56}"/>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164665</xdr:rowOff>
    </xdr:from>
    <xdr:to>
      <xdr:col>24</xdr:col>
      <xdr:colOff>464072</xdr:colOff>
      <xdr:row>34</xdr:row>
      <xdr:rowOff>105522</xdr:rowOff>
    </xdr:to>
    <xdr:sp macro="" textlink="">
      <xdr:nvSpPr>
        <xdr:cNvPr id="964" name="Text Box 147" hidden="1">
          <a:extLst>
            <a:ext uri="{FF2B5EF4-FFF2-40B4-BE49-F238E27FC236}">
              <a16:creationId xmlns:a16="http://schemas.microsoft.com/office/drawing/2014/main" id="{B14378ED-91F2-4218-A7D3-B2C0B9A37787}"/>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464072</xdr:colOff>
      <xdr:row>133</xdr:row>
      <xdr:rowOff>82823</xdr:rowOff>
    </xdr:to>
    <xdr:sp macro="" textlink="">
      <xdr:nvSpPr>
        <xdr:cNvPr id="965" name="Text Box 146" hidden="1">
          <a:extLst>
            <a:ext uri="{FF2B5EF4-FFF2-40B4-BE49-F238E27FC236}">
              <a16:creationId xmlns:a16="http://schemas.microsoft.com/office/drawing/2014/main" id="{23A80411-CC68-4826-9566-8AEA39B640C2}"/>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483122</xdr:colOff>
      <xdr:row>23</xdr:row>
      <xdr:rowOff>297002</xdr:rowOff>
    </xdr:to>
    <xdr:sp macro="" textlink="">
      <xdr:nvSpPr>
        <xdr:cNvPr id="966" name="Text Box 176" hidden="1">
          <a:extLst>
            <a:ext uri="{FF2B5EF4-FFF2-40B4-BE49-F238E27FC236}">
              <a16:creationId xmlns:a16="http://schemas.microsoft.com/office/drawing/2014/main" id="{9BBB7434-B623-43C4-A12D-D21E205E9D8C}"/>
            </a:ext>
          </a:extLst>
        </xdr:cNvPr>
        <xdr:cNvSpPr txBox="1">
          <a:spLocks noChangeArrowheads="1"/>
        </xdr:cNvSpPr>
      </xdr:nvSpPr>
      <xdr:spPr bwMode="auto">
        <a:xfrm>
          <a:off x="20747833" y="4584326"/>
          <a:ext cx="137608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30</xdr:row>
      <xdr:rowOff>1498</xdr:rowOff>
    </xdr:from>
    <xdr:to>
      <xdr:col>25</xdr:col>
      <xdr:colOff>483122</xdr:colOff>
      <xdr:row>34</xdr:row>
      <xdr:rowOff>77117</xdr:rowOff>
    </xdr:to>
    <xdr:sp macro="" textlink="">
      <xdr:nvSpPr>
        <xdr:cNvPr id="967" name="Text Box 177" hidden="1">
          <a:extLst>
            <a:ext uri="{FF2B5EF4-FFF2-40B4-BE49-F238E27FC236}">
              <a16:creationId xmlns:a16="http://schemas.microsoft.com/office/drawing/2014/main" id="{35651E22-05D6-47CE-BC5A-A35C395E7952}"/>
            </a:ext>
          </a:extLst>
        </xdr:cNvPr>
        <xdr:cNvSpPr txBox="1">
          <a:spLocks noChangeArrowheads="1"/>
        </xdr:cNvSpPr>
      </xdr:nvSpPr>
      <xdr:spPr bwMode="auto">
        <a:xfrm>
          <a:off x="20747833" y="6678523"/>
          <a:ext cx="1376089" cy="7995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129</xdr:row>
      <xdr:rowOff>37876</xdr:rowOff>
    </xdr:from>
    <xdr:to>
      <xdr:col>25</xdr:col>
      <xdr:colOff>483122</xdr:colOff>
      <xdr:row>133</xdr:row>
      <xdr:rowOff>48989</xdr:rowOff>
    </xdr:to>
    <xdr:sp macro="" textlink="">
      <xdr:nvSpPr>
        <xdr:cNvPr id="968" name="Text Box 178" hidden="1">
          <a:extLst>
            <a:ext uri="{FF2B5EF4-FFF2-40B4-BE49-F238E27FC236}">
              <a16:creationId xmlns:a16="http://schemas.microsoft.com/office/drawing/2014/main" id="{F237CC85-ED0B-4A4F-BD8E-835E74441254}"/>
            </a:ext>
          </a:extLst>
        </xdr:cNvPr>
        <xdr:cNvSpPr txBox="1">
          <a:spLocks noChangeArrowheads="1"/>
        </xdr:cNvSpPr>
      </xdr:nvSpPr>
      <xdr:spPr bwMode="auto">
        <a:xfrm>
          <a:off x="20747833" y="26936476"/>
          <a:ext cx="1376089" cy="73501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969" name="Text Box 244" hidden="1">
          <a:extLst>
            <a:ext uri="{FF2B5EF4-FFF2-40B4-BE49-F238E27FC236}">
              <a16:creationId xmlns:a16="http://schemas.microsoft.com/office/drawing/2014/main" id="{AF730183-6F84-4F50-B99B-E0B8CF81B1CA}"/>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244</xdr:row>
      <xdr:rowOff>102671</xdr:rowOff>
    </xdr:to>
    <xdr:sp macro="" textlink="">
      <xdr:nvSpPr>
        <xdr:cNvPr id="970" name="Text Box 243" hidden="1">
          <a:extLst>
            <a:ext uri="{FF2B5EF4-FFF2-40B4-BE49-F238E27FC236}">
              <a16:creationId xmlns:a16="http://schemas.microsoft.com/office/drawing/2014/main" id="{2056A702-9929-448B-991F-B86FED5AB46E}"/>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65610</xdr:rowOff>
    </xdr:from>
    <xdr:to>
      <xdr:col>5</xdr:col>
      <xdr:colOff>102160</xdr:colOff>
      <xdr:row>244</xdr:row>
      <xdr:rowOff>20915</xdr:rowOff>
    </xdr:to>
    <xdr:sp macro="" textlink="">
      <xdr:nvSpPr>
        <xdr:cNvPr id="971" name="Text Box 242" hidden="1">
          <a:extLst>
            <a:ext uri="{FF2B5EF4-FFF2-40B4-BE49-F238E27FC236}">
              <a16:creationId xmlns:a16="http://schemas.microsoft.com/office/drawing/2014/main" id="{23EB09B5-3ECF-4316-AFBC-52713EA97953}"/>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65610</xdr:rowOff>
    </xdr:from>
    <xdr:to>
      <xdr:col>5</xdr:col>
      <xdr:colOff>102160</xdr:colOff>
      <xdr:row>245</xdr:row>
      <xdr:rowOff>102671</xdr:rowOff>
    </xdr:to>
    <xdr:sp macro="" textlink="">
      <xdr:nvSpPr>
        <xdr:cNvPr id="972" name="Text Box 241" hidden="1">
          <a:extLst>
            <a:ext uri="{FF2B5EF4-FFF2-40B4-BE49-F238E27FC236}">
              <a16:creationId xmlns:a16="http://schemas.microsoft.com/office/drawing/2014/main" id="{C4B7009F-6722-4B17-9407-ED541862E915}"/>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65609</xdr:rowOff>
    </xdr:from>
    <xdr:to>
      <xdr:col>5</xdr:col>
      <xdr:colOff>102160</xdr:colOff>
      <xdr:row>233</xdr:row>
      <xdr:rowOff>20916</xdr:rowOff>
    </xdr:to>
    <xdr:sp macro="" textlink="">
      <xdr:nvSpPr>
        <xdr:cNvPr id="973" name="Text Box 240" hidden="1">
          <a:extLst>
            <a:ext uri="{FF2B5EF4-FFF2-40B4-BE49-F238E27FC236}">
              <a16:creationId xmlns:a16="http://schemas.microsoft.com/office/drawing/2014/main" id="{B072BD16-5182-406E-90C5-B40067F746DC}"/>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10596</xdr:rowOff>
    </xdr:from>
    <xdr:to>
      <xdr:col>5</xdr:col>
      <xdr:colOff>102160</xdr:colOff>
      <xdr:row>210</xdr:row>
      <xdr:rowOff>20916</xdr:rowOff>
    </xdr:to>
    <xdr:sp macro="" textlink="">
      <xdr:nvSpPr>
        <xdr:cNvPr id="974" name="Text Box 239" hidden="1">
          <a:extLst>
            <a:ext uri="{FF2B5EF4-FFF2-40B4-BE49-F238E27FC236}">
              <a16:creationId xmlns:a16="http://schemas.microsoft.com/office/drawing/2014/main" id="{1C51E7D4-2755-4D92-AE3B-ABD6AEB5D6C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211</xdr:row>
      <xdr:rowOff>78476</xdr:rowOff>
    </xdr:to>
    <xdr:sp macro="" textlink="">
      <xdr:nvSpPr>
        <xdr:cNvPr id="975" name="Text Box 238" hidden="1">
          <a:extLst>
            <a:ext uri="{FF2B5EF4-FFF2-40B4-BE49-F238E27FC236}">
              <a16:creationId xmlns:a16="http://schemas.microsoft.com/office/drawing/2014/main" id="{1C6939A4-3046-461E-B97F-2D06E9CB21B4}"/>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212</xdr:row>
      <xdr:rowOff>102672</xdr:rowOff>
    </xdr:to>
    <xdr:sp macro="" textlink="">
      <xdr:nvSpPr>
        <xdr:cNvPr id="976" name="Text Box 237" hidden="1">
          <a:extLst>
            <a:ext uri="{FF2B5EF4-FFF2-40B4-BE49-F238E27FC236}">
              <a16:creationId xmlns:a16="http://schemas.microsoft.com/office/drawing/2014/main" id="{E4BDC797-A180-499A-905C-6171D392EB72}"/>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65610</xdr:rowOff>
    </xdr:from>
    <xdr:to>
      <xdr:col>5</xdr:col>
      <xdr:colOff>102160</xdr:colOff>
      <xdr:row>219</xdr:row>
      <xdr:rowOff>78476</xdr:rowOff>
    </xdr:to>
    <xdr:sp macro="" textlink="">
      <xdr:nvSpPr>
        <xdr:cNvPr id="977" name="Text Box 236" hidden="1">
          <a:extLst>
            <a:ext uri="{FF2B5EF4-FFF2-40B4-BE49-F238E27FC236}">
              <a16:creationId xmlns:a16="http://schemas.microsoft.com/office/drawing/2014/main" id="{6881B8D1-7159-42F2-A51D-1202A6829C1F}"/>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71</xdr:row>
      <xdr:rowOff>75015</xdr:rowOff>
    </xdr:to>
    <xdr:sp macro="" textlink="">
      <xdr:nvSpPr>
        <xdr:cNvPr id="978" name="Text Box 235" hidden="1">
          <a:extLst>
            <a:ext uri="{FF2B5EF4-FFF2-40B4-BE49-F238E27FC236}">
              <a16:creationId xmlns:a16="http://schemas.microsoft.com/office/drawing/2014/main" id="{0B3F26B6-E924-4AB1-953F-F57F7B16D1EE}"/>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1433</xdr:rowOff>
    </xdr:from>
    <xdr:to>
      <xdr:col>5</xdr:col>
      <xdr:colOff>121210</xdr:colOff>
      <xdr:row>86</xdr:row>
      <xdr:rowOff>316739</xdr:rowOff>
    </xdr:to>
    <xdr:sp macro="" textlink="">
      <xdr:nvSpPr>
        <xdr:cNvPr id="979" name="Text Box 234" hidden="1">
          <a:extLst>
            <a:ext uri="{FF2B5EF4-FFF2-40B4-BE49-F238E27FC236}">
              <a16:creationId xmlns:a16="http://schemas.microsoft.com/office/drawing/2014/main" id="{FF2B6B82-98B7-4628-AC0E-BCC2A34CAAF4}"/>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86</xdr:row>
      <xdr:rowOff>323883</xdr:rowOff>
    </xdr:to>
    <xdr:sp macro="" textlink="">
      <xdr:nvSpPr>
        <xdr:cNvPr id="980" name="Text Box 233" hidden="1">
          <a:extLst>
            <a:ext uri="{FF2B5EF4-FFF2-40B4-BE49-F238E27FC236}">
              <a16:creationId xmlns:a16="http://schemas.microsoft.com/office/drawing/2014/main" id="{D57F5621-493E-4F9A-BC08-A9BFAF80AE0F}"/>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86511</xdr:rowOff>
    </xdr:from>
    <xdr:to>
      <xdr:col>5</xdr:col>
      <xdr:colOff>102160</xdr:colOff>
      <xdr:row>86</xdr:row>
      <xdr:rowOff>345547</xdr:rowOff>
    </xdr:to>
    <xdr:sp macro="" textlink="">
      <xdr:nvSpPr>
        <xdr:cNvPr id="981" name="Text Box 232" hidden="1">
          <a:extLst>
            <a:ext uri="{FF2B5EF4-FFF2-40B4-BE49-F238E27FC236}">
              <a16:creationId xmlns:a16="http://schemas.microsoft.com/office/drawing/2014/main" id="{ED4E7251-C443-4865-9036-4E59ADBF6578}"/>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111550</xdr:rowOff>
    </xdr:from>
    <xdr:to>
      <xdr:col>5</xdr:col>
      <xdr:colOff>102160</xdr:colOff>
      <xdr:row>89</xdr:row>
      <xdr:rowOff>64267</xdr:rowOff>
    </xdr:to>
    <xdr:sp macro="" textlink="">
      <xdr:nvSpPr>
        <xdr:cNvPr id="982" name="Text Box 231" hidden="1">
          <a:extLst>
            <a:ext uri="{FF2B5EF4-FFF2-40B4-BE49-F238E27FC236}">
              <a16:creationId xmlns:a16="http://schemas.microsoft.com/office/drawing/2014/main" id="{3B379036-0734-45C8-9FD0-4731F8F2B13C}"/>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64267</xdr:rowOff>
    </xdr:from>
    <xdr:to>
      <xdr:col>5</xdr:col>
      <xdr:colOff>102160</xdr:colOff>
      <xdr:row>97</xdr:row>
      <xdr:rowOff>20413</xdr:rowOff>
    </xdr:to>
    <xdr:sp macro="" textlink="">
      <xdr:nvSpPr>
        <xdr:cNvPr id="983" name="Text Box 230" hidden="1">
          <a:extLst>
            <a:ext uri="{FF2B5EF4-FFF2-40B4-BE49-F238E27FC236}">
              <a16:creationId xmlns:a16="http://schemas.microsoft.com/office/drawing/2014/main" id="{6F11BB82-1E81-413C-BF41-34A2C3FB3883}"/>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140868</xdr:rowOff>
    </xdr:from>
    <xdr:to>
      <xdr:col>5</xdr:col>
      <xdr:colOff>102160</xdr:colOff>
      <xdr:row>96</xdr:row>
      <xdr:rowOff>64399</xdr:rowOff>
    </xdr:to>
    <xdr:sp macro="" textlink="">
      <xdr:nvSpPr>
        <xdr:cNvPr id="984" name="Text Box 229" hidden="1">
          <a:extLst>
            <a:ext uri="{FF2B5EF4-FFF2-40B4-BE49-F238E27FC236}">
              <a16:creationId xmlns:a16="http://schemas.microsoft.com/office/drawing/2014/main" id="{35C18F7D-07EB-4D69-AB1B-3D8EBA556057}"/>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87454</xdr:rowOff>
    </xdr:from>
    <xdr:to>
      <xdr:col>5</xdr:col>
      <xdr:colOff>102160</xdr:colOff>
      <xdr:row>96</xdr:row>
      <xdr:rowOff>140503</xdr:rowOff>
    </xdr:to>
    <xdr:sp macro="" textlink="">
      <xdr:nvSpPr>
        <xdr:cNvPr id="985" name="Text Box 228" hidden="1">
          <a:extLst>
            <a:ext uri="{FF2B5EF4-FFF2-40B4-BE49-F238E27FC236}">
              <a16:creationId xmlns:a16="http://schemas.microsoft.com/office/drawing/2014/main" id="{B976B28A-5EC7-4D14-AFE2-8DBCF7AA4A19}"/>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102160</xdr:colOff>
      <xdr:row>98</xdr:row>
      <xdr:rowOff>11684</xdr:rowOff>
    </xdr:to>
    <xdr:sp macro="" textlink="">
      <xdr:nvSpPr>
        <xdr:cNvPr id="986" name="Text Box 227" hidden="1">
          <a:extLst>
            <a:ext uri="{FF2B5EF4-FFF2-40B4-BE49-F238E27FC236}">
              <a16:creationId xmlns:a16="http://schemas.microsoft.com/office/drawing/2014/main" id="{A7AD6459-32D7-46FE-9DA2-08FA442E5B7D}"/>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84800</xdr:rowOff>
    </xdr:from>
    <xdr:to>
      <xdr:col>5</xdr:col>
      <xdr:colOff>102160</xdr:colOff>
      <xdr:row>122</xdr:row>
      <xdr:rowOff>97647</xdr:rowOff>
    </xdr:to>
    <xdr:sp macro="" textlink="">
      <xdr:nvSpPr>
        <xdr:cNvPr id="987" name="Text Box 226" hidden="1">
          <a:extLst>
            <a:ext uri="{FF2B5EF4-FFF2-40B4-BE49-F238E27FC236}">
              <a16:creationId xmlns:a16="http://schemas.microsoft.com/office/drawing/2014/main" id="{A3A4CE88-5410-4A0D-A1C7-B2D98758BC11}"/>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192519</xdr:rowOff>
    </xdr:from>
    <xdr:to>
      <xdr:col>5</xdr:col>
      <xdr:colOff>102160</xdr:colOff>
      <xdr:row>121</xdr:row>
      <xdr:rowOff>29000</xdr:rowOff>
    </xdr:to>
    <xdr:sp macro="" textlink="">
      <xdr:nvSpPr>
        <xdr:cNvPr id="988" name="Text Box 225" hidden="1">
          <a:extLst>
            <a:ext uri="{FF2B5EF4-FFF2-40B4-BE49-F238E27FC236}">
              <a16:creationId xmlns:a16="http://schemas.microsoft.com/office/drawing/2014/main" id="{76A7BA57-0854-4D36-9345-8C52CAC3AF37}"/>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121053</xdr:rowOff>
    </xdr:from>
    <xdr:to>
      <xdr:col>5</xdr:col>
      <xdr:colOff>102160</xdr:colOff>
      <xdr:row>120</xdr:row>
      <xdr:rowOff>102143</xdr:rowOff>
    </xdr:to>
    <xdr:sp macro="" textlink="">
      <xdr:nvSpPr>
        <xdr:cNvPr id="989" name="Text Box 224" hidden="1">
          <a:extLst>
            <a:ext uri="{FF2B5EF4-FFF2-40B4-BE49-F238E27FC236}">
              <a16:creationId xmlns:a16="http://schemas.microsoft.com/office/drawing/2014/main" id="{91A6CE40-4815-44AC-B4AF-899951751382}"/>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86522</xdr:rowOff>
    </xdr:from>
    <xdr:to>
      <xdr:col>5</xdr:col>
      <xdr:colOff>102160</xdr:colOff>
      <xdr:row>120</xdr:row>
      <xdr:rowOff>172491</xdr:rowOff>
    </xdr:to>
    <xdr:sp macro="" textlink="">
      <xdr:nvSpPr>
        <xdr:cNvPr id="990" name="Text Box 223" hidden="1">
          <a:extLst>
            <a:ext uri="{FF2B5EF4-FFF2-40B4-BE49-F238E27FC236}">
              <a16:creationId xmlns:a16="http://schemas.microsoft.com/office/drawing/2014/main" id="{9EA157D5-7EE8-4276-8366-B03DE3A0A5DF}"/>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145000</xdr:rowOff>
    </xdr:from>
    <xdr:to>
      <xdr:col>21</xdr:col>
      <xdr:colOff>254522</xdr:colOff>
      <xdr:row>144</xdr:row>
      <xdr:rowOff>883</xdr:rowOff>
    </xdr:to>
    <xdr:sp macro="" textlink="">
      <xdr:nvSpPr>
        <xdr:cNvPr id="991" name="Text Box 222" hidden="1">
          <a:extLst>
            <a:ext uri="{FF2B5EF4-FFF2-40B4-BE49-F238E27FC236}">
              <a16:creationId xmlns:a16="http://schemas.microsoft.com/office/drawing/2014/main" id="{FB522D6F-7DBE-47F5-8D92-84CC97A3043A}"/>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239852</xdr:rowOff>
    </xdr:to>
    <xdr:sp macro="" textlink="">
      <xdr:nvSpPr>
        <xdr:cNvPr id="992" name="Text Box 221" hidden="1">
          <a:extLst>
            <a:ext uri="{FF2B5EF4-FFF2-40B4-BE49-F238E27FC236}">
              <a16:creationId xmlns:a16="http://schemas.microsoft.com/office/drawing/2014/main" id="{0690818E-B7B2-48ED-A0A9-4F52828874CD}"/>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38</xdr:row>
      <xdr:rowOff>50426</xdr:rowOff>
    </xdr:from>
    <xdr:to>
      <xdr:col>22</xdr:col>
      <xdr:colOff>425971</xdr:colOff>
      <xdr:row>44</xdr:row>
      <xdr:rowOff>49633</xdr:rowOff>
    </xdr:to>
    <xdr:sp macro="" textlink="">
      <xdr:nvSpPr>
        <xdr:cNvPr id="993" name="Text Box 220" hidden="1">
          <a:extLst>
            <a:ext uri="{FF2B5EF4-FFF2-40B4-BE49-F238E27FC236}">
              <a16:creationId xmlns:a16="http://schemas.microsoft.com/office/drawing/2014/main" id="{760A2E81-42AF-4F84-BE31-0B24821B9428}"/>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160876</xdr:rowOff>
    </xdr:from>
    <xdr:to>
      <xdr:col>22</xdr:col>
      <xdr:colOff>425971</xdr:colOff>
      <xdr:row>147</xdr:row>
      <xdr:rowOff>124130</xdr:rowOff>
    </xdr:to>
    <xdr:sp macro="" textlink="">
      <xdr:nvSpPr>
        <xdr:cNvPr id="994" name="Text Box 219" hidden="1">
          <a:extLst>
            <a:ext uri="{FF2B5EF4-FFF2-40B4-BE49-F238E27FC236}">
              <a16:creationId xmlns:a16="http://schemas.microsoft.com/office/drawing/2014/main" id="{E0805CD2-BD86-4254-B10C-FB6552D7DAF3}"/>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55</xdr:row>
      <xdr:rowOff>68683</xdr:rowOff>
    </xdr:from>
    <xdr:to>
      <xdr:col>11</xdr:col>
      <xdr:colOff>639676</xdr:colOff>
      <xdr:row>58</xdr:row>
      <xdr:rowOff>40529</xdr:rowOff>
    </xdr:to>
    <xdr:sp macro="" textlink="">
      <xdr:nvSpPr>
        <xdr:cNvPr id="995" name="Text Box 218" hidden="1">
          <a:extLst>
            <a:ext uri="{FF2B5EF4-FFF2-40B4-BE49-F238E27FC236}">
              <a16:creationId xmlns:a16="http://schemas.microsoft.com/office/drawing/2014/main" id="{CF728A43-34E0-4502-ABC4-EA3CB41CF396}"/>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316846</xdr:rowOff>
    </xdr:to>
    <xdr:sp macro="" textlink="">
      <xdr:nvSpPr>
        <xdr:cNvPr id="996" name="Text Box 217" hidden="1">
          <a:extLst>
            <a:ext uri="{FF2B5EF4-FFF2-40B4-BE49-F238E27FC236}">
              <a16:creationId xmlns:a16="http://schemas.microsoft.com/office/drawing/2014/main" id="{365F778A-6245-4F37-9A2C-E9A740883D9D}"/>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50426</xdr:rowOff>
    </xdr:from>
    <xdr:to>
      <xdr:col>24</xdr:col>
      <xdr:colOff>464072</xdr:colOff>
      <xdr:row>44</xdr:row>
      <xdr:rowOff>125833</xdr:rowOff>
    </xdr:to>
    <xdr:sp macro="" textlink="">
      <xdr:nvSpPr>
        <xdr:cNvPr id="997" name="Text Box 216" hidden="1">
          <a:extLst>
            <a:ext uri="{FF2B5EF4-FFF2-40B4-BE49-F238E27FC236}">
              <a16:creationId xmlns:a16="http://schemas.microsoft.com/office/drawing/2014/main" id="{27F39C5F-1F7F-470F-BAC0-D78E8F5533FA}"/>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160876</xdr:rowOff>
    </xdr:from>
    <xdr:to>
      <xdr:col>24</xdr:col>
      <xdr:colOff>464072</xdr:colOff>
      <xdr:row>148</xdr:row>
      <xdr:rowOff>60166</xdr:rowOff>
    </xdr:to>
    <xdr:sp macro="" textlink="">
      <xdr:nvSpPr>
        <xdr:cNvPr id="998" name="Text Box 215" hidden="1">
          <a:extLst>
            <a:ext uri="{FF2B5EF4-FFF2-40B4-BE49-F238E27FC236}">
              <a16:creationId xmlns:a16="http://schemas.microsoft.com/office/drawing/2014/main" id="{2EB86E2E-7AE4-4E69-B52A-E6D0D6A04E0C}"/>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23</xdr:row>
      <xdr:rowOff>297002</xdr:rowOff>
    </xdr:to>
    <xdr:sp macro="" textlink="">
      <xdr:nvSpPr>
        <xdr:cNvPr id="999" name="Text Box 214" hidden="1">
          <a:extLst>
            <a:ext uri="{FF2B5EF4-FFF2-40B4-BE49-F238E27FC236}">
              <a16:creationId xmlns:a16="http://schemas.microsoft.com/office/drawing/2014/main" id="{9F34F581-D278-46C6-81AC-705533E1309A}"/>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69476</xdr:rowOff>
    </xdr:from>
    <xdr:to>
      <xdr:col>25</xdr:col>
      <xdr:colOff>464072</xdr:colOff>
      <xdr:row>44</xdr:row>
      <xdr:rowOff>87733</xdr:rowOff>
    </xdr:to>
    <xdr:sp macro="" textlink="">
      <xdr:nvSpPr>
        <xdr:cNvPr id="1000" name="Text Box 213" hidden="1">
          <a:extLst>
            <a:ext uri="{FF2B5EF4-FFF2-40B4-BE49-F238E27FC236}">
              <a16:creationId xmlns:a16="http://schemas.microsoft.com/office/drawing/2014/main" id="{77742BAE-BEB2-4370-B9EC-DDF27099FB20}"/>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464072</xdr:colOff>
      <xdr:row>148</xdr:row>
      <xdr:rowOff>11684</xdr:rowOff>
    </xdr:to>
    <xdr:sp macro="" textlink="">
      <xdr:nvSpPr>
        <xdr:cNvPr id="1001" name="Text Box 212" hidden="1">
          <a:extLst>
            <a:ext uri="{FF2B5EF4-FFF2-40B4-BE49-F238E27FC236}">
              <a16:creationId xmlns:a16="http://schemas.microsoft.com/office/drawing/2014/main" id="{C502E7B9-4459-4519-B53C-8A9F66CB485A}"/>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1002" name="Text Box 211" hidden="1">
          <a:extLst>
            <a:ext uri="{FF2B5EF4-FFF2-40B4-BE49-F238E27FC236}">
              <a16:creationId xmlns:a16="http://schemas.microsoft.com/office/drawing/2014/main" id="{68766604-2E79-4F94-9CE8-4EF5E31D8FDD}"/>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244</xdr:row>
      <xdr:rowOff>102671</xdr:rowOff>
    </xdr:to>
    <xdr:sp macro="" textlink="">
      <xdr:nvSpPr>
        <xdr:cNvPr id="1003" name="Text Box 210" hidden="1">
          <a:extLst>
            <a:ext uri="{FF2B5EF4-FFF2-40B4-BE49-F238E27FC236}">
              <a16:creationId xmlns:a16="http://schemas.microsoft.com/office/drawing/2014/main" id="{028D5F5C-826D-4F6E-91F5-A0D785108AB0}"/>
            </a:ext>
          </a:extLst>
        </xdr:cNvPr>
        <xdr:cNvSpPr txBox="1">
          <a:spLocks noChangeArrowheads="1"/>
        </xdr:cNvSpPr>
      </xdr:nvSpPr>
      <xdr:spPr bwMode="auto">
        <a:xfrm>
          <a:off x="3981263" y="43650971"/>
          <a:ext cx="1312022" cy="4162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65610</xdr:rowOff>
    </xdr:from>
    <xdr:to>
      <xdr:col>5</xdr:col>
      <xdr:colOff>102160</xdr:colOff>
      <xdr:row>244</xdr:row>
      <xdr:rowOff>20915</xdr:rowOff>
    </xdr:to>
    <xdr:sp macro="" textlink="">
      <xdr:nvSpPr>
        <xdr:cNvPr id="1004" name="Text Box 209" hidden="1">
          <a:extLst>
            <a:ext uri="{FF2B5EF4-FFF2-40B4-BE49-F238E27FC236}">
              <a16:creationId xmlns:a16="http://schemas.microsoft.com/office/drawing/2014/main" id="{F0A39BD5-550C-4B90-B7AB-79D66A0AE3B5}"/>
            </a:ext>
          </a:extLst>
        </xdr:cNvPr>
        <xdr:cNvSpPr txBox="1">
          <a:spLocks noChangeArrowheads="1"/>
        </xdr:cNvSpPr>
      </xdr:nvSpPr>
      <xdr:spPr bwMode="auto">
        <a:xfrm>
          <a:off x="3981263" y="43975860"/>
          <a:ext cx="1312022" cy="3755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65610</xdr:rowOff>
    </xdr:from>
    <xdr:to>
      <xdr:col>5</xdr:col>
      <xdr:colOff>102160</xdr:colOff>
      <xdr:row>245</xdr:row>
      <xdr:rowOff>102671</xdr:rowOff>
    </xdr:to>
    <xdr:sp macro="" textlink="">
      <xdr:nvSpPr>
        <xdr:cNvPr id="1005" name="Text Box 208" hidden="1">
          <a:extLst>
            <a:ext uri="{FF2B5EF4-FFF2-40B4-BE49-F238E27FC236}">
              <a16:creationId xmlns:a16="http://schemas.microsoft.com/office/drawing/2014/main" id="{B107B345-C628-4798-A360-666486871EEC}"/>
            </a:ext>
          </a:extLst>
        </xdr:cNvPr>
        <xdr:cNvSpPr txBox="1">
          <a:spLocks noChangeArrowheads="1"/>
        </xdr:cNvSpPr>
      </xdr:nvSpPr>
      <xdr:spPr bwMode="auto">
        <a:xfrm>
          <a:off x="3981263" y="44518785"/>
          <a:ext cx="1312022" cy="3475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65609</xdr:rowOff>
    </xdr:from>
    <xdr:to>
      <xdr:col>5</xdr:col>
      <xdr:colOff>102160</xdr:colOff>
      <xdr:row>233</xdr:row>
      <xdr:rowOff>20916</xdr:rowOff>
    </xdr:to>
    <xdr:sp macro="" textlink="">
      <xdr:nvSpPr>
        <xdr:cNvPr id="1006" name="Text Box 207" hidden="1">
          <a:extLst>
            <a:ext uri="{FF2B5EF4-FFF2-40B4-BE49-F238E27FC236}">
              <a16:creationId xmlns:a16="http://schemas.microsoft.com/office/drawing/2014/main" id="{4FBD376C-B000-4FD2-A81A-DAFEA5336899}"/>
            </a:ext>
          </a:extLst>
        </xdr:cNvPr>
        <xdr:cNvSpPr txBox="1">
          <a:spLocks noChangeArrowheads="1"/>
        </xdr:cNvSpPr>
      </xdr:nvSpPr>
      <xdr:spPr bwMode="auto">
        <a:xfrm>
          <a:off x="3981263" y="44699759"/>
          <a:ext cx="1312022" cy="10411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10596</xdr:rowOff>
    </xdr:from>
    <xdr:to>
      <xdr:col>5</xdr:col>
      <xdr:colOff>102160</xdr:colOff>
      <xdr:row>210</xdr:row>
      <xdr:rowOff>20916</xdr:rowOff>
    </xdr:to>
    <xdr:sp macro="" textlink="">
      <xdr:nvSpPr>
        <xdr:cNvPr id="1007" name="Text Box 206" hidden="1">
          <a:extLst>
            <a:ext uri="{FF2B5EF4-FFF2-40B4-BE49-F238E27FC236}">
              <a16:creationId xmlns:a16="http://schemas.microsoft.com/office/drawing/2014/main" id="{8F6B847D-F711-40A7-BEFD-9984AF9ABBCC}"/>
            </a:ext>
          </a:extLst>
        </xdr:cNvPr>
        <xdr:cNvSpPr txBox="1">
          <a:spLocks noChangeArrowheads="1"/>
        </xdr:cNvSpPr>
      </xdr:nvSpPr>
      <xdr:spPr bwMode="auto">
        <a:xfrm>
          <a:off x="3981263" y="40482321"/>
          <a:ext cx="1312022" cy="109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211</xdr:row>
      <xdr:rowOff>78476</xdr:rowOff>
    </xdr:to>
    <xdr:sp macro="" textlink="">
      <xdr:nvSpPr>
        <xdr:cNvPr id="1008" name="Text Box 205" hidden="1">
          <a:extLst>
            <a:ext uri="{FF2B5EF4-FFF2-40B4-BE49-F238E27FC236}">
              <a16:creationId xmlns:a16="http://schemas.microsoft.com/office/drawing/2014/main" id="{30A4444C-0558-49B0-983C-E1C85A645717}"/>
            </a:ext>
          </a:extLst>
        </xdr:cNvPr>
        <xdr:cNvSpPr txBox="1">
          <a:spLocks noChangeArrowheads="1"/>
        </xdr:cNvSpPr>
      </xdr:nvSpPr>
      <xdr:spPr bwMode="auto">
        <a:xfrm>
          <a:off x="3981263" y="40899285"/>
          <a:ext cx="1312022" cy="9177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212</xdr:row>
      <xdr:rowOff>102672</xdr:rowOff>
    </xdr:to>
    <xdr:sp macro="" textlink="">
      <xdr:nvSpPr>
        <xdr:cNvPr id="1009" name="Text Box 204" hidden="1">
          <a:extLst>
            <a:ext uri="{FF2B5EF4-FFF2-40B4-BE49-F238E27FC236}">
              <a16:creationId xmlns:a16="http://schemas.microsoft.com/office/drawing/2014/main" id="{EB663D26-B1BB-42C8-AD7A-9EBC7F1048FB}"/>
            </a:ext>
          </a:extLst>
        </xdr:cNvPr>
        <xdr:cNvSpPr txBox="1">
          <a:spLocks noChangeArrowheads="1"/>
        </xdr:cNvSpPr>
      </xdr:nvSpPr>
      <xdr:spPr bwMode="auto">
        <a:xfrm>
          <a:off x="3981263" y="41261234"/>
          <a:ext cx="1312022" cy="760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65610</xdr:rowOff>
    </xdr:from>
    <xdr:to>
      <xdr:col>5</xdr:col>
      <xdr:colOff>102160</xdr:colOff>
      <xdr:row>219</xdr:row>
      <xdr:rowOff>78476</xdr:rowOff>
    </xdr:to>
    <xdr:sp macro="" textlink="">
      <xdr:nvSpPr>
        <xdr:cNvPr id="1010" name="Text Box 203" hidden="1">
          <a:extLst>
            <a:ext uri="{FF2B5EF4-FFF2-40B4-BE49-F238E27FC236}">
              <a16:creationId xmlns:a16="http://schemas.microsoft.com/office/drawing/2014/main" id="{1C00F967-9C07-4BFD-B295-4826B98F9E8A}"/>
            </a:ext>
          </a:extLst>
        </xdr:cNvPr>
        <xdr:cNvSpPr txBox="1">
          <a:spLocks noChangeArrowheads="1"/>
        </xdr:cNvSpPr>
      </xdr:nvSpPr>
      <xdr:spPr bwMode="auto">
        <a:xfrm>
          <a:off x="3981263" y="41623185"/>
          <a:ext cx="1312022" cy="16416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71</xdr:row>
      <xdr:rowOff>75015</xdr:rowOff>
    </xdr:to>
    <xdr:sp macro="" textlink="">
      <xdr:nvSpPr>
        <xdr:cNvPr id="1011" name="Text Box 202" hidden="1">
          <a:extLst>
            <a:ext uri="{FF2B5EF4-FFF2-40B4-BE49-F238E27FC236}">
              <a16:creationId xmlns:a16="http://schemas.microsoft.com/office/drawing/2014/main" id="{5E439DB2-1D79-4C3A-B77B-4054C2F3BA5E}"/>
            </a:ext>
          </a:extLst>
        </xdr:cNvPr>
        <xdr:cNvSpPr txBox="1">
          <a:spLocks noChangeArrowheads="1"/>
        </xdr:cNvSpPr>
      </xdr:nvSpPr>
      <xdr:spPr bwMode="auto">
        <a:xfrm>
          <a:off x="3981263" y="15734115"/>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1433</xdr:rowOff>
    </xdr:from>
    <xdr:to>
      <xdr:col>5</xdr:col>
      <xdr:colOff>121210</xdr:colOff>
      <xdr:row>86</xdr:row>
      <xdr:rowOff>316739</xdr:rowOff>
    </xdr:to>
    <xdr:sp macro="" textlink="">
      <xdr:nvSpPr>
        <xdr:cNvPr id="1012" name="Text Box 201" hidden="1">
          <a:extLst>
            <a:ext uri="{FF2B5EF4-FFF2-40B4-BE49-F238E27FC236}">
              <a16:creationId xmlns:a16="http://schemas.microsoft.com/office/drawing/2014/main" id="{A7BD2D01-9E91-4129-B95E-4FBF012F168B}"/>
            </a:ext>
          </a:extLst>
        </xdr:cNvPr>
        <xdr:cNvSpPr txBox="1">
          <a:spLocks noChangeArrowheads="1"/>
        </xdr:cNvSpPr>
      </xdr:nvSpPr>
      <xdr:spPr bwMode="auto">
        <a:xfrm>
          <a:off x="4000313" y="15841508"/>
          <a:ext cx="1312022" cy="30870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86</xdr:row>
      <xdr:rowOff>323883</xdr:rowOff>
    </xdr:to>
    <xdr:sp macro="" textlink="">
      <xdr:nvSpPr>
        <xdr:cNvPr id="1013" name="Text Box 200" hidden="1">
          <a:extLst>
            <a:ext uri="{FF2B5EF4-FFF2-40B4-BE49-F238E27FC236}">
              <a16:creationId xmlns:a16="http://schemas.microsoft.com/office/drawing/2014/main" id="{14A03CA8-AE42-4561-87EA-5CEFED3211A5}"/>
            </a:ext>
          </a:extLst>
        </xdr:cNvPr>
        <xdr:cNvSpPr txBox="1">
          <a:spLocks noChangeArrowheads="1"/>
        </xdr:cNvSpPr>
      </xdr:nvSpPr>
      <xdr:spPr bwMode="auto">
        <a:xfrm>
          <a:off x="3981263" y="15734115"/>
          <a:ext cx="1312022" cy="3201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86511</xdr:rowOff>
    </xdr:from>
    <xdr:to>
      <xdr:col>5</xdr:col>
      <xdr:colOff>102160</xdr:colOff>
      <xdr:row>86</xdr:row>
      <xdr:rowOff>345547</xdr:rowOff>
    </xdr:to>
    <xdr:sp macro="" textlink="">
      <xdr:nvSpPr>
        <xdr:cNvPr id="1014" name="Text Box 199" hidden="1">
          <a:extLst>
            <a:ext uri="{FF2B5EF4-FFF2-40B4-BE49-F238E27FC236}">
              <a16:creationId xmlns:a16="http://schemas.microsoft.com/office/drawing/2014/main" id="{A49E15EC-8E5A-46BB-9205-CD7C218C646D}"/>
            </a:ext>
          </a:extLst>
        </xdr:cNvPr>
        <xdr:cNvSpPr txBox="1">
          <a:spLocks noChangeArrowheads="1"/>
        </xdr:cNvSpPr>
      </xdr:nvSpPr>
      <xdr:spPr bwMode="auto">
        <a:xfrm>
          <a:off x="3981263" y="15745611"/>
          <a:ext cx="1312022" cy="32117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111550</xdr:rowOff>
    </xdr:from>
    <xdr:to>
      <xdr:col>5</xdr:col>
      <xdr:colOff>102160</xdr:colOff>
      <xdr:row>89</xdr:row>
      <xdr:rowOff>64267</xdr:rowOff>
    </xdr:to>
    <xdr:sp macro="" textlink="">
      <xdr:nvSpPr>
        <xdr:cNvPr id="1015" name="Text Box 198" hidden="1">
          <a:extLst>
            <a:ext uri="{FF2B5EF4-FFF2-40B4-BE49-F238E27FC236}">
              <a16:creationId xmlns:a16="http://schemas.microsoft.com/office/drawing/2014/main" id="{1121CAC0-9492-4B9A-807D-4471FB4FF27C}"/>
            </a:ext>
          </a:extLst>
        </xdr:cNvPr>
        <xdr:cNvSpPr txBox="1">
          <a:spLocks noChangeArrowheads="1"/>
        </xdr:cNvSpPr>
      </xdr:nvSpPr>
      <xdr:spPr bwMode="auto">
        <a:xfrm>
          <a:off x="3981263" y="16497725"/>
          <a:ext cx="1312022" cy="2924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64267</xdr:rowOff>
    </xdr:from>
    <xdr:to>
      <xdr:col>5</xdr:col>
      <xdr:colOff>102160</xdr:colOff>
      <xdr:row>97</xdr:row>
      <xdr:rowOff>20413</xdr:rowOff>
    </xdr:to>
    <xdr:sp macro="" textlink="">
      <xdr:nvSpPr>
        <xdr:cNvPr id="1016" name="Text Box 197" hidden="1">
          <a:extLst>
            <a:ext uri="{FF2B5EF4-FFF2-40B4-BE49-F238E27FC236}">
              <a16:creationId xmlns:a16="http://schemas.microsoft.com/office/drawing/2014/main" id="{A3A5BBB0-3CE8-4B38-90FB-79E461FAD010}"/>
            </a:ext>
          </a:extLst>
        </xdr:cNvPr>
        <xdr:cNvSpPr txBox="1">
          <a:spLocks noChangeArrowheads="1"/>
        </xdr:cNvSpPr>
      </xdr:nvSpPr>
      <xdr:spPr bwMode="auto">
        <a:xfrm>
          <a:off x="3981263" y="19422242"/>
          <a:ext cx="1312022" cy="14007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140868</xdr:rowOff>
    </xdr:from>
    <xdr:to>
      <xdr:col>5</xdr:col>
      <xdr:colOff>102160</xdr:colOff>
      <xdr:row>96</xdr:row>
      <xdr:rowOff>64399</xdr:rowOff>
    </xdr:to>
    <xdr:sp macro="" textlink="">
      <xdr:nvSpPr>
        <xdr:cNvPr id="1017" name="Text Box 196" hidden="1">
          <a:extLst>
            <a:ext uri="{FF2B5EF4-FFF2-40B4-BE49-F238E27FC236}">
              <a16:creationId xmlns:a16="http://schemas.microsoft.com/office/drawing/2014/main" id="{6C81AAA5-6B7A-4301-9612-7BEAF3EC342A}"/>
            </a:ext>
          </a:extLst>
        </xdr:cNvPr>
        <xdr:cNvSpPr txBox="1">
          <a:spLocks noChangeArrowheads="1"/>
        </xdr:cNvSpPr>
      </xdr:nvSpPr>
      <xdr:spPr bwMode="auto">
        <a:xfrm>
          <a:off x="3981263" y="19498843"/>
          <a:ext cx="1312022" cy="11903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87454</xdr:rowOff>
    </xdr:from>
    <xdr:to>
      <xdr:col>5</xdr:col>
      <xdr:colOff>102160</xdr:colOff>
      <xdr:row>96</xdr:row>
      <xdr:rowOff>140503</xdr:rowOff>
    </xdr:to>
    <xdr:sp macro="" textlink="">
      <xdr:nvSpPr>
        <xdr:cNvPr id="1018" name="Text Box 195" hidden="1">
          <a:extLst>
            <a:ext uri="{FF2B5EF4-FFF2-40B4-BE49-F238E27FC236}">
              <a16:creationId xmlns:a16="http://schemas.microsoft.com/office/drawing/2014/main" id="{0E70D135-26FB-4BB5-909A-51A698E1E80F}"/>
            </a:ext>
          </a:extLst>
        </xdr:cNvPr>
        <xdr:cNvSpPr txBox="1">
          <a:spLocks noChangeArrowheads="1"/>
        </xdr:cNvSpPr>
      </xdr:nvSpPr>
      <xdr:spPr bwMode="auto">
        <a:xfrm>
          <a:off x="3981263" y="19620054"/>
          <a:ext cx="1312022" cy="1145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102160</xdr:colOff>
      <xdr:row>98</xdr:row>
      <xdr:rowOff>11684</xdr:rowOff>
    </xdr:to>
    <xdr:sp macro="" textlink="">
      <xdr:nvSpPr>
        <xdr:cNvPr id="1019" name="Text Box 194" hidden="1">
          <a:extLst>
            <a:ext uri="{FF2B5EF4-FFF2-40B4-BE49-F238E27FC236}">
              <a16:creationId xmlns:a16="http://schemas.microsoft.com/office/drawing/2014/main" id="{74AB1925-AEDD-4299-8E0E-F3561CD61DDE}"/>
            </a:ext>
          </a:extLst>
        </xdr:cNvPr>
        <xdr:cNvSpPr txBox="1">
          <a:spLocks noChangeArrowheads="1"/>
        </xdr:cNvSpPr>
      </xdr:nvSpPr>
      <xdr:spPr bwMode="auto">
        <a:xfrm>
          <a:off x="3981263" y="19814525"/>
          <a:ext cx="1312022" cy="11807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84800</xdr:rowOff>
    </xdr:from>
    <xdr:to>
      <xdr:col>5</xdr:col>
      <xdr:colOff>102160</xdr:colOff>
      <xdr:row>122</xdr:row>
      <xdr:rowOff>97647</xdr:rowOff>
    </xdr:to>
    <xdr:sp macro="" textlink="">
      <xdr:nvSpPr>
        <xdr:cNvPr id="1020" name="Text Box 193" hidden="1">
          <a:extLst>
            <a:ext uri="{FF2B5EF4-FFF2-40B4-BE49-F238E27FC236}">
              <a16:creationId xmlns:a16="http://schemas.microsoft.com/office/drawing/2014/main" id="{B5BCDC71-B7A1-4C98-891C-2A56B250F34A}"/>
            </a:ext>
          </a:extLst>
        </xdr:cNvPr>
        <xdr:cNvSpPr txBox="1">
          <a:spLocks noChangeArrowheads="1"/>
        </xdr:cNvSpPr>
      </xdr:nvSpPr>
      <xdr:spPr bwMode="auto">
        <a:xfrm>
          <a:off x="3981263" y="24211625"/>
          <a:ext cx="1312022" cy="15177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192519</xdr:rowOff>
    </xdr:from>
    <xdr:to>
      <xdr:col>5</xdr:col>
      <xdr:colOff>102160</xdr:colOff>
      <xdr:row>121</xdr:row>
      <xdr:rowOff>29000</xdr:rowOff>
    </xdr:to>
    <xdr:sp macro="" textlink="">
      <xdr:nvSpPr>
        <xdr:cNvPr id="1021" name="Text Box 192" hidden="1">
          <a:extLst>
            <a:ext uri="{FF2B5EF4-FFF2-40B4-BE49-F238E27FC236}">
              <a16:creationId xmlns:a16="http://schemas.microsoft.com/office/drawing/2014/main" id="{ABF22A51-005C-469A-8344-CA0C5AC0CCCC}"/>
            </a:ext>
          </a:extLst>
        </xdr:cNvPr>
        <xdr:cNvSpPr txBox="1">
          <a:spLocks noChangeArrowheads="1"/>
        </xdr:cNvSpPr>
      </xdr:nvSpPr>
      <xdr:spPr bwMode="auto">
        <a:xfrm>
          <a:off x="3981263" y="24497144"/>
          <a:ext cx="1312022" cy="9826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121053</xdr:rowOff>
    </xdr:from>
    <xdr:to>
      <xdr:col>5</xdr:col>
      <xdr:colOff>102160</xdr:colOff>
      <xdr:row>120</xdr:row>
      <xdr:rowOff>102143</xdr:rowOff>
    </xdr:to>
    <xdr:sp macro="" textlink="">
      <xdr:nvSpPr>
        <xdr:cNvPr id="1022" name="Text Box 191" hidden="1">
          <a:extLst>
            <a:ext uri="{FF2B5EF4-FFF2-40B4-BE49-F238E27FC236}">
              <a16:creationId xmlns:a16="http://schemas.microsoft.com/office/drawing/2014/main" id="{7709DB60-14CD-409B-9A3B-619271A2766A}"/>
            </a:ext>
          </a:extLst>
        </xdr:cNvPr>
        <xdr:cNvSpPr txBox="1">
          <a:spLocks noChangeArrowheads="1"/>
        </xdr:cNvSpPr>
      </xdr:nvSpPr>
      <xdr:spPr bwMode="auto">
        <a:xfrm>
          <a:off x="3981263" y="24670153"/>
          <a:ext cx="1312022" cy="7018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86522</xdr:rowOff>
    </xdr:from>
    <xdr:to>
      <xdr:col>5</xdr:col>
      <xdr:colOff>102160</xdr:colOff>
      <xdr:row>120</xdr:row>
      <xdr:rowOff>172491</xdr:rowOff>
    </xdr:to>
    <xdr:sp macro="" textlink="">
      <xdr:nvSpPr>
        <xdr:cNvPr id="1023" name="Text Box 190" hidden="1">
          <a:extLst>
            <a:ext uri="{FF2B5EF4-FFF2-40B4-BE49-F238E27FC236}">
              <a16:creationId xmlns:a16="http://schemas.microsoft.com/office/drawing/2014/main" id="{2A9CF263-ACE0-4EE6-B2FA-57124C2E6E32}"/>
            </a:ext>
          </a:extLst>
        </xdr:cNvPr>
        <xdr:cNvSpPr txBox="1">
          <a:spLocks noChangeArrowheads="1"/>
        </xdr:cNvSpPr>
      </xdr:nvSpPr>
      <xdr:spPr bwMode="auto">
        <a:xfrm>
          <a:off x="3981263" y="24632447"/>
          <a:ext cx="1312022" cy="8098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145000</xdr:rowOff>
    </xdr:from>
    <xdr:to>
      <xdr:col>21</xdr:col>
      <xdr:colOff>254522</xdr:colOff>
      <xdr:row>144</xdr:row>
      <xdr:rowOff>883</xdr:rowOff>
    </xdr:to>
    <xdr:sp macro="" textlink="">
      <xdr:nvSpPr>
        <xdr:cNvPr id="1024" name="Text Box 189" hidden="1">
          <a:extLst>
            <a:ext uri="{FF2B5EF4-FFF2-40B4-BE49-F238E27FC236}">
              <a16:creationId xmlns:a16="http://schemas.microsoft.com/office/drawing/2014/main" id="{7489D761-4450-4488-B135-0B2082849FAC}"/>
            </a:ext>
          </a:extLst>
        </xdr:cNvPr>
        <xdr:cNvSpPr txBox="1">
          <a:spLocks noChangeArrowheads="1"/>
        </xdr:cNvSpPr>
      </xdr:nvSpPr>
      <xdr:spPr bwMode="auto">
        <a:xfrm>
          <a:off x="17513821" y="28853350"/>
          <a:ext cx="1333501" cy="7607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239852</xdr:rowOff>
    </xdr:to>
    <xdr:sp macro="" textlink="">
      <xdr:nvSpPr>
        <xdr:cNvPr id="1025" name="Text Box 188" hidden="1">
          <a:extLst>
            <a:ext uri="{FF2B5EF4-FFF2-40B4-BE49-F238E27FC236}">
              <a16:creationId xmlns:a16="http://schemas.microsoft.com/office/drawing/2014/main" id="{50D2D62B-9206-4C41-8592-BBFCB9BC3970}"/>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38</xdr:row>
      <xdr:rowOff>50426</xdr:rowOff>
    </xdr:from>
    <xdr:to>
      <xdr:col>22</xdr:col>
      <xdr:colOff>425971</xdr:colOff>
      <xdr:row>44</xdr:row>
      <xdr:rowOff>49633</xdr:rowOff>
    </xdr:to>
    <xdr:sp macro="" textlink="">
      <xdr:nvSpPr>
        <xdr:cNvPr id="1026" name="Text Box 187" hidden="1">
          <a:extLst>
            <a:ext uri="{FF2B5EF4-FFF2-40B4-BE49-F238E27FC236}">
              <a16:creationId xmlns:a16="http://schemas.microsoft.com/office/drawing/2014/main" id="{B3D84DF5-4CAC-49AC-905F-53180146A5A1}"/>
            </a:ext>
          </a:extLst>
        </xdr:cNvPr>
        <xdr:cNvSpPr txBox="1">
          <a:spLocks noChangeArrowheads="1"/>
        </xdr:cNvSpPr>
      </xdr:nvSpPr>
      <xdr:spPr bwMode="auto">
        <a:xfrm>
          <a:off x="18332971" y="8175251"/>
          <a:ext cx="1447800" cy="10850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160876</xdr:rowOff>
    </xdr:from>
    <xdr:to>
      <xdr:col>22</xdr:col>
      <xdr:colOff>425971</xdr:colOff>
      <xdr:row>147</xdr:row>
      <xdr:rowOff>124130</xdr:rowOff>
    </xdr:to>
    <xdr:sp macro="" textlink="">
      <xdr:nvSpPr>
        <xdr:cNvPr id="1027" name="Text Box 186" hidden="1">
          <a:extLst>
            <a:ext uri="{FF2B5EF4-FFF2-40B4-BE49-F238E27FC236}">
              <a16:creationId xmlns:a16="http://schemas.microsoft.com/office/drawing/2014/main" id="{8C97D4F0-4B8E-4816-821B-311278500C7D}"/>
            </a:ext>
          </a:extLst>
        </xdr:cNvPr>
        <xdr:cNvSpPr txBox="1">
          <a:spLocks noChangeArrowheads="1"/>
        </xdr:cNvSpPr>
      </xdr:nvSpPr>
      <xdr:spPr bwMode="auto">
        <a:xfrm>
          <a:off x="18332971" y="29593126"/>
          <a:ext cx="1447800" cy="6871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55</xdr:row>
      <xdr:rowOff>68683</xdr:rowOff>
    </xdr:from>
    <xdr:to>
      <xdr:col>11</xdr:col>
      <xdr:colOff>639676</xdr:colOff>
      <xdr:row>58</xdr:row>
      <xdr:rowOff>40529</xdr:rowOff>
    </xdr:to>
    <xdr:sp macro="" textlink="">
      <xdr:nvSpPr>
        <xdr:cNvPr id="1028" name="Text Box 185" hidden="1">
          <a:extLst>
            <a:ext uri="{FF2B5EF4-FFF2-40B4-BE49-F238E27FC236}">
              <a16:creationId xmlns:a16="http://schemas.microsoft.com/office/drawing/2014/main" id="{0D7EC5EF-0066-4836-AF4F-2595DAE616D4}"/>
            </a:ext>
          </a:extLst>
        </xdr:cNvPr>
        <xdr:cNvSpPr txBox="1">
          <a:spLocks noChangeArrowheads="1"/>
        </xdr:cNvSpPr>
      </xdr:nvSpPr>
      <xdr:spPr bwMode="auto">
        <a:xfrm>
          <a:off x="9314696" y="11270083"/>
          <a:ext cx="1402430" cy="8576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316846</xdr:rowOff>
    </xdr:to>
    <xdr:sp macro="" textlink="">
      <xdr:nvSpPr>
        <xdr:cNvPr id="1029" name="Text Box 184" hidden="1">
          <a:extLst>
            <a:ext uri="{FF2B5EF4-FFF2-40B4-BE49-F238E27FC236}">
              <a16:creationId xmlns:a16="http://schemas.microsoft.com/office/drawing/2014/main" id="{3EC84906-07C6-4B4E-8461-56EE50A8A215}"/>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50426</xdr:rowOff>
    </xdr:from>
    <xdr:to>
      <xdr:col>24</xdr:col>
      <xdr:colOff>464072</xdr:colOff>
      <xdr:row>44</xdr:row>
      <xdr:rowOff>125833</xdr:rowOff>
    </xdr:to>
    <xdr:sp macro="" textlink="">
      <xdr:nvSpPr>
        <xdr:cNvPr id="1030" name="Text Box 183" hidden="1">
          <a:extLst>
            <a:ext uri="{FF2B5EF4-FFF2-40B4-BE49-F238E27FC236}">
              <a16:creationId xmlns:a16="http://schemas.microsoft.com/office/drawing/2014/main" id="{AFCD5F26-9A36-45BE-BAC4-F444E7418F57}"/>
            </a:ext>
          </a:extLst>
        </xdr:cNvPr>
        <xdr:cNvSpPr txBox="1">
          <a:spLocks noChangeArrowheads="1"/>
        </xdr:cNvSpPr>
      </xdr:nvSpPr>
      <xdr:spPr bwMode="auto">
        <a:xfrm>
          <a:off x="19985832" y="8175251"/>
          <a:ext cx="1357040" cy="11612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160876</xdr:rowOff>
    </xdr:from>
    <xdr:to>
      <xdr:col>24</xdr:col>
      <xdr:colOff>464072</xdr:colOff>
      <xdr:row>148</xdr:row>
      <xdr:rowOff>60166</xdr:rowOff>
    </xdr:to>
    <xdr:sp macro="" textlink="">
      <xdr:nvSpPr>
        <xdr:cNvPr id="1031" name="Text Box 182" hidden="1">
          <a:extLst>
            <a:ext uri="{FF2B5EF4-FFF2-40B4-BE49-F238E27FC236}">
              <a16:creationId xmlns:a16="http://schemas.microsoft.com/office/drawing/2014/main" id="{73605BF2-679B-49DB-ADF8-B06F1AEC25AD}"/>
            </a:ext>
          </a:extLst>
        </xdr:cNvPr>
        <xdr:cNvSpPr txBox="1">
          <a:spLocks noChangeArrowheads="1"/>
        </xdr:cNvSpPr>
      </xdr:nvSpPr>
      <xdr:spPr bwMode="auto">
        <a:xfrm>
          <a:off x="19985832" y="29593126"/>
          <a:ext cx="1357040" cy="804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23</xdr:row>
      <xdr:rowOff>297002</xdr:rowOff>
    </xdr:to>
    <xdr:sp macro="" textlink="">
      <xdr:nvSpPr>
        <xdr:cNvPr id="1032" name="Text Box 181" hidden="1">
          <a:extLst>
            <a:ext uri="{FF2B5EF4-FFF2-40B4-BE49-F238E27FC236}">
              <a16:creationId xmlns:a16="http://schemas.microsoft.com/office/drawing/2014/main" id="{3C906223-8119-4B42-9E7E-B19125B58F00}"/>
            </a:ext>
          </a:extLst>
        </xdr:cNvPr>
        <xdr:cNvSpPr txBox="1">
          <a:spLocks noChangeArrowheads="1"/>
        </xdr:cNvSpPr>
      </xdr:nvSpPr>
      <xdr:spPr bwMode="auto">
        <a:xfrm>
          <a:off x="20747833" y="4584326"/>
          <a:ext cx="135703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69476</xdr:rowOff>
    </xdr:from>
    <xdr:to>
      <xdr:col>25</xdr:col>
      <xdr:colOff>464072</xdr:colOff>
      <xdr:row>44</xdr:row>
      <xdr:rowOff>87733</xdr:rowOff>
    </xdr:to>
    <xdr:sp macro="" textlink="">
      <xdr:nvSpPr>
        <xdr:cNvPr id="1033" name="Text Box 180" hidden="1">
          <a:extLst>
            <a:ext uri="{FF2B5EF4-FFF2-40B4-BE49-F238E27FC236}">
              <a16:creationId xmlns:a16="http://schemas.microsoft.com/office/drawing/2014/main" id="{78A74838-46F7-40FB-8886-07CB5CF790DE}"/>
            </a:ext>
          </a:extLst>
        </xdr:cNvPr>
        <xdr:cNvSpPr txBox="1">
          <a:spLocks noChangeArrowheads="1"/>
        </xdr:cNvSpPr>
      </xdr:nvSpPr>
      <xdr:spPr bwMode="auto">
        <a:xfrm>
          <a:off x="20747833" y="8194301"/>
          <a:ext cx="1357039" cy="11041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464072</xdr:colOff>
      <xdr:row>148</xdr:row>
      <xdr:rowOff>11684</xdr:rowOff>
    </xdr:to>
    <xdr:sp macro="" textlink="">
      <xdr:nvSpPr>
        <xdr:cNvPr id="1034" name="Text Box 179" hidden="1">
          <a:extLst>
            <a:ext uri="{FF2B5EF4-FFF2-40B4-BE49-F238E27FC236}">
              <a16:creationId xmlns:a16="http://schemas.microsoft.com/office/drawing/2014/main" id="{DC65A08B-4E99-44F7-8BF4-349E5CB341BD}"/>
            </a:ext>
          </a:extLst>
        </xdr:cNvPr>
        <xdr:cNvSpPr txBox="1">
          <a:spLocks noChangeArrowheads="1"/>
        </xdr:cNvSpPr>
      </xdr:nvSpPr>
      <xdr:spPr bwMode="auto">
        <a:xfrm>
          <a:off x="20747833" y="29614108"/>
          <a:ext cx="1357039" cy="734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1035" name="Text Box 277" hidden="1">
          <a:extLst>
            <a:ext uri="{FF2B5EF4-FFF2-40B4-BE49-F238E27FC236}">
              <a16:creationId xmlns:a16="http://schemas.microsoft.com/office/drawing/2014/main" id="{09C93757-36DC-4C3A-ABAF-48762C8FFAE4}"/>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244</xdr:row>
      <xdr:rowOff>102671</xdr:rowOff>
    </xdr:to>
    <xdr:sp macro="" textlink="">
      <xdr:nvSpPr>
        <xdr:cNvPr id="1036" name="Text Box 276" hidden="1">
          <a:extLst>
            <a:ext uri="{FF2B5EF4-FFF2-40B4-BE49-F238E27FC236}">
              <a16:creationId xmlns:a16="http://schemas.microsoft.com/office/drawing/2014/main" id="{938CDDC0-D886-48FA-B810-F428B527A90F}"/>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65610</xdr:rowOff>
    </xdr:from>
    <xdr:to>
      <xdr:col>5</xdr:col>
      <xdr:colOff>102160</xdr:colOff>
      <xdr:row>244</xdr:row>
      <xdr:rowOff>20915</xdr:rowOff>
    </xdr:to>
    <xdr:sp macro="" textlink="">
      <xdr:nvSpPr>
        <xdr:cNvPr id="1037" name="Text Box 275" hidden="1">
          <a:extLst>
            <a:ext uri="{FF2B5EF4-FFF2-40B4-BE49-F238E27FC236}">
              <a16:creationId xmlns:a16="http://schemas.microsoft.com/office/drawing/2014/main" id="{5A176C90-CAB9-4335-9AED-F6BAE776AA64}"/>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65610</xdr:rowOff>
    </xdr:from>
    <xdr:to>
      <xdr:col>5</xdr:col>
      <xdr:colOff>102160</xdr:colOff>
      <xdr:row>245</xdr:row>
      <xdr:rowOff>102671</xdr:rowOff>
    </xdr:to>
    <xdr:sp macro="" textlink="">
      <xdr:nvSpPr>
        <xdr:cNvPr id="1038" name="Text Box 274" hidden="1">
          <a:extLst>
            <a:ext uri="{FF2B5EF4-FFF2-40B4-BE49-F238E27FC236}">
              <a16:creationId xmlns:a16="http://schemas.microsoft.com/office/drawing/2014/main" id="{B8C1057B-E591-432A-9E26-6E23BFD8B05E}"/>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65609</xdr:rowOff>
    </xdr:from>
    <xdr:to>
      <xdr:col>5</xdr:col>
      <xdr:colOff>102160</xdr:colOff>
      <xdr:row>233</xdr:row>
      <xdr:rowOff>20916</xdr:rowOff>
    </xdr:to>
    <xdr:sp macro="" textlink="">
      <xdr:nvSpPr>
        <xdr:cNvPr id="1039" name="Text Box 273" hidden="1">
          <a:extLst>
            <a:ext uri="{FF2B5EF4-FFF2-40B4-BE49-F238E27FC236}">
              <a16:creationId xmlns:a16="http://schemas.microsoft.com/office/drawing/2014/main" id="{09458846-BBB6-45E4-8FC3-00D1A2161E7F}"/>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10596</xdr:rowOff>
    </xdr:from>
    <xdr:to>
      <xdr:col>5</xdr:col>
      <xdr:colOff>102160</xdr:colOff>
      <xdr:row>210</xdr:row>
      <xdr:rowOff>20916</xdr:rowOff>
    </xdr:to>
    <xdr:sp macro="" textlink="">
      <xdr:nvSpPr>
        <xdr:cNvPr id="1040" name="Text Box 272" hidden="1">
          <a:extLst>
            <a:ext uri="{FF2B5EF4-FFF2-40B4-BE49-F238E27FC236}">
              <a16:creationId xmlns:a16="http://schemas.microsoft.com/office/drawing/2014/main" id="{C608F01E-9E0C-42F0-B6DD-069C07AB10E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211</xdr:row>
      <xdr:rowOff>78476</xdr:rowOff>
    </xdr:to>
    <xdr:sp macro="" textlink="">
      <xdr:nvSpPr>
        <xdr:cNvPr id="1041" name="Text Box 271" hidden="1">
          <a:extLst>
            <a:ext uri="{FF2B5EF4-FFF2-40B4-BE49-F238E27FC236}">
              <a16:creationId xmlns:a16="http://schemas.microsoft.com/office/drawing/2014/main" id="{126D671B-C553-4C21-A95B-3E4580F6AD8A}"/>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212</xdr:row>
      <xdr:rowOff>102672</xdr:rowOff>
    </xdr:to>
    <xdr:sp macro="" textlink="">
      <xdr:nvSpPr>
        <xdr:cNvPr id="1042" name="Text Box 270" hidden="1">
          <a:extLst>
            <a:ext uri="{FF2B5EF4-FFF2-40B4-BE49-F238E27FC236}">
              <a16:creationId xmlns:a16="http://schemas.microsoft.com/office/drawing/2014/main" id="{7CAD69F8-8F97-4814-AE15-C5E9ECC8D04D}"/>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65610</xdr:rowOff>
    </xdr:from>
    <xdr:to>
      <xdr:col>5</xdr:col>
      <xdr:colOff>102160</xdr:colOff>
      <xdr:row>219</xdr:row>
      <xdr:rowOff>78476</xdr:rowOff>
    </xdr:to>
    <xdr:sp macro="" textlink="">
      <xdr:nvSpPr>
        <xdr:cNvPr id="1043" name="Text Box 269" hidden="1">
          <a:extLst>
            <a:ext uri="{FF2B5EF4-FFF2-40B4-BE49-F238E27FC236}">
              <a16:creationId xmlns:a16="http://schemas.microsoft.com/office/drawing/2014/main" id="{2D97ED6F-04FC-48F7-8A9F-81E253E17AEC}"/>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71</xdr:row>
      <xdr:rowOff>75015</xdr:rowOff>
    </xdr:to>
    <xdr:sp macro="" textlink="">
      <xdr:nvSpPr>
        <xdr:cNvPr id="1044" name="Text Box 268" hidden="1">
          <a:extLst>
            <a:ext uri="{FF2B5EF4-FFF2-40B4-BE49-F238E27FC236}">
              <a16:creationId xmlns:a16="http://schemas.microsoft.com/office/drawing/2014/main" id="{75BC88D5-8ACD-43D5-B9A6-0FE69868A592}"/>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1433</xdr:rowOff>
    </xdr:from>
    <xdr:to>
      <xdr:col>5</xdr:col>
      <xdr:colOff>121210</xdr:colOff>
      <xdr:row>86</xdr:row>
      <xdr:rowOff>316739</xdr:rowOff>
    </xdr:to>
    <xdr:sp macro="" textlink="">
      <xdr:nvSpPr>
        <xdr:cNvPr id="1045" name="Text Box 267" hidden="1">
          <a:extLst>
            <a:ext uri="{FF2B5EF4-FFF2-40B4-BE49-F238E27FC236}">
              <a16:creationId xmlns:a16="http://schemas.microsoft.com/office/drawing/2014/main" id="{56B22FCE-F2C2-4A9C-B1BB-A00D62CDA0CD}"/>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86</xdr:row>
      <xdr:rowOff>323883</xdr:rowOff>
    </xdr:to>
    <xdr:sp macro="" textlink="">
      <xdr:nvSpPr>
        <xdr:cNvPr id="1046" name="Text Box 266" hidden="1">
          <a:extLst>
            <a:ext uri="{FF2B5EF4-FFF2-40B4-BE49-F238E27FC236}">
              <a16:creationId xmlns:a16="http://schemas.microsoft.com/office/drawing/2014/main" id="{712E8DCC-2E35-4EA3-AFD0-001856093379}"/>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86511</xdr:rowOff>
    </xdr:from>
    <xdr:to>
      <xdr:col>5</xdr:col>
      <xdr:colOff>102160</xdr:colOff>
      <xdr:row>86</xdr:row>
      <xdr:rowOff>345547</xdr:rowOff>
    </xdr:to>
    <xdr:sp macro="" textlink="">
      <xdr:nvSpPr>
        <xdr:cNvPr id="1047" name="Text Box 265" hidden="1">
          <a:extLst>
            <a:ext uri="{FF2B5EF4-FFF2-40B4-BE49-F238E27FC236}">
              <a16:creationId xmlns:a16="http://schemas.microsoft.com/office/drawing/2014/main" id="{57320A46-A329-49B9-BA7F-DB0F9B0CE8B7}"/>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111550</xdr:rowOff>
    </xdr:from>
    <xdr:to>
      <xdr:col>5</xdr:col>
      <xdr:colOff>102160</xdr:colOff>
      <xdr:row>89</xdr:row>
      <xdr:rowOff>64267</xdr:rowOff>
    </xdr:to>
    <xdr:sp macro="" textlink="">
      <xdr:nvSpPr>
        <xdr:cNvPr id="1048" name="Text Box 264" hidden="1">
          <a:extLst>
            <a:ext uri="{FF2B5EF4-FFF2-40B4-BE49-F238E27FC236}">
              <a16:creationId xmlns:a16="http://schemas.microsoft.com/office/drawing/2014/main" id="{11CABC71-C44C-4A9B-8531-E5DBE08A3F73}"/>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64267</xdr:rowOff>
    </xdr:from>
    <xdr:to>
      <xdr:col>5</xdr:col>
      <xdr:colOff>102160</xdr:colOff>
      <xdr:row>97</xdr:row>
      <xdr:rowOff>20413</xdr:rowOff>
    </xdr:to>
    <xdr:sp macro="" textlink="">
      <xdr:nvSpPr>
        <xdr:cNvPr id="1049" name="Text Box 263" hidden="1">
          <a:extLst>
            <a:ext uri="{FF2B5EF4-FFF2-40B4-BE49-F238E27FC236}">
              <a16:creationId xmlns:a16="http://schemas.microsoft.com/office/drawing/2014/main" id="{DDCBC7B9-E2A0-4049-928A-1E4A81B981F9}"/>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140868</xdr:rowOff>
    </xdr:from>
    <xdr:to>
      <xdr:col>5</xdr:col>
      <xdr:colOff>102160</xdr:colOff>
      <xdr:row>96</xdr:row>
      <xdr:rowOff>64399</xdr:rowOff>
    </xdr:to>
    <xdr:sp macro="" textlink="">
      <xdr:nvSpPr>
        <xdr:cNvPr id="1050" name="Text Box 262" hidden="1">
          <a:extLst>
            <a:ext uri="{FF2B5EF4-FFF2-40B4-BE49-F238E27FC236}">
              <a16:creationId xmlns:a16="http://schemas.microsoft.com/office/drawing/2014/main" id="{5F121692-548A-45C3-ADDA-12C6D9665474}"/>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87454</xdr:rowOff>
    </xdr:from>
    <xdr:to>
      <xdr:col>5</xdr:col>
      <xdr:colOff>102160</xdr:colOff>
      <xdr:row>96</xdr:row>
      <xdr:rowOff>140503</xdr:rowOff>
    </xdr:to>
    <xdr:sp macro="" textlink="">
      <xdr:nvSpPr>
        <xdr:cNvPr id="1051" name="Text Box 261" hidden="1">
          <a:extLst>
            <a:ext uri="{FF2B5EF4-FFF2-40B4-BE49-F238E27FC236}">
              <a16:creationId xmlns:a16="http://schemas.microsoft.com/office/drawing/2014/main" id="{39F2B6CE-1D41-4FBF-875D-800E9AE8824D}"/>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102160</xdr:colOff>
      <xdr:row>98</xdr:row>
      <xdr:rowOff>11684</xdr:rowOff>
    </xdr:to>
    <xdr:sp macro="" textlink="">
      <xdr:nvSpPr>
        <xdr:cNvPr id="1052" name="Text Box 260" hidden="1">
          <a:extLst>
            <a:ext uri="{FF2B5EF4-FFF2-40B4-BE49-F238E27FC236}">
              <a16:creationId xmlns:a16="http://schemas.microsoft.com/office/drawing/2014/main" id="{6D75F2E7-A213-438B-AA0B-18C7105E256A}"/>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84800</xdr:rowOff>
    </xdr:from>
    <xdr:to>
      <xdr:col>5</xdr:col>
      <xdr:colOff>102160</xdr:colOff>
      <xdr:row>122</xdr:row>
      <xdr:rowOff>97647</xdr:rowOff>
    </xdr:to>
    <xdr:sp macro="" textlink="">
      <xdr:nvSpPr>
        <xdr:cNvPr id="1053" name="Text Box 259" hidden="1">
          <a:extLst>
            <a:ext uri="{FF2B5EF4-FFF2-40B4-BE49-F238E27FC236}">
              <a16:creationId xmlns:a16="http://schemas.microsoft.com/office/drawing/2014/main" id="{CF6D70F7-6C12-4F07-AB5E-1E6E4228DBDA}"/>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192519</xdr:rowOff>
    </xdr:from>
    <xdr:to>
      <xdr:col>5</xdr:col>
      <xdr:colOff>102160</xdr:colOff>
      <xdr:row>121</xdr:row>
      <xdr:rowOff>29000</xdr:rowOff>
    </xdr:to>
    <xdr:sp macro="" textlink="">
      <xdr:nvSpPr>
        <xdr:cNvPr id="1054" name="Text Box 258" hidden="1">
          <a:extLst>
            <a:ext uri="{FF2B5EF4-FFF2-40B4-BE49-F238E27FC236}">
              <a16:creationId xmlns:a16="http://schemas.microsoft.com/office/drawing/2014/main" id="{5D6B7744-26C0-4D73-99DF-68B760580CA2}"/>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121053</xdr:rowOff>
    </xdr:from>
    <xdr:to>
      <xdr:col>5</xdr:col>
      <xdr:colOff>102160</xdr:colOff>
      <xdr:row>120</xdr:row>
      <xdr:rowOff>102143</xdr:rowOff>
    </xdr:to>
    <xdr:sp macro="" textlink="">
      <xdr:nvSpPr>
        <xdr:cNvPr id="1055" name="Text Box 257" hidden="1">
          <a:extLst>
            <a:ext uri="{FF2B5EF4-FFF2-40B4-BE49-F238E27FC236}">
              <a16:creationId xmlns:a16="http://schemas.microsoft.com/office/drawing/2014/main" id="{8E467C05-62B6-43FD-BD15-7EC78A3F1870}"/>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86522</xdr:rowOff>
    </xdr:from>
    <xdr:to>
      <xdr:col>5</xdr:col>
      <xdr:colOff>102160</xdr:colOff>
      <xdr:row>120</xdr:row>
      <xdr:rowOff>172491</xdr:rowOff>
    </xdr:to>
    <xdr:sp macro="" textlink="">
      <xdr:nvSpPr>
        <xdr:cNvPr id="1056" name="Text Box 256" hidden="1">
          <a:extLst>
            <a:ext uri="{FF2B5EF4-FFF2-40B4-BE49-F238E27FC236}">
              <a16:creationId xmlns:a16="http://schemas.microsoft.com/office/drawing/2014/main" id="{A7B8DD52-7395-4A83-BFC8-BD3F9861FDA6}"/>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145000</xdr:rowOff>
    </xdr:from>
    <xdr:to>
      <xdr:col>21</xdr:col>
      <xdr:colOff>254522</xdr:colOff>
      <xdr:row>144</xdr:row>
      <xdr:rowOff>883</xdr:rowOff>
    </xdr:to>
    <xdr:sp macro="" textlink="">
      <xdr:nvSpPr>
        <xdr:cNvPr id="1057" name="Text Box 255" hidden="1">
          <a:extLst>
            <a:ext uri="{FF2B5EF4-FFF2-40B4-BE49-F238E27FC236}">
              <a16:creationId xmlns:a16="http://schemas.microsoft.com/office/drawing/2014/main" id="{38D216B7-4C72-4FAF-9AA2-952AC6DA56B4}"/>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239852</xdr:rowOff>
    </xdr:to>
    <xdr:sp macro="" textlink="">
      <xdr:nvSpPr>
        <xdr:cNvPr id="1058" name="Text Box 254" hidden="1">
          <a:extLst>
            <a:ext uri="{FF2B5EF4-FFF2-40B4-BE49-F238E27FC236}">
              <a16:creationId xmlns:a16="http://schemas.microsoft.com/office/drawing/2014/main" id="{F6631B06-A70E-4FA4-9BAF-242FE4CD8F82}"/>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38</xdr:row>
      <xdr:rowOff>50426</xdr:rowOff>
    </xdr:from>
    <xdr:to>
      <xdr:col>22</xdr:col>
      <xdr:colOff>425971</xdr:colOff>
      <xdr:row>44</xdr:row>
      <xdr:rowOff>49633</xdr:rowOff>
    </xdr:to>
    <xdr:sp macro="" textlink="">
      <xdr:nvSpPr>
        <xdr:cNvPr id="1059" name="Text Box 253" hidden="1">
          <a:extLst>
            <a:ext uri="{FF2B5EF4-FFF2-40B4-BE49-F238E27FC236}">
              <a16:creationId xmlns:a16="http://schemas.microsoft.com/office/drawing/2014/main" id="{0878F15D-FAA4-4AEE-84A7-6DFE04FAE61E}"/>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160876</xdr:rowOff>
    </xdr:from>
    <xdr:to>
      <xdr:col>22</xdr:col>
      <xdr:colOff>425971</xdr:colOff>
      <xdr:row>147</xdr:row>
      <xdr:rowOff>124130</xdr:rowOff>
    </xdr:to>
    <xdr:sp macro="" textlink="">
      <xdr:nvSpPr>
        <xdr:cNvPr id="1060" name="Text Box 252" hidden="1">
          <a:extLst>
            <a:ext uri="{FF2B5EF4-FFF2-40B4-BE49-F238E27FC236}">
              <a16:creationId xmlns:a16="http://schemas.microsoft.com/office/drawing/2014/main" id="{CDD014A9-BA89-4E2C-80E7-8239F711BB9D}"/>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55</xdr:row>
      <xdr:rowOff>68683</xdr:rowOff>
    </xdr:from>
    <xdr:to>
      <xdr:col>11</xdr:col>
      <xdr:colOff>639676</xdr:colOff>
      <xdr:row>58</xdr:row>
      <xdr:rowOff>40529</xdr:rowOff>
    </xdr:to>
    <xdr:sp macro="" textlink="">
      <xdr:nvSpPr>
        <xdr:cNvPr id="1061" name="Text Box 251" hidden="1">
          <a:extLst>
            <a:ext uri="{FF2B5EF4-FFF2-40B4-BE49-F238E27FC236}">
              <a16:creationId xmlns:a16="http://schemas.microsoft.com/office/drawing/2014/main" id="{95786522-783D-40DF-8CD2-39E85F2ECF28}"/>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316846</xdr:rowOff>
    </xdr:to>
    <xdr:sp macro="" textlink="">
      <xdr:nvSpPr>
        <xdr:cNvPr id="1062" name="Text Box 250" hidden="1">
          <a:extLst>
            <a:ext uri="{FF2B5EF4-FFF2-40B4-BE49-F238E27FC236}">
              <a16:creationId xmlns:a16="http://schemas.microsoft.com/office/drawing/2014/main" id="{C63DCDA3-245D-478A-B7E1-E60F81C6531F}"/>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50426</xdr:rowOff>
    </xdr:from>
    <xdr:to>
      <xdr:col>24</xdr:col>
      <xdr:colOff>464072</xdr:colOff>
      <xdr:row>44</xdr:row>
      <xdr:rowOff>125833</xdr:rowOff>
    </xdr:to>
    <xdr:sp macro="" textlink="">
      <xdr:nvSpPr>
        <xdr:cNvPr id="1063" name="Text Box 249" hidden="1">
          <a:extLst>
            <a:ext uri="{FF2B5EF4-FFF2-40B4-BE49-F238E27FC236}">
              <a16:creationId xmlns:a16="http://schemas.microsoft.com/office/drawing/2014/main" id="{A1EEFF13-663F-4AA4-A708-4AA686CE5349}"/>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160876</xdr:rowOff>
    </xdr:from>
    <xdr:to>
      <xdr:col>24</xdr:col>
      <xdr:colOff>464072</xdr:colOff>
      <xdr:row>148</xdr:row>
      <xdr:rowOff>60166</xdr:rowOff>
    </xdr:to>
    <xdr:sp macro="" textlink="">
      <xdr:nvSpPr>
        <xdr:cNvPr id="1064" name="Text Box 248" hidden="1">
          <a:extLst>
            <a:ext uri="{FF2B5EF4-FFF2-40B4-BE49-F238E27FC236}">
              <a16:creationId xmlns:a16="http://schemas.microsoft.com/office/drawing/2014/main" id="{3B4456A9-4E35-498D-AB22-DB3963ED8EEB}"/>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23</xdr:row>
      <xdr:rowOff>297002</xdr:rowOff>
    </xdr:to>
    <xdr:sp macro="" textlink="">
      <xdr:nvSpPr>
        <xdr:cNvPr id="1065" name="Text Box 247" hidden="1">
          <a:extLst>
            <a:ext uri="{FF2B5EF4-FFF2-40B4-BE49-F238E27FC236}">
              <a16:creationId xmlns:a16="http://schemas.microsoft.com/office/drawing/2014/main" id="{601CA5EA-470A-4514-89B7-953E1210E406}"/>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69476</xdr:rowOff>
    </xdr:from>
    <xdr:to>
      <xdr:col>25</xdr:col>
      <xdr:colOff>464072</xdr:colOff>
      <xdr:row>44</xdr:row>
      <xdr:rowOff>87733</xdr:rowOff>
    </xdr:to>
    <xdr:sp macro="" textlink="">
      <xdr:nvSpPr>
        <xdr:cNvPr id="1066" name="Text Box 246" hidden="1">
          <a:extLst>
            <a:ext uri="{FF2B5EF4-FFF2-40B4-BE49-F238E27FC236}">
              <a16:creationId xmlns:a16="http://schemas.microsoft.com/office/drawing/2014/main" id="{50753E0F-5AF9-4AB9-B778-920F6534E713}"/>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464072</xdr:colOff>
      <xdr:row>148</xdr:row>
      <xdr:rowOff>11684</xdr:rowOff>
    </xdr:to>
    <xdr:sp macro="" textlink="">
      <xdr:nvSpPr>
        <xdr:cNvPr id="1067" name="Text Box 245" hidden="1">
          <a:extLst>
            <a:ext uri="{FF2B5EF4-FFF2-40B4-BE49-F238E27FC236}">
              <a16:creationId xmlns:a16="http://schemas.microsoft.com/office/drawing/2014/main" id="{8DC07E83-CA29-4025-A9F5-B3C76A56F881}"/>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1068" name="Text Box 310" hidden="1">
          <a:extLst>
            <a:ext uri="{FF2B5EF4-FFF2-40B4-BE49-F238E27FC236}">
              <a16:creationId xmlns:a16="http://schemas.microsoft.com/office/drawing/2014/main" id="{C21709DC-F004-499A-B27F-404491687D92}"/>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102160</xdr:colOff>
      <xdr:row>238</xdr:row>
      <xdr:rowOff>152912</xdr:rowOff>
    </xdr:to>
    <xdr:sp macro="" textlink="">
      <xdr:nvSpPr>
        <xdr:cNvPr id="1069" name="Text Box 309" hidden="1">
          <a:extLst>
            <a:ext uri="{FF2B5EF4-FFF2-40B4-BE49-F238E27FC236}">
              <a16:creationId xmlns:a16="http://schemas.microsoft.com/office/drawing/2014/main" id="{2BE07EC8-E7C1-4CE6-91AA-6CF1CCBF1F93}"/>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102671</xdr:rowOff>
    </xdr:from>
    <xdr:to>
      <xdr:col>5</xdr:col>
      <xdr:colOff>102160</xdr:colOff>
      <xdr:row>238</xdr:row>
      <xdr:rowOff>58962</xdr:rowOff>
    </xdr:to>
    <xdr:sp macro="" textlink="">
      <xdr:nvSpPr>
        <xdr:cNvPr id="1070" name="Text Box 308" hidden="1">
          <a:extLst>
            <a:ext uri="{FF2B5EF4-FFF2-40B4-BE49-F238E27FC236}">
              <a16:creationId xmlns:a16="http://schemas.microsoft.com/office/drawing/2014/main" id="{3935668B-F943-4C5C-935F-3989980329E3}"/>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102672</xdr:rowOff>
    </xdr:from>
    <xdr:to>
      <xdr:col>5</xdr:col>
      <xdr:colOff>102160</xdr:colOff>
      <xdr:row>239</xdr:row>
      <xdr:rowOff>152913</xdr:rowOff>
    </xdr:to>
    <xdr:sp macro="" textlink="">
      <xdr:nvSpPr>
        <xdr:cNvPr id="1071" name="Text Box 307" hidden="1">
          <a:extLst>
            <a:ext uri="{FF2B5EF4-FFF2-40B4-BE49-F238E27FC236}">
              <a16:creationId xmlns:a16="http://schemas.microsoft.com/office/drawing/2014/main" id="{D93C0D68-33BF-4BC0-B7FF-081375BAC8CE}"/>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227</xdr:row>
      <xdr:rowOff>58961</xdr:rowOff>
    </xdr:to>
    <xdr:sp macro="" textlink="">
      <xdr:nvSpPr>
        <xdr:cNvPr id="1072" name="Text Box 306" hidden="1">
          <a:extLst>
            <a:ext uri="{FF2B5EF4-FFF2-40B4-BE49-F238E27FC236}">
              <a16:creationId xmlns:a16="http://schemas.microsoft.com/office/drawing/2014/main" id="{DA6C6E9A-CBF8-45A0-9746-2351EE342935}"/>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102160</xdr:colOff>
      <xdr:row>204</xdr:row>
      <xdr:rowOff>58961</xdr:rowOff>
    </xdr:to>
    <xdr:sp macro="" textlink="">
      <xdr:nvSpPr>
        <xdr:cNvPr id="1073" name="Text Box 305" hidden="1">
          <a:extLst>
            <a:ext uri="{FF2B5EF4-FFF2-40B4-BE49-F238E27FC236}">
              <a16:creationId xmlns:a16="http://schemas.microsoft.com/office/drawing/2014/main" id="{CDCE1D86-5FCD-4ED4-9C8A-FC2EE2E564D6}"/>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102671</xdr:rowOff>
    </xdr:from>
    <xdr:to>
      <xdr:col>5</xdr:col>
      <xdr:colOff>102160</xdr:colOff>
      <xdr:row>205</xdr:row>
      <xdr:rowOff>152912</xdr:rowOff>
    </xdr:to>
    <xdr:sp macro="" textlink="">
      <xdr:nvSpPr>
        <xdr:cNvPr id="1074" name="Text Box 304" hidden="1">
          <a:extLst>
            <a:ext uri="{FF2B5EF4-FFF2-40B4-BE49-F238E27FC236}">
              <a16:creationId xmlns:a16="http://schemas.microsoft.com/office/drawing/2014/main" id="{B794D0B2-D555-4E29-B461-5ABDC9D94D61}"/>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102673</xdr:rowOff>
    </xdr:from>
    <xdr:to>
      <xdr:col>5</xdr:col>
      <xdr:colOff>102160</xdr:colOff>
      <xdr:row>206</xdr:row>
      <xdr:rowOff>152912</xdr:rowOff>
    </xdr:to>
    <xdr:sp macro="" textlink="">
      <xdr:nvSpPr>
        <xdr:cNvPr id="1075" name="Text Box 303" hidden="1">
          <a:extLst>
            <a:ext uri="{FF2B5EF4-FFF2-40B4-BE49-F238E27FC236}">
              <a16:creationId xmlns:a16="http://schemas.microsoft.com/office/drawing/2014/main" id="{4DE180E0-1D21-4D8E-8556-EC8FE3232B0F}"/>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102671</xdr:rowOff>
    </xdr:from>
    <xdr:to>
      <xdr:col>5</xdr:col>
      <xdr:colOff>102160</xdr:colOff>
      <xdr:row>213</xdr:row>
      <xdr:rowOff>152911</xdr:rowOff>
    </xdr:to>
    <xdr:sp macro="" textlink="">
      <xdr:nvSpPr>
        <xdr:cNvPr id="1076" name="Text Box 302" hidden="1">
          <a:extLst>
            <a:ext uri="{FF2B5EF4-FFF2-40B4-BE49-F238E27FC236}">
              <a16:creationId xmlns:a16="http://schemas.microsoft.com/office/drawing/2014/main" id="{7BAB390A-36C1-4B2C-A7C6-9E038F90EC1C}"/>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64</xdr:row>
      <xdr:rowOff>64508</xdr:rowOff>
    </xdr:to>
    <xdr:sp macro="" textlink="">
      <xdr:nvSpPr>
        <xdr:cNvPr id="1077" name="Text Box 301" hidden="1">
          <a:extLst>
            <a:ext uri="{FF2B5EF4-FFF2-40B4-BE49-F238E27FC236}">
              <a16:creationId xmlns:a16="http://schemas.microsoft.com/office/drawing/2014/main" id="{50CF9F74-CB44-49D0-8E96-D3B9195B1546}"/>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9566</xdr:rowOff>
    </xdr:from>
    <xdr:to>
      <xdr:col>5</xdr:col>
      <xdr:colOff>121210</xdr:colOff>
      <xdr:row>86</xdr:row>
      <xdr:rowOff>84748</xdr:rowOff>
    </xdr:to>
    <xdr:sp macro="" textlink="">
      <xdr:nvSpPr>
        <xdr:cNvPr id="1078" name="Text Box 300" hidden="1">
          <a:extLst>
            <a:ext uri="{FF2B5EF4-FFF2-40B4-BE49-F238E27FC236}">
              <a16:creationId xmlns:a16="http://schemas.microsoft.com/office/drawing/2014/main" id="{40CDB717-F8E6-4946-9A5E-C28199EAFAEC}"/>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85</xdr:row>
      <xdr:rowOff>480</xdr:rowOff>
    </xdr:to>
    <xdr:sp macro="" textlink="">
      <xdr:nvSpPr>
        <xdr:cNvPr id="1079" name="Text Box 299" hidden="1">
          <a:extLst>
            <a:ext uri="{FF2B5EF4-FFF2-40B4-BE49-F238E27FC236}">
              <a16:creationId xmlns:a16="http://schemas.microsoft.com/office/drawing/2014/main" id="{32FA48A7-866B-48FF-B495-B83A712D3051}"/>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83558</xdr:rowOff>
    </xdr:from>
    <xdr:to>
      <xdr:col>5</xdr:col>
      <xdr:colOff>102160</xdr:colOff>
      <xdr:row>85</xdr:row>
      <xdr:rowOff>31053</xdr:rowOff>
    </xdr:to>
    <xdr:sp macro="" textlink="">
      <xdr:nvSpPr>
        <xdr:cNvPr id="1080" name="Text Box 298" hidden="1">
          <a:extLst>
            <a:ext uri="{FF2B5EF4-FFF2-40B4-BE49-F238E27FC236}">
              <a16:creationId xmlns:a16="http://schemas.microsoft.com/office/drawing/2014/main" id="{7B65B63D-DC91-4B16-9194-4EE737B481C4}"/>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34934</xdr:rowOff>
    </xdr:from>
    <xdr:to>
      <xdr:col>5</xdr:col>
      <xdr:colOff>102160</xdr:colOff>
      <xdr:row>87</xdr:row>
      <xdr:rowOff>93575</xdr:rowOff>
    </xdr:to>
    <xdr:sp macro="" textlink="">
      <xdr:nvSpPr>
        <xdr:cNvPr id="1081" name="Text Box 297" hidden="1">
          <a:extLst>
            <a:ext uri="{FF2B5EF4-FFF2-40B4-BE49-F238E27FC236}">
              <a16:creationId xmlns:a16="http://schemas.microsoft.com/office/drawing/2014/main" id="{10A2A553-29FA-4FB4-A489-7729F6A2CFB6}"/>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64375</xdr:rowOff>
    </xdr:from>
    <xdr:to>
      <xdr:col>5</xdr:col>
      <xdr:colOff>102160</xdr:colOff>
      <xdr:row>96</xdr:row>
      <xdr:rowOff>87088</xdr:rowOff>
    </xdr:to>
    <xdr:sp macro="" textlink="">
      <xdr:nvSpPr>
        <xdr:cNvPr id="1082" name="Text Box 296" hidden="1">
          <a:extLst>
            <a:ext uri="{FF2B5EF4-FFF2-40B4-BE49-F238E27FC236}">
              <a16:creationId xmlns:a16="http://schemas.microsoft.com/office/drawing/2014/main" id="{410F228A-4419-4D53-93D1-0A5595EF1238}"/>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480</xdr:rowOff>
    </xdr:from>
    <xdr:to>
      <xdr:col>5</xdr:col>
      <xdr:colOff>102160</xdr:colOff>
      <xdr:row>95</xdr:row>
      <xdr:rowOff>63859</xdr:rowOff>
    </xdr:to>
    <xdr:sp macro="" textlink="">
      <xdr:nvSpPr>
        <xdr:cNvPr id="1083" name="Text Box 295" hidden="1">
          <a:extLst>
            <a:ext uri="{FF2B5EF4-FFF2-40B4-BE49-F238E27FC236}">
              <a16:creationId xmlns:a16="http://schemas.microsoft.com/office/drawing/2014/main" id="{9BE1B4D5-6F1F-4BBB-8F4A-7B9AD4D8C36A}"/>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124451</xdr:rowOff>
    </xdr:from>
    <xdr:to>
      <xdr:col>5</xdr:col>
      <xdr:colOff>102160</xdr:colOff>
      <xdr:row>95</xdr:row>
      <xdr:rowOff>146015</xdr:rowOff>
    </xdr:to>
    <xdr:sp macro="" textlink="">
      <xdr:nvSpPr>
        <xdr:cNvPr id="1084" name="Text Box 294" hidden="1">
          <a:extLst>
            <a:ext uri="{FF2B5EF4-FFF2-40B4-BE49-F238E27FC236}">
              <a16:creationId xmlns:a16="http://schemas.microsoft.com/office/drawing/2014/main" id="{41E89D1E-FC16-4941-AE14-4EF8CF118E38}"/>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154038</xdr:rowOff>
    </xdr:from>
    <xdr:to>
      <xdr:col>5</xdr:col>
      <xdr:colOff>102160</xdr:colOff>
      <xdr:row>97</xdr:row>
      <xdr:rowOff>153998</xdr:rowOff>
    </xdr:to>
    <xdr:sp macro="" textlink="">
      <xdr:nvSpPr>
        <xdr:cNvPr id="1085" name="Text Box 293" hidden="1">
          <a:extLst>
            <a:ext uri="{FF2B5EF4-FFF2-40B4-BE49-F238E27FC236}">
              <a16:creationId xmlns:a16="http://schemas.microsoft.com/office/drawing/2014/main" id="{81B16B5C-95CF-4081-969C-0F02BD9C2FE7}"/>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102160</xdr:colOff>
      <xdr:row>118</xdr:row>
      <xdr:rowOff>21975</xdr:rowOff>
    </xdr:to>
    <xdr:sp macro="" textlink="">
      <xdr:nvSpPr>
        <xdr:cNvPr id="1086" name="Text Box 292" hidden="1">
          <a:extLst>
            <a:ext uri="{FF2B5EF4-FFF2-40B4-BE49-F238E27FC236}">
              <a16:creationId xmlns:a16="http://schemas.microsoft.com/office/drawing/2014/main" id="{DCDA9DEB-3A14-4295-AE0C-1B5FEFF14FA3}"/>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102160</xdr:colOff>
      <xdr:row>116</xdr:row>
      <xdr:rowOff>84437</xdr:rowOff>
    </xdr:to>
    <xdr:sp macro="" textlink="">
      <xdr:nvSpPr>
        <xdr:cNvPr id="1087" name="Text Box 291" hidden="1">
          <a:extLst>
            <a:ext uri="{FF2B5EF4-FFF2-40B4-BE49-F238E27FC236}">
              <a16:creationId xmlns:a16="http://schemas.microsoft.com/office/drawing/2014/main" id="{773F7C51-E190-4A80-AE6F-52EA2B6C7991}"/>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102160</xdr:colOff>
      <xdr:row>115</xdr:row>
      <xdr:rowOff>132247</xdr:rowOff>
    </xdr:to>
    <xdr:sp macro="" textlink="">
      <xdr:nvSpPr>
        <xdr:cNvPr id="1088" name="Text Box 290" hidden="1">
          <a:extLst>
            <a:ext uri="{FF2B5EF4-FFF2-40B4-BE49-F238E27FC236}">
              <a16:creationId xmlns:a16="http://schemas.microsoft.com/office/drawing/2014/main" id="{D814C979-5175-4C1B-A79A-8276CBFD38AD}"/>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83225</xdr:rowOff>
    </xdr:from>
    <xdr:to>
      <xdr:col>5</xdr:col>
      <xdr:colOff>102160</xdr:colOff>
      <xdr:row>115</xdr:row>
      <xdr:rowOff>199662</xdr:rowOff>
    </xdr:to>
    <xdr:sp macro="" textlink="">
      <xdr:nvSpPr>
        <xdr:cNvPr id="1089" name="Text Box 289" hidden="1">
          <a:extLst>
            <a:ext uri="{FF2B5EF4-FFF2-40B4-BE49-F238E27FC236}">
              <a16:creationId xmlns:a16="http://schemas.microsoft.com/office/drawing/2014/main" id="{95EBE73F-F914-40F1-BCC3-7E38DAD729D4}"/>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10891</xdr:rowOff>
    </xdr:from>
    <xdr:to>
      <xdr:col>21</xdr:col>
      <xdr:colOff>254522</xdr:colOff>
      <xdr:row>138</xdr:row>
      <xdr:rowOff>28617</xdr:rowOff>
    </xdr:to>
    <xdr:sp macro="" textlink="">
      <xdr:nvSpPr>
        <xdr:cNvPr id="1090" name="Text Box 288" hidden="1">
          <a:extLst>
            <a:ext uri="{FF2B5EF4-FFF2-40B4-BE49-F238E27FC236}">
              <a16:creationId xmlns:a16="http://schemas.microsoft.com/office/drawing/2014/main" id="{BC0C9F62-E6BC-4FB3-9FA2-B53158077106}"/>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239059</xdr:rowOff>
    </xdr:to>
    <xdr:sp macro="" textlink="">
      <xdr:nvSpPr>
        <xdr:cNvPr id="1091" name="Text Box 287" hidden="1">
          <a:extLst>
            <a:ext uri="{FF2B5EF4-FFF2-40B4-BE49-F238E27FC236}">
              <a16:creationId xmlns:a16="http://schemas.microsoft.com/office/drawing/2014/main" id="{0165AA63-78B1-4D4B-8A67-124D86D714C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092" name="Text Box 286" hidden="1">
          <a:extLst>
            <a:ext uri="{FF2B5EF4-FFF2-40B4-BE49-F238E27FC236}">
              <a16:creationId xmlns:a16="http://schemas.microsoft.com/office/drawing/2014/main" id="{01202623-9F48-427C-9B13-9D8C8F18DF87}"/>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28617</xdr:rowOff>
    </xdr:from>
    <xdr:to>
      <xdr:col>22</xdr:col>
      <xdr:colOff>425971</xdr:colOff>
      <xdr:row>141</xdr:row>
      <xdr:rowOff>164845</xdr:rowOff>
    </xdr:to>
    <xdr:sp macro="" textlink="">
      <xdr:nvSpPr>
        <xdr:cNvPr id="1093" name="Text Box 285" hidden="1">
          <a:extLst>
            <a:ext uri="{FF2B5EF4-FFF2-40B4-BE49-F238E27FC236}">
              <a16:creationId xmlns:a16="http://schemas.microsoft.com/office/drawing/2014/main" id="{E9D59DA3-4C0D-43CD-9593-40725926E08E}"/>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38</xdr:row>
      <xdr:rowOff>50426</xdr:rowOff>
    </xdr:from>
    <xdr:to>
      <xdr:col>11</xdr:col>
      <xdr:colOff>639676</xdr:colOff>
      <xdr:row>43</xdr:row>
      <xdr:rowOff>999</xdr:rowOff>
    </xdr:to>
    <xdr:sp macro="" textlink="">
      <xdr:nvSpPr>
        <xdr:cNvPr id="1094" name="Text Box 284" hidden="1">
          <a:extLst>
            <a:ext uri="{FF2B5EF4-FFF2-40B4-BE49-F238E27FC236}">
              <a16:creationId xmlns:a16="http://schemas.microsoft.com/office/drawing/2014/main" id="{B0DD9D37-B70C-46EA-A9F2-B4C02DA1D1B7}"/>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334309</xdr:rowOff>
    </xdr:to>
    <xdr:sp macro="" textlink="">
      <xdr:nvSpPr>
        <xdr:cNvPr id="1095" name="Text Box 283" hidden="1">
          <a:extLst>
            <a:ext uri="{FF2B5EF4-FFF2-40B4-BE49-F238E27FC236}">
              <a16:creationId xmlns:a16="http://schemas.microsoft.com/office/drawing/2014/main" id="{6A945853-7F5B-47AC-8A20-32E7FB20DD7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096" name="Text Box 282" hidden="1">
          <a:extLst>
            <a:ext uri="{FF2B5EF4-FFF2-40B4-BE49-F238E27FC236}">
              <a16:creationId xmlns:a16="http://schemas.microsoft.com/office/drawing/2014/main" id="{445E6D0A-7C74-4506-AD2C-02A820DCE57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28617</xdr:rowOff>
    </xdr:from>
    <xdr:to>
      <xdr:col>24</xdr:col>
      <xdr:colOff>464072</xdr:colOff>
      <xdr:row>142</xdr:row>
      <xdr:rowOff>76506</xdr:rowOff>
    </xdr:to>
    <xdr:sp macro="" textlink="">
      <xdr:nvSpPr>
        <xdr:cNvPr id="1097" name="Text Box 281" hidden="1">
          <a:extLst>
            <a:ext uri="{FF2B5EF4-FFF2-40B4-BE49-F238E27FC236}">
              <a16:creationId xmlns:a16="http://schemas.microsoft.com/office/drawing/2014/main" id="{7F8ADF58-41A9-4541-BA29-9C3F375F3591}"/>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23</xdr:row>
      <xdr:rowOff>296209</xdr:rowOff>
    </xdr:to>
    <xdr:sp macro="" textlink="">
      <xdr:nvSpPr>
        <xdr:cNvPr id="1098" name="Text Box 280" hidden="1">
          <a:extLst>
            <a:ext uri="{FF2B5EF4-FFF2-40B4-BE49-F238E27FC236}">
              <a16:creationId xmlns:a16="http://schemas.microsoft.com/office/drawing/2014/main" id="{249C1829-2BC5-4BA5-B21A-17299787D224}"/>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69477</xdr:rowOff>
    </xdr:from>
    <xdr:to>
      <xdr:col>25</xdr:col>
      <xdr:colOff>464072</xdr:colOff>
      <xdr:row>35</xdr:row>
      <xdr:rowOff>50426</xdr:rowOff>
    </xdr:to>
    <xdr:sp macro="" textlink="">
      <xdr:nvSpPr>
        <xdr:cNvPr id="1099" name="Text Box 279" hidden="1">
          <a:extLst>
            <a:ext uri="{FF2B5EF4-FFF2-40B4-BE49-F238E27FC236}">
              <a16:creationId xmlns:a16="http://schemas.microsoft.com/office/drawing/2014/main" id="{A54EACB9-2BED-468D-BB86-FEC2970ED7E6}"/>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30734</xdr:rowOff>
    </xdr:from>
    <xdr:to>
      <xdr:col>25</xdr:col>
      <xdr:colOff>464072</xdr:colOff>
      <xdr:row>142</xdr:row>
      <xdr:rowOff>60166</xdr:rowOff>
    </xdr:to>
    <xdr:sp macro="" textlink="">
      <xdr:nvSpPr>
        <xdr:cNvPr id="1100" name="Text Box 278" hidden="1">
          <a:extLst>
            <a:ext uri="{FF2B5EF4-FFF2-40B4-BE49-F238E27FC236}">
              <a16:creationId xmlns:a16="http://schemas.microsoft.com/office/drawing/2014/main" id="{7C06E6DF-97E8-4AEB-A981-CA2165EDC089}"/>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42</xdr:row>
      <xdr:rowOff>31376</xdr:rowOff>
    </xdr:from>
    <xdr:to>
      <xdr:col>11</xdr:col>
      <xdr:colOff>734926</xdr:colOff>
      <xdr:row>46</xdr:row>
      <xdr:rowOff>69476</xdr:rowOff>
    </xdr:to>
    <xdr:sp macro="" textlink="">
      <xdr:nvSpPr>
        <xdr:cNvPr id="1101" name="Text Box 311" hidden="1">
          <a:extLst>
            <a:ext uri="{FF2B5EF4-FFF2-40B4-BE49-F238E27FC236}">
              <a16:creationId xmlns:a16="http://schemas.microsoft.com/office/drawing/2014/main" id="{CE51D605-4B26-4546-81E1-59E6D45B26B4}"/>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42</xdr:row>
      <xdr:rowOff>31376</xdr:rowOff>
    </xdr:from>
    <xdr:to>
      <xdr:col>13</xdr:col>
      <xdr:colOff>507975</xdr:colOff>
      <xdr:row>46</xdr:row>
      <xdr:rowOff>69476</xdr:rowOff>
    </xdr:to>
    <xdr:sp macro="" textlink="">
      <xdr:nvSpPr>
        <xdr:cNvPr id="1102" name="Text Box 312" hidden="1">
          <a:extLst>
            <a:ext uri="{FF2B5EF4-FFF2-40B4-BE49-F238E27FC236}">
              <a16:creationId xmlns:a16="http://schemas.microsoft.com/office/drawing/2014/main" id="{AA53E180-3977-490C-AACF-56C406FE5B80}"/>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1103" name="Text Box 347" hidden="1">
          <a:extLst>
            <a:ext uri="{FF2B5EF4-FFF2-40B4-BE49-F238E27FC236}">
              <a16:creationId xmlns:a16="http://schemas.microsoft.com/office/drawing/2014/main" id="{67600C60-04FC-42B4-98E2-0C8C052C1A78}"/>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102160</xdr:colOff>
      <xdr:row>238</xdr:row>
      <xdr:rowOff>152912</xdr:rowOff>
    </xdr:to>
    <xdr:sp macro="" textlink="">
      <xdr:nvSpPr>
        <xdr:cNvPr id="1104" name="Text Box 346" hidden="1">
          <a:extLst>
            <a:ext uri="{FF2B5EF4-FFF2-40B4-BE49-F238E27FC236}">
              <a16:creationId xmlns:a16="http://schemas.microsoft.com/office/drawing/2014/main" id="{E1949CEF-7CB0-4217-B7C2-FFCBC1E91A52}"/>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102671</xdr:rowOff>
    </xdr:from>
    <xdr:to>
      <xdr:col>5</xdr:col>
      <xdr:colOff>102160</xdr:colOff>
      <xdr:row>238</xdr:row>
      <xdr:rowOff>58962</xdr:rowOff>
    </xdr:to>
    <xdr:sp macro="" textlink="">
      <xdr:nvSpPr>
        <xdr:cNvPr id="1105" name="Text Box 345" hidden="1">
          <a:extLst>
            <a:ext uri="{FF2B5EF4-FFF2-40B4-BE49-F238E27FC236}">
              <a16:creationId xmlns:a16="http://schemas.microsoft.com/office/drawing/2014/main" id="{77571034-C45C-4FA1-A2BC-89099872E1E9}"/>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102672</xdr:rowOff>
    </xdr:from>
    <xdr:to>
      <xdr:col>5</xdr:col>
      <xdr:colOff>102160</xdr:colOff>
      <xdr:row>239</xdr:row>
      <xdr:rowOff>152913</xdr:rowOff>
    </xdr:to>
    <xdr:sp macro="" textlink="">
      <xdr:nvSpPr>
        <xdr:cNvPr id="1106" name="Text Box 344" hidden="1">
          <a:extLst>
            <a:ext uri="{FF2B5EF4-FFF2-40B4-BE49-F238E27FC236}">
              <a16:creationId xmlns:a16="http://schemas.microsoft.com/office/drawing/2014/main" id="{ADAEBCD9-38DC-4B18-8B99-B6BDAE6E85C7}"/>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227</xdr:row>
      <xdr:rowOff>58961</xdr:rowOff>
    </xdr:to>
    <xdr:sp macro="" textlink="">
      <xdr:nvSpPr>
        <xdr:cNvPr id="1107" name="Text Box 343" hidden="1">
          <a:extLst>
            <a:ext uri="{FF2B5EF4-FFF2-40B4-BE49-F238E27FC236}">
              <a16:creationId xmlns:a16="http://schemas.microsoft.com/office/drawing/2014/main" id="{FE1DDDE6-F3C3-4C28-A820-37AA341A753D}"/>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102160</xdr:colOff>
      <xdr:row>204</xdr:row>
      <xdr:rowOff>58961</xdr:rowOff>
    </xdr:to>
    <xdr:sp macro="" textlink="">
      <xdr:nvSpPr>
        <xdr:cNvPr id="1108" name="Text Box 342" hidden="1">
          <a:extLst>
            <a:ext uri="{FF2B5EF4-FFF2-40B4-BE49-F238E27FC236}">
              <a16:creationId xmlns:a16="http://schemas.microsoft.com/office/drawing/2014/main" id="{16B4A778-F21A-4820-B17F-299270781014}"/>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102671</xdr:rowOff>
    </xdr:from>
    <xdr:to>
      <xdr:col>5</xdr:col>
      <xdr:colOff>102160</xdr:colOff>
      <xdr:row>205</xdr:row>
      <xdr:rowOff>152912</xdr:rowOff>
    </xdr:to>
    <xdr:sp macro="" textlink="">
      <xdr:nvSpPr>
        <xdr:cNvPr id="1109" name="Text Box 341" hidden="1">
          <a:extLst>
            <a:ext uri="{FF2B5EF4-FFF2-40B4-BE49-F238E27FC236}">
              <a16:creationId xmlns:a16="http://schemas.microsoft.com/office/drawing/2014/main" id="{09B7C5DF-2D85-4F05-8D3A-5B296202D7BD}"/>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102673</xdr:rowOff>
    </xdr:from>
    <xdr:to>
      <xdr:col>5</xdr:col>
      <xdr:colOff>102160</xdr:colOff>
      <xdr:row>206</xdr:row>
      <xdr:rowOff>152912</xdr:rowOff>
    </xdr:to>
    <xdr:sp macro="" textlink="">
      <xdr:nvSpPr>
        <xdr:cNvPr id="1110" name="Text Box 340" hidden="1">
          <a:extLst>
            <a:ext uri="{FF2B5EF4-FFF2-40B4-BE49-F238E27FC236}">
              <a16:creationId xmlns:a16="http://schemas.microsoft.com/office/drawing/2014/main" id="{3A7BF0DF-8E82-4BB1-A1E8-1341DC18C8E6}"/>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102671</xdr:rowOff>
    </xdr:from>
    <xdr:to>
      <xdr:col>5</xdr:col>
      <xdr:colOff>102160</xdr:colOff>
      <xdr:row>213</xdr:row>
      <xdr:rowOff>152911</xdr:rowOff>
    </xdr:to>
    <xdr:sp macro="" textlink="">
      <xdr:nvSpPr>
        <xdr:cNvPr id="1111" name="Text Box 339" hidden="1">
          <a:extLst>
            <a:ext uri="{FF2B5EF4-FFF2-40B4-BE49-F238E27FC236}">
              <a16:creationId xmlns:a16="http://schemas.microsoft.com/office/drawing/2014/main" id="{23B735B5-C79A-4A91-B56B-477DE7DF6913}"/>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64</xdr:row>
      <xdr:rowOff>64508</xdr:rowOff>
    </xdr:to>
    <xdr:sp macro="" textlink="">
      <xdr:nvSpPr>
        <xdr:cNvPr id="1112" name="Text Box 338" hidden="1">
          <a:extLst>
            <a:ext uri="{FF2B5EF4-FFF2-40B4-BE49-F238E27FC236}">
              <a16:creationId xmlns:a16="http://schemas.microsoft.com/office/drawing/2014/main" id="{0E142240-D8A5-496A-A66E-2E3001326BB3}"/>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9566</xdr:rowOff>
    </xdr:from>
    <xdr:to>
      <xdr:col>5</xdr:col>
      <xdr:colOff>121210</xdr:colOff>
      <xdr:row>86</xdr:row>
      <xdr:rowOff>84748</xdr:rowOff>
    </xdr:to>
    <xdr:sp macro="" textlink="">
      <xdr:nvSpPr>
        <xdr:cNvPr id="1113" name="Text Box 337" hidden="1">
          <a:extLst>
            <a:ext uri="{FF2B5EF4-FFF2-40B4-BE49-F238E27FC236}">
              <a16:creationId xmlns:a16="http://schemas.microsoft.com/office/drawing/2014/main" id="{CD1DF71C-EAC6-49F9-BED5-38B741F01037}"/>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85</xdr:row>
      <xdr:rowOff>480</xdr:rowOff>
    </xdr:to>
    <xdr:sp macro="" textlink="">
      <xdr:nvSpPr>
        <xdr:cNvPr id="1114" name="Text Box 336" hidden="1">
          <a:extLst>
            <a:ext uri="{FF2B5EF4-FFF2-40B4-BE49-F238E27FC236}">
              <a16:creationId xmlns:a16="http://schemas.microsoft.com/office/drawing/2014/main" id="{BA930F68-348B-41CF-ACC9-F309E0345962}"/>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83558</xdr:rowOff>
    </xdr:from>
    <xdr:to>
      <xdr:col>5</xdr:col>
      <xdr:colOff>102160</xdr:colOff>
      <xdr:row>85</xdr:row>
      <xdr:rowOff>31053</xdr:rowOff>
    </xdr:to>
    <xdr:sp macro="" textlink="">
      <xdr:nvSpPr>
        <xdr:cNvPr id="1115" name="Text Box 335" hidden="1">
          <a:extLst>
            <a:ext uri="{FF2B5EF4-FFF2-40B4-BE49-F238E27FC236}">
              <a16:creationId xmlns:a16="http://schemas.microsoft.com/office/drawing/2014/main" id="{05ED14FD-84C5-44AA-8DA2-A1E7968CEE92}"/>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34934</xdr:rowOff>
    </xdr:from>
    <xdr:to>
      <xdr:col>5</xdr:col>
      <xdr:colOff>102160</xdr:colOff>
      <xdr:row>87</xdr:row>
      <xdr:rowOff>93575</xdr:rowOff>
    </xdr:to>
    <xdr:sp macro="" textlink="">
      <xdr:nvSpPr>
        <xdr:cNvPr id="1116" name="Text Box 334" hidden="1">
          <a:extLst>
            <a:ext uri="{FF2B5EF4-FFF2-40B4-BE49-F238E27FC236}">
              <a16:creationId xmlns:a16="http://schemas.microsoft.com/office/drawing/2014/main" id="{491ED288-6A9C-4726-BAB8-0AB30F28E7B1}"/>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64375</xdr:rowOff>
    </xdr:from>
    <xdr:to>
      <xdr:col>5</xdr:col>
      <xdr:colOff>102160</xdr:colOff>
      <xdr:row>96</xdr:row>
      <xdr:rowOff>87088</xdr:rowOff>
    </xdr:to>
    <xdr:sp macro="" textlink="">
      <xdr:nvSpPr>
        <xdr:cNvPr id="1117" name="Text Box 333" hidden="1">
          <a:extLst>
            <a:ext uri="{FF2B5EF4-FFF2-40B4-BE49-F238E27FC236}">
              <a16:creationId xmlns:a16="http://schemas.microsoft.com/office/drawing/2014/main" id="{83CDA330-21B2-42BF-8828-2610F2A187D1}"/>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480</xdr:rowOff>
    </xdr:from>
    <xdr:to>
      <xdr:col>5</xdr:col>
      <xdr:colOff>102160</xdr:colOff>
      <xdr:row>95</xdr:row>
      <xdr:rowOff>63859</xdr:rowOff>
    </xdr:to>
    <xdr:sp macro="" textlink="">
      <xdr:nvSpPr>
        <xdr:cNvPr id="1118" name="Text Box 332" hidden="1">
          <a:extLst>
            <a:ext uri="{FF2B5EF4-FFF2-40B4-BE49-F238E27FC236}">
              <a16:creationId xmlns:a16="http://schemas.microsoft.com/office/drawing/2014/main" id="{EF7DE4A5-B86C-4E6D-811D-C1CF21B521C8}"/>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124451</xdr:rowOff>
    </xdr:from>
    <xdr:to>
      <xdr:col>5</xdr:col>
      <xdr:colOff>102160</xdr:colOff>
      <xdr:row>95</xdr:row>
      <xdr:rowOff>146015</xdr:rowOff>
    </xdr:to>
    <xdr:sp macro="" textlink="">
      <xdr:nvSpPr>
        <xdr:cNvPr id="1119" name="Text Box 331" hidden="1">
          <a:extLst>
            <a:ext uri="{FF2B5EF4-FFF2-40B4-BE49-F238E27FC236}">
              <a16:creationId xmlns:a16="http://schemas.microsoft.com/office/drawing/2014/main" id="{68A2BBAF-1E1A-40A1-857A-64A7BC86789A}"/>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154038</xdr:rowOff>
    </xdr:from>
    <xdr:to>
      <xdr:col>5</xdr:col>
      <xdr:colOff>102160</xdr:colOff>
      <xdr:row>97</xdr:row>
      <xdr:rowOff>153998</xdr:rowOff>
    </xdr:to>
    <xdr:sp macro="" textlink="">
      <xdr:nvSpPr>
        <xdr:cNvPr id="1120" name="Text Box 330" hidden="1">
          <a:extLst>
            <a:ext uri="{FF2B5EF4-FFF2-40B4-BE49-F238E27FC236}">
              <a16:creationId xmlns:a16="http://schemas.microsoft.com/office/drawing/2014/main" id="{3DC0DCB3-8128-4292-8294-66C72F2ADC84}"/>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102160</xdr:colOff>
      <xdr:row>118</xdr:row>
      <xdr:rowOff>21975</xdr:rowOff>
    </xdr:to>
    <xdr:sp macro="" textlink="">
      <xdr:nvSpPr>
        <xdr:cNvPr id="1121" name="Text Box 329" hidden="1">
          <a:extLst>
            <a:ext uri="{FF2B5EF4-FFF2-40B4-BE49-F238E27FC236}">
              <a16:creationId xmlns:a16="http://schemas.microsoft.com/office/drawing/2014/main" id="{C7236016-A471-43DC-986C-F8341857E41E}"/>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102160</xdr:colOff>
      <xdr:row>116</xdr:row>
      <xdr:rowOff>84437</xdr:rowOff>
    </xdr:to>
    <xdr:sp macro="" textlink="">
      <xdr:nvSpPr>
        <xdr:cNvPr id="1122" name="Text Box 328" hidden="1">
          <a:extLst>
            <a:ext uri="{FF2B5EF4-FFF2-40B4-BE49-F238E27FC236}">
              <a16:creationId xmlns:a16="http://schemas.microsoft.com/office/drawing/2014/main" id="{B46A5A8D-FBD4-4BB0-80BB-163A2DFEDC4A}"/>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102160</xdr:colOff>
      <xdr:row>115</xdr:row>
      <xdr:rowOff>132247</xdr:rowOff>
    </xdr:to>
    <xdr:sp macro="" textlink="">
      <xdr:nvSpPr>
        <xdr:cNvPr id="1123" name="Text Box 327" hidden="1">
          <a:extLst>
            <a:ext uri="{FF2B5EF4-FFF2-40B4-BE49-F238E27FC236}">
              <a16:creationId xmlns:a16="http://schemas.microsoft.com/office/drawing/2014/main" id="{73F1AB2F-5479-4AD9-8F72-2D2EEE42739F}"/>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83225</xdr:rowOff>
    </xdr:from>
    <xdr:to>
      <xdr:col>5</xdr:col>
      <xdr:colOff>102160</xdr:colOff>
      <xdr:row>115</xdr:row>
      <xdr:rowOff>199662</xdr:rowOff>
    </xdr:to>
    <xdr:sp macro="" textlink="">
      <xdr:nvSpPr>
        <xdr:cNvPr id="1124" name="Text Box 326" hidden="1">
          <a:extLst>
            <a:ext uri="{FF2B5EF4-FFF2-40B4-BE49-F238E27FC236}">
              <a16:creationId xmlns:a16="http://schemas.microsoft.com/office/drawing/2014/main" id="{9D07605D-AAFA-44B2-AE76-CA63CA7F03D3}"/>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10891</xdr:rowOff>
    </xdr:from>
    <xdr:to>
      <xdr:col>21</xdr:col>
      <xdr:colOff>254522</xdr:colOff>
      <xdr:row>138</xdr:row>
      <xdr:rowOff>28617</xdr:rowOff>
    </xdr:to>
    <xdr:sp macro="" textlink="">
      <xdr:nvSpPr>
        <xdr:cNvPr id="1125" name="Text Box 325" hidden="1">
          <a:extLst>
            <a:ext uri="{FF2B5EF4-FFF2-40B4-BE49-F238E27FC236}">
              <a16:creationId xmlns:a16="http://schemas.microsoft.com/office/drawing/2014/main" id="{ED3D6987-7861-451D-A103-B182BDCED01B}"/>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239059</xdr:rowOff>
    </xdr:to>
    <xdr:sp macro="" textlink="">
      <xdr:nvSpPr>
        <xdr:cNvPr id="1126" name="Text Box 324" hidden="1">
          <a:extLst>
            <a:ext uri="{FF2B5EF4-FFF2-40B4-BE49-F238E27FC236}">
              <a16:creationId xmlns:a16="http://schemas.microsoft.com/office/drawing/2014/main" id="{A2BB4EFA-6CD9-4DC1-8A96-175ABDD779E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127" name="Text Box 323" hidden="1">
          <a:extLst>
            <a:ext uri="{FF2B5EF4-FFF2-40B4-BE49-F238E27FC236}">
              <a16:creationId xmlns:a16="http://schemas.microsoft.com/office/drawing/2014/main" id="{7CDE6338-F51B-4BEC-91E4-B83081C65C8D}"/>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28617</xdr:rowOff>
    </xdr:from>
    <xdr:to>
      <xdr:col>22</xdr:col>
      <xdr:colOff>425971</xdr:colOff>
      <xdr:row>141</xdr:row>
      <xdr:rowOff>164845</xdr:rowOff>
    </xdr:to>
    <xdr:sp macro="" textlink="">
      <xdr:nvSpPr>
        <xdr:cNvPr id="1128" name="Text Box 322" hidden="1">
          <a:extLst>
            <a:ext uri="{FF2B5EF4-FFF2-40B4-BE49-F238E27FC236}">
              <a16:creationId xmlns:a16="http://schemas.microsoft.com/office/drawing/2014/main" id="{E76B8404-FED4-47D6-A986-6C71E5125A17}"/>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38</xdr:row>
      <xdr:rowOff>50426</xdr:rowOff>
    </xdr:from>
    <xdr:to>
      <xdr:col>11</xdr:col>
      <xdr:colOff>639676</xdr:colOff>
      <xdr:row>43</xdr:row>
      <xdr:rowOff>999</xdr:rowOff>
    </xdr:to>
    <xdr:sp macro="" textlink="">
      <xdr:nvSpPr>
        <xdr:cNvPr id="1129" name="Text Box 321" hidden="1">
          <a:extLst>
            <a:ext uri="{FF2B5EF4-FFF2-40B4-BE49-F238E27FC236}">
              <a16:creationId xmlns:a16="http://schemas.microsoft.com/office/drawing/2014/main" id="{0AC6325C-F7B5-408A-BDB1-089944CA769B}"/>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334309</xdr:rowOff>
    </xdr:to>
    <xdr:sp macro="" textlink="">
      <xdr:nvSpPr>
        <xdr:cNvPr id="1130" name="Text Box 320" hidden="1">
          <a:extLst>
            <a:ext uri="{FF2B5EF4-FFF2-40B4-BE49-F238E27FC236}">
              <a16:creationId xmlns:a16="http://schemas.microsoft.com/office/drawing/2014/main" id="{6E0DC97F-37D3-4E2E-B5A1-B10D0D410A2A}"/>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131" name="Text Box 319" hidden="1">
          <a:extLst>
            <a:ext uri="{FF2B5EF4-FFF2-40B4-BE49-F238E27FC236}">
              <a16:creationId xmlns:a16="http://schemas.microsoft.com/office/drawing/2014/main" id="{93F74B20-922A-4FFE-BE5B-6BCC92B7958A}"/>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28617</xdr:rowOff>
    </xdr:from>
    <xdr:to>
      <xdr:col>24</xdr:col>
      <xdr:colOff>464072</xdr:colOff>
      <xdr:row>142</xdr:row>
      <xdr:rowOff>76506</xdr:rowOff>
    </xdr:to>
    <xdr:sp macro="" textlink="">
      <xdr:nvSpPr>
        <xdr:cNvPr id="1132" name="Text Box 318" hidden="1">
          <a:extLst>
            <a:ext uri="{FF2B5EF4-FFF2-40B4-BE49-F238E27FC236}">
              <a16:creationId xmlns:a16="http://schemas.microsoft.com/office/drawing/2014/main" id="{B34003B5-99F4-4A05-AE47-8A28F5123454}"/>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23</xdr:row>
      <xdr:rowOff>296209</xdr:rowOff>
    </xdr:to>
    <xdr:sp macro="" textlink="">
      <xdr:nvSpPr>
        <xdr:cNvPr id="1133" name="Text Box 317" hidden="1">
          <a:extLst>
            <a:ext uri="{FF2B5EF4-FFF2-40B4-BE49-F238E27FC236}">
              <a16:creationId xmlns:a16="http://schemas.microsoft.com/office/drawing/2014/main" id="{56267907-F43F-4E48-BEC4-64C55DC5ADCC}"/>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69477</xdr:rowOff>
    </xdr:from>
    <xdr:to>
      <xdr:col>25</xdr:col>
      <xdr:colOff>464072</xdr:colOff>
      <xdr:row>35</xdr:row>
      <xdr:rowOff>50426</xdr:rowOff>
    </xdr:to>
    <xdr:sp macro="" textlink="">
      <xdr:nvSpPr>
        <xdr:cNvPr id="1134" name="Text Box 316" hidden="1">
          <a:extLst>
            <a:ext uri="{FF2B5EF4-FFF2-40B4-BE49-F238E27FC236}">
              <a16:creationId xmlns:a16="http://schemas.microsoft.com/office/drawing/2014/main" id="{C3D223AE-806B-4E5B-AAA1-AB096941C77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30734</xdr:rowOff>
    </xdr:from>
    <xdr:to>
      <xdr:col>25</xdr:col>
      <xdr:colOff>464072</xdr:colOff>
      <xdr:row>142</xdr:row>
      <xdr:rowOff>60166</xdr:rowOff>
    </xdr:to>
    <xdr:sp macro="" textlink="">
      <xdr:nvSpPr>
        <xdr:cNvPr id="1135" name="Text Box 315" hidden="1">
          <a:extLst>
            <a:ext uri="{FF2B5EF4-FFF2-40B4-BE49-F238E27FC236}">
              <a16:creationId xmlns:a16="http://schemas.microsoft.com/office/drawing/2014/main" id="{2177FEE6-0BA3-496D-A0DA-E6AF2CF87FE0}"/>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42</xdr:row>
      <xdr:rowOff>31376</xdr:rowOff>
    </xdr:from>
    <xdr:to>
      <xdr:col>11</xdr:col>
      <xdr:colOff>734926</xdr:colOff>
      <xdr:row>46</xdr:row>
      <xdr:rowOff>69476</xdr:rowOff>
    </xdr:to>
    <xdr:sp macro="" textlink="">
      <xdr:nvSpPr>
        <xdr:cNvPr id="1136" name="Text Box 314" hidden="1">
          <a:extLst>
            <a:ext uri="{FF2B5EF4-FFF2-40B4-BE49-F238E27FC236}">
              <a16:creationId xmlns:a16="http://schemas.microsoft.com/office/drawing/2014/main" id="{AB19A278-F3B9-4D1F-862E-B244ADCE968C}"/>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42</xdr:row>
      <xdr:rowOff>31376</xdr:rowOff>
    </xdr:from>
    <xdr:to>
      <xdr:col>13</xdr:col>
      <xdr:colOff>507975</xdr:colOff>
      <xdr:row>46</xdr:row>
      <xdr:rowOff>69476</xdr:rowOff>
    </xdr:to>
    <xdr:sp macro="" textlink="">
      <xdr:nvSpPr>
        <xdr:cNvPr id="1137" name="Text Box 313" hidden="1">
          <a:extLst>
            <a:ext uri="{FF2B5EF4-FFF2-40B4-BE49-F238E27FC236}">
              <a16:creationId xmlns:a16="http://schemas.microsoft.com/office/drawing/2014/main" id="{287E8571-AEF6-4CAF-B3FE-29313B11F32A}"/>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1138" name="Text Box 382" hidden="1">
          <a:extLst>
            <a:ext uri="{FF2B5EF4-FFF2-40B4-BE49-F238E27FC236}">
              <a16:creationId xmlns:a16="http://schemas.microsoft.com/office/drawing/2014/main" id="{F76B1569-BE87-450C-93F9-8518CC550B8D}"/>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102160</xdr:colOff>
      <xdr:row>238</xdr:row>
      <xdr:rowOff>152912</xdr:rowOff>
    </xdr:to>
    <xdr:sp macro="" textlink="">
      <xdr:nvSpPr>
        <xdr:cNvPr id="1139" name="Text Box 381" hidden="1">
          <a:extLst>
            <a:ext uri="{FF2B5EF4-FFF2-40B4-BE49-F238E27FC236}">
              <a16:creationId xmlns:a16="http://schemas.microsoft.com/office/drawing/2014/main" id="{0CDA0482-1795-4327-9519-7FB8F833F884}"/>
            </a:ext>
          </a:extLst>
        </xdr:cNvPr>
        <xdr:cNvSpPr txBox="1">
          <a:spLocks noChangeArrowheads="1"/>
        </xdr:cNvSpPr>
      </xdr:nvSpPr>
      <xdr:spPr bwMode="auto">
        <a:xfrm>
          <a:off x="3981263" y="4261536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102671</xdr:rowOff>
    </xdr:from>
    <xdr:to>
      <xdr:col>5</xdr:col>
      <xdr:colOff>102160</xdr:colOff>
      <xdr:row>238</xdr:row>
      <xdr:rowOff>58962</xdr:rowOff>
    </xdr:to>
    <xdr:sp macro="" textlink="">
      <xdr:nvSpPr>
        <xdr:cNvPr id="1140" name="Text Box 380" hidden="1">
          <a:extLst>
            <a:ext uri="{FF2B5EF4-FFF2-40B4-BE49-F238E27FC236}">
              <a16:creationId xmlns:a16="http://schemas.microsoft.com/office/drawing/2014/main" id="{B729DDF2-1139-4A3F-AAEF-055A2675D337}"/>
            </a:ext>
          </a:extLst>
        </xdr:cNvPr>
        <xdr:cNvSpPr txBox="1">
          <a:spLocks noChangeArrowheads="1"/>
        </xdr:cNvSpPr>
      </xdr:nvSpPr>
      <xdr:spPr bwMode="auto">
        <a:xfrm>
          <a:off x="3981263" y="42927071"/>
          <a:ext cx="1312022" cy="3756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102672</xdr:rowOff>
    </xdr:from>
    <xdr:to>
      <xdr:col>5</xdr:col>
      <xdr:colOff>102160</xdr:colOff>
      <xdr:row>239</xdr:row>
      <xdr:rowOff>152913</xdr:rowOff>
    </xdr:to>
    <xdr:sp macro="" textlink="">
      <xdr:nvSpPr>
        <xdr:cNvPr id="1141" name="Text Box 379" hidden="1">
          <a:extLst>
            <a:ext uri="{FF2B5EF4-FFF2-40B4-BE49-F238E27FC236}">
              <a16:creationId xmlns:a16="http://schemas.microsoft.com/office/drawing/2014/main" id="{89691626-18D6-49E0-8AB7-A8339B03AEB1}"/>
            </a:ext>
          </a:extLst>
        </xdr:cNvPr>
        <xdr:cNvSpPr txBox="1">
          <a:spLocks noChangeArrowheads="1"/>
        </xdr:cNvSpPr>
      </xdr:nvSpPr>
      <xdr:spPr bwMode="auto">
        <a:xfrm>
          <a:off x="3981263" y="43469997"/>
          <a:ext cx="1312022" cy="348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227</xdr:row>
      <xdr:rowOff>58961</xdr:rowOff>
    </xdr:to>
    <xdr:sp macro="" textlink="">
      <xdr:nvSpPr>
        <xdr:cNvPr id="1142" name="Text Box 378" hidden="1">
          <a:extLst>
            <a:ext uri="{FF2B5EF4-FFF2-40B4-BE49-F238E27FC236}">
              <a16:creationId xmlns:a16="http://schemas.microsoft.com/office/drawing/2014/main" id="{E8D86202-E056-4030-AB1A-E535DE472AD6}"/>
            </a:ext>
          </a:extLst>
        </xdr:cNvPr>
        <xdr:cNvSpPr txBox="1">
          <a:spLocks noChangeArrowheads="1"/>
        </xdr:cNvSpPr>
      </xdr:nvSpPr>
      <xdr:spPr bwMode="auto">
        <a:xfrm>
          <a:off x="3981263" y="43650971"/>
          <a:ext cx="1312022" cy="1042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102160</xdr:colOff>
      <xdr:row>204</xdr:row>
      <xdr:rowOff>58961</xdr:rowOff>
    </xdr:to>
    <xdr:sp macro="" textlink="">
      <xdr:nvSpPr>
        <xdr:cNvPr id="1143" name="Text Box 377" hidden="1">
          <a:extLst>
            <a:ext uri="{FF2B5EF4-FFF2-40B4-BE49-F238E27FC236}">
              <a16:creationId xmlns:a16="http://schemas.microsoft.com/office/drawing/2014/main" id="{CA10B2F7-5688-4E4C-8218-A1998283ECD1}"/>
            </a:ext>
          </a:extLst>
        </xdr:cNvPr>
        <xdr:cNvSpPr txBox="1">
          <a:spLocks noChangeArrowheads="1"/>
        </xdr:cNvSpPr>
      </xdr:nvSpPr>
      <xdr:spPr bwMode="auto">
        <a:xfrm>
          <a:off x="3981263" y="39406790"/>
          <a:ext cx="1312022" cy="1123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102671</xdr:rowOff>
    </xdr:from>
    <xdr:to>
      <xdr:col>5</xdr:col>
      <xdr:colOff>102160</xdr:colOff>
      <xdr:row>205</xdr:row>
      <xdr:rowOff>152912</xdr:rowOff>
    </xdr:to>
    <xdr:sp macro="" textlink="">
      <xdr:nvSpPr>
        <xdr:cNvPr id="1144" name="Text Box 376" hidden="1">
          <a:extLst>
            <a:ext uri="{FF2B5EF4-FFF2-40B4-BE49-F238E27FC236}">
              <a16:creationId xmlns:a16="http://schemas.microsoft.com/office/drawing/2014/main" id="{76684FA2-D60C-4C94-9450-43A9C325A084}"/>
            </a:ext>
          </a:extLst>
        </xdr:cNvPr>
        <xdr:cNvSpPr txBox="1">
          <a:spLocks noChangeArrowheads="1"/>
        </xdr:cNvSpPr>
      </xdr:nvSpPr>
      <xdr:spPr bwMode="auto">
        <a:xfrm>
          <a:off x="3981263" y="39850496"/>
          <a:ext cx="1312022" cy="95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102673</xdr:rowOff>
    </xdr:from>
    <xdr:to>
      <xdr:col>5</xdr:col>
      <xdr:colOff>102160</xdr:colOff>
      <xdr:row>206</xdr:row>
      <xdr:rowOff>152912</xdr:rowOff>
    </xdr:to>
    <xdr:sp macro="" textlink="">
      <xdr:nvSpPr>
        <xdr:cNvPr id="1145" name="Text Box 375" hidden="1">
          <a:extLst>
            <a:ext uri="{FF2B5EF4-FFF2-40B4-BE49-F238E27FC236}">
              <a16:creationId xmlns:a16="http://schemas.microsoft.com/office/drawing/2014/main" id="{3E4023FB-1CCF-4B8F-AC32-0BFC501E5653}"/>
            </a:ext>
          </a:extLst>
        </xdr:cNvPr>
        <xdr:cNvSpPr txBox="1">
          <a:spLocks noChangeArrowheads="1"/>
        </xdr:cNvSpPr>
      </xdr:nvSpPr>
      <xdr:spPr bwMode="auto">
        <a:xfrm>
          <a:off x="3981263" y="40212448"/>
          <a:ext cx="1312022" cy="774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102671</xdr:rowOff>
    </xdr:from>
    <xdr:to>
      <xdr:col>5</xdr:col>
      <xdr:colOff>102160</xdr:colOff>
      <xdr:row>213</xdr:row>
      <xdr:rowOff>152911</xdr:rowOff>
    </xdr:to>
    <xdr:sp macro="" textlink="">
      <xdr:nvSpPr>
        <xdr:cNvPr id="1146" name="Text Box 374" hidden="1">
          <a:extLst>
            <a:ext uri="{FF2B5EF4-FFF2-40B4-BE49-F238E27FC236}">
              <a16:creationId xmlns:a16="http://schemas.microsoft.com/office/drawing/2014/main" id="{A4690A13-5D65-4658-95A5-EECDBD14A9ED}"/>
            </a:ext>
          </a:extLst>
        </xdr:cNvPr>
        <xdr:cNvSpPr txBox="1">
          <a:spLocks noChangeArrowheads="1"/>
        </xdr:cNvSpPr>
      </xdr:nvSpPr>
      <xdr:spPr bwMode="auto">
        <a:xfrm>
          <a:off x="3981263" y="40574396"/>
          <a:ext cx="1312022" cy="16790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64</xdr:row>
      <xdr:rowOff>64508</xdr:rowOff>
    </xdr:to>
    <xdr:sp macro="" textlink="">
      <xdr:nvSpPr>
        <xdr:cNvPr id="1147" name="Text Box 373" hidden="1">
          <a:extLst>
            <a:ext uri="{FF2B5EF4-FFF2-40B4-BE49-F238E27FC236}">
              <a16:creationId xmlns:a16="http://schemas.microsoft.com/office/drawing/2014/main" id="{E242B5BF-15C3-46A9-8ECB-B6A6C8E4A12E}"/>
            </a:ext>
          </a:extLst>
        </xdr:cNvPr>
        <xdr:cNvSpPr txBox="1">
          <a:spLocks noChangeArrowheads="1"/>
        </xdr:cNvSpPr>
      </xdr:nvSpPr>
      <xdr:spPr bwMode="auto">
        <a:xfrm>
          <a:off x="3981263" y="14313908"/>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9566</xdr:rowOff>
    </xdr:from>
    <xdr:to>
      <xdr:col>5</xdr:col>
      <xdr:colOff>121210</xdr:colOff>
      <xdr:row>86</xdr:row>
      <xdr:rowOff>84748</xdr:rowOff>
    </xdr:to>
    <xdr:sp macro="" textlink="">
      <xdr:nvSpPr>
        <xdr:cNvPr id="1148" name="Text Box 372" hidden="1">
          <a:extLst>
            <a:ext uri="{FF2B5EF4-FFF2-40B4-BE49-F238E27FC236}">
              <a16:creationId xmlns:a16="http://schemas.microsoft.com/office/drawing/2014/main" id="{054A35EC-2A50-4BE2-A280-3042C9393D07}"/>
            </a:ext>
          </a:extLst>
        </xdr:cNvPr>
        <xdr:cNvSpPr txBox="1">
          <a:spLocks noChangeArrowheads="1"/>
        </xdr:cNvSpPr>
      </xdr:nvSpPr>
      <xdr:spPr bwMode="auto">
        <a:xfrm>
          <a:off x="4000313" y="14620916"/>
          <a:ext cx="1312022" cy="40756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85</xdr:row>
      <xdr:rowOff>480</xdr:rowOff>
    </xdr:to>
    <xdr:sp macro="" textlink="">
      <xdr:nvSpPr>
        <xdr:cNvPr id="1149" name="Text Box 371" hidden="1">
          <a:extLst>
            <a:ext uri="{FF2B5EF4-FFF2-40B4-BE49-F238E27FC236}">
              <a16:creationId xmlns:a16="http://schemas.microsoft.com/office/drawing/2014/main" id="{3BE45EFD-FDE2-4C69-9053-E6FD5DBCC3E2}"/>
            </a:ext>
          </a:extLst>
        </xdr:cNvPr>
        <xdr:cNvSpPr txBox="1">
          <a:spLocks noChangeArrowheads="1"/>
        </xdr:cNvSpPr>
      </xdr:nvSpPr>
      <xdr:spPr bwMode="auto">
        <a:xfrm>
          <a:off x="3981263" y="14313908"/>
          <a:ext cx="1312022" cy="41174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83558</xdr:rowOff>
    </xdr:from>
    <xdr:to>
      <xdr:col>5</xdr:col>
      <xdr:colOff>102160</xdr:colOff>
      <xdr:row>85</xdr:row>
      <xdr:rowOff>31053</xdr:rowOff>
    </xdr:to>
    <xdr:sp macro="" textlink="">
      <xdr:nvSpPr>
        <xdr:cNvPr id="1150" name="Text Box 370" hidden="1">
          <a:extLst>
            <a:ext uri="{FF2B5EF4-FFF2-40B4-BE49-F238E27FC236}">
              <a16:creationId xmlns:a16="http://schemas.microsoft.com/office/drawing/2014/main" id="{6EAD59FC-FDA2-4319-AF50-1E2E74ED6BDA}"/>
            </a:ext>
          </a:extLst>
        </xdr:cNvPr>
        <xdr:cNvSpPr txBox="1">
          <a:spLocks noChangeArrowheads="1"/>
        </xdr:cNvSpPr>
      </xdr:nvSpPr>
      <xdr:spPr bwMode="auto">
        <a:xfrm>
          <a:off x="3981263" y="14332958"/>
          <a:ext cx="1312022" cy="41289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34934</xdr:rowOff>
    </xdr:from>
    <xdr:to>
      <xdr:col>5</xdr:col>
      <xdr:colOff>102160</xdr:colOff>
      <xdr:row>87</xdr:row>
      <xdr:rowOff>93575</xdr:rowOff>
    </xdr:to>
    <xdr:sp macro="" textlink="">
      <xdr:nvSpPr>
        <xdr:cNvPr id="1151" name="Text Box 369" hidden="1">
          <a:extLst>
            <a:ext uri="{FF2B5EF4-FFF2-40B4-BE49-F238E27FC236}">
              <a16:creationId xmlns:a16="http://schemas.microsoft.com/office/drawing/2014/main" id="{658705F4-0231-4C09-8D8F-A2CD6325BFDA}"/>
            </a:ext>
          </a:extLst>
        </xdr:cNvPr>
        <xdr:cNvSpPr txBox="1">
          <a:spLocks noChangeArrowheads="1"/>
        </xdr:cNvSpPr>
      </xdr:nvSpPr>
      <xdr:spPr bwMode="auto">
        <a:xfrm>
          <a:off x="3981263" y="15487659"/>
          <a:ext cx="1312022" cy="359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64375</xdr:rowOff>
    </xdr:from>
    <xdr:to>
      <xdr:col>5</xdr:col>
      <xdr:colOff>102160</xdr:colOff>
      <xdr:row>96</xdr:row>
      <xdr:rowOff>87088</xdr:rowOff>
    </xdr:to>
    <xdr:sp macro="" textlink="">
      <xdr:nvSpPr>
        <xdr:cNvPr id="1152" name="Text Box 368" hidden="1">
          <a:extLst>
            <a:ext uri="{FF2B5EF4-FFF2-40B4-BE49-F238E27FC236}">
              <a16:creationId xmlns:a16="http://schemas.microsoft.com/office/drawing/2014/main" id="{960C6A1D-41DC-4877-A1BA-43E4FA0CB2E7}"/>
            </a:ext>
          </a:extLst>
        </xdr:cNvPr>
        <xdr:cNvSpPr txBox="1">
          <a:spLocks noChangeArrowheads="1"/>
        </xdr:cNvSpPr>
      </xdr:nvSpPr>
      <xdr:spPr bwMode="auto">
        <a:xfrm>
          <a:off x="3981263" y="18314275"/>
          <a:ext cx="1312022" cy="23912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480</xdr:rowOff>
    </xdr:from>
    <xdr:to>
      <xdr:col>5</xdr:col>
      <xdr:colOff>102160</xdr:colOff>
      <xdr:row>95</xdr:row>
      <xdr:rowOff>63859</xdr:rowOff>
    </xdr:to>
    <xdr:sp macro="" textlink="">
      <xdr:nvSpPr>
        <xdr:cNvPr id="1153" name="Text Box 367" hidden="1">
          <a:extLst>
            <a:ext uri="{FF2B5EF4-FFF2-40B4-BE49-F238E27FC236}">
              <a16:creationId xmlns:a16="http://schemas.microsoft.com/office/drawing/2014/main" id="{0C7699F0-DC2F-4F09-9EAC-8DCF225C6F54}"/>
            </a:ext>
          </a:extLst>
        </xdr:cNvPr>
        <xdr:cNvSpPr txBox="1">
          <a:spLocks noChangeArrowheads="1"/>
        </xdr:cNvSpPr>
      </xdr:nvSpPr>
      <xdr:spPr bwMode="auto">
        <a:xfrm>
          <a:off x="3981263" y="18431355"/>
          <a:ext cx="1312022" cy="20763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124451</xdr:rowOff>
    </xdr:from>
    <xdr:to>
      <xdr:col>5</xdr:col>
      <xdr:colOff>102160</xdr:colOff>
      <xdr:row>95</xdr:row>
      <xdr:rowOff>146015</xdr:rowOff>
    </xdr:to>
    <xdr:sp macro="" textlink="">
      <xdr:nvSpPr>
        <xdr:cNvPr id="1154" name="Text Box 366" hidden="1">
          <a:extLst>
            <a:ext uri="{FF2B5EF4-FFF2-40B4-BE49-F238E27FC236}">
              <a16:creationId xmlns:a16="http://schemas.microsoft.com/office/drawing/2014/main" id="{3221F42C-B315-4DE1-90A7-61A32F239C87}"/>
            </a:ext>
          </a:extLst>
        </xdr:cNvPr>
        <xdr:cNvSpPr txBox="1">
          <a:spLocks noChangeArrowheads="1"/>
        </xdr:cNvSpPr>
      </xdr:nvSpPr>
      <xdr:spPr bwMode="auto">
        <a:xfrm>
          <a:off x="3981263" y="18552151"/>
          <a:ext cx="1312022" cy="2031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154038</xdr:rowOff>
    </xdr:from>
    <xdr:to>
      <xdr:col>5</xdr:col>
      <xdr:colOff>102160</xdr:colOff>
      <xdr:row>97</xdr:row>
      <xdr:rowOff>153998</xdr:rowOff>
    </xdr:to>
    <xdr:sp macro="" textlink="">
      <xdr:nvSpPr>
        <xdr:cNvPr id="1155" name="Text Box 365" hidden="1">
          <a:extLst>
            <a:ext uri="{FF2B5EF4-FFF2-40B4-BE49-F238E27FC236}">
              <a16:creationId xmlns:a16="http://schemas.microsoft.com/office/drawing/2014/main" id="{C3E23012-4C25-460A-A7FF-BF2FFA0B663D}"/>
            </a:ext>
          </a:extLst>
        </xdr:cNvPr>
        <xdr:cNvSpPr txBox="1">
          <a:spLocks noChangeArrowheads="1"/>
        </xdr:cNvSpPr>
      </xdr:nvSpPr>
      <xdr:spPr bwMode="auto">
        <a:xfrm>
          <a:off x="3981263" y="18762713"/>
          <a:ext cx="1312022" cy="2193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102160</xdr:colOff>
      <xdr:row>118</xdr:row>
      <xdr:rowOff>21975</xdr:rowOff>
    </xdr:to>
    <xdr:sp macro="" textlink="">
      <xdr:nvSpPr>
        <xdr:cNvPr id="1156" name="Text Box 364" hidden="1">
          <a:extLst>
            <a:ext uri="{FF2B5EF4-FFF2-40B4-BE49-F238E27FC236}">
              <a16:creationId xmlns:a16="http://schemas.microsoft.com/office/drawing/2014/main" id="{73EEC0CD-F765-41CE-9BBC-5DE466F5DBAC}"/>
            </a:ext>
          </a:extLst>
        </xdr:cNvPr>
        <xdr:cNvSpPr txBox="1">
          <a:spLocks noChangeArrowheads="1"/>
        </xdr:cNvSpPr>
      </xdr:nvSpPr>
      <xdr:spPr bwMode="auto">
        <a:xfrm>
          <a:off x="3981263" y="23079518"/>
          <a:ext cx="1312022" cy="1850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102160</xdr:colOff>
      <xdr:row>116</xdr:row>
      <xdr:rowOff>84437</xdr:rowOff>
    </xdr:to>
    <xdr:sp macro="" textlink="">
      <xdr:nvSpPr>
        <xdr:cNvPr id="1157" name="Text Box 363" hidden="1">
          <a:extLst>
            <a:ext uri="{FF2B5EF4-FFF2-40B4-BE49-F238E27FC236}">
              <a16:creationId xmlns:a16="http://schemas.microsoft.com/office/drawing/2014/main" id="{8BDA8FB3-C4F1-43A2-B9D5-18397088EB2C}"/>
            </a:ext>
          </a:extLst>
        </xdr:cNvPr>
        <xdr:cNvSpPr txBox="1">
          <a:spLocks noChangeArrowheads="1"/>
        </xdr:cNvSpPr>
      </xdr:nvSpPr>
      <xdr:spPr bwMode="auto">
        <a:xfrm>
          <a:off x="3981263" y="23317910"/>
          <a:ext cx="1312022" cy="13124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102160</xdr:colOff>
      <xdr:row>115</xdr:row>
      <xdr:rowOff>132247</xdr:rowOff>
    </xdr:to>
    <xdr:sp macro="" textlink="">
      <xdr:nvSpPr>
        <xdr:cNvPr id="1158" name="Text Box 362" hidden="1">
          <a:extLst>
            <a:ext uri="{FF2B5EF4-FFF2-40B4-BE49-F238E27FC236}">
              <a16:creationId xmlns:a16="http://schemas.microsoft.com/office/drawing/2014/main" id="{F6936FA2-C1A4-4B84-96D3-0A9CD3E5F36F}"/>
            </a:ext>
          </a:extLst>
        </xdr:cNvPr>
        <xdr:cNvSpPr txBox="1">
          <a:spLocks noChangeArrowheads="1"/>
        </xdr:cNvSpPr>
      </xdr:nvSpPr>
      <xdr:spPr bwMode="auto">
        <a:xfrm>
          <a:off x="3981263" y="23498089"/>
          <a:ext cx="1312022" cy="9419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83225</xdr:rowOff>
    </xdr:from>
    <xdr:to>
      <xdr:col>5</xdr:col>
      <xdr:colOff>102160</xdr:colOff>
      <xdr:row>115</xdr:row>
      <xdr:rowOff>199662</xdr:rowOff>
    </xdr:to>
    <xdr:sp macro="" textlink="">
      <xdr:nvSpPr>
        <xdr:cNvPr id="1159" name="Text Box 361" hidden="1">
          <a:extLst>
            <a:ext uri="{FF2B5EF4-FFF2-40B4-BE49-F238E27FC236}">
              <a16:creationId xmlns:a16="http://schemas.microsoft.com/office/drawing/2014/main" id="{3378DC3D-E19D-44D9-B6B3-B69E46F56821}"/>
            </a:ext>
          </a:extLst>
        </xdr:cNvPr>
        <xdr:cNvSpPr txBox="1">
          <a:spLocks noChangeArrowheads="1"/>
        </xdr:cNvSpPr>
      </xdr:nvSpPr>
      <xdr:spPr bwMode="auto">
        <a:xfrm>
          <a:off x="3981263" y="23486150"/>
          <a:ext cx="1312022" cy="10244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10891</xdr:rowOff>
    </xdr:from>
    <xdr:to>
      <xdr:col>21</xdr:col>
      <xdr:colOff>254522</xdr:colOff>
      <xdr:row>138</xdr:row>
      <xdr:rowOff>28617</xdr:rowOff>
    </xdr:to>
    <xdr:sp macro="" textlink="">
      <xdr:nvSpPr>
        <xdr:cNvPr id="1160" name="Text Box 360" hidden="1">
          <a:extLst>
            <a:ext uri="{FF2B5EF4-FFF2-40B4-BE49-F238E27FC236}">
              <a16:creationId xmlns:a16="http://schemas.microsoft.com/office/drawing/2014/main" id="{492BE01E-CF00-4A2E-A0AB-8BBB291B1873}"/>
            </a:ext>
          </a:extLst>
        </xdr:cNvPr>
        <xdr:cNvSpPr txBox="1">
          <a:spLocks noChangeArrowheads="1"/>
        </xdr:cNvSpPr>
      </xdr:nvSpPr>
      <xdr:spPr bwMode="auto">
        <a:xfrm>
          <a:off x="17513821" y="27814366"/>
          <a:ext cx="1333501" cy="7416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239059</xdr:rowOff>
    </xdr:to>
    <xdr:sp macro="" textlink="">
      <xdr:nvSpPr>
        <xdr:cNvPr id="1161" name="Text Box 359" hidden="1">
          <a:extLst>
            <a:ext uri="{FF2B5EF4-FFF2-40B4-BE49-F238E27FC236}">
              <a16:creationId xmlns:a16="http://schemas.microsoft.com/office/drawing/2014/main" id="{B55661AB-1206-4654-8179-668A83AE1EF1}"/>
            </a:ext>
          </a:extLst>
        </xdr:cNvPr>
        <xdr:cNvSpPr txBox="1">
          <a:spLocks noChangeArrowheads="1"/>
        </xdr:cNvSpPr>
      </xdr:nvSpPr>
      <xdr:spPr bwMode="auto">
        <a:xfrm>
          <a:off x="18332971" y="4565276"/>
          <a:ext cx="1447800" cy="72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162" name="Text Box 358" hidden="1">
          <a:extLst>
            <a:ext uri="{FF2B5EF4-FFF2-40B4-BE49-F238E27FC236}">
              <a16:creationId xmlns:a16="http://schemas.microsoft.com/office/drawing/2014/main" id="{93271EBE-84B5-48DD-BD05-12E2E1E359B6}"/>
            </a:ext>
          </a:extLst>
        </xdr:cNvPr>
        <xdr:cNvSpPr txBox="1">
          <a:spLocks noChangeArrowheads="1"/>
        </xdr:cNvSpPr>
      </xdr:nvSpPr>
      <xdr:spPr bwMode="auto">
        <a:xfrm>
          <a:off x="18332971" y="6546477"/>
          <a:ext cx="1447800"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28617</xdr:rowOff>
    </xdr:from>
    <xdr:to>
      <xdr:col>22</xdr:col>
      <xdr:colOff>425971</xdr:colOff>
      <xdr:row>141</xdr:row>
      <xdr:rowOff>164845</xdr:rowOff>
    </xdr:to>
    <xdr:sp macro="" textlink="">
      <xdr:nvSpPr>
        <xdr:cNvPr id="1163" name="Text Box 357" hidden="1">
          <a:extLst>
            <a:ext uri="{FF2B5EF4-FFF2-40B4-BE49-F238E27FC236}">
              <a16:creationId xmlns:a16="http://schemas.microsoft.com/office/drawing/2014/main" id="{EEFFCA0A-E3EF-48EE-AFC1-B9EA9CB4884D}"/>
            </a:ext>
          </a:extLst>
        </xdr:cNvPr>
        <xdr:cNvSpPr txBox="1">
          <a:spLocks noChangeArrowheads="1"/>
        </xdr:cNvSpPr>
      </xdr:nvSpPr>
      <xdr:spPr bwMode="auto">
        <a:xfrm>
          <a:off x="18332971" y="28555992"/>
          <a:ext cx="1447800" cy="6791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38</xdr:row>
      <xdr:rowOff>50426</xdr:rowOff>
    </xdr:from>
    <xdr:to>
      <xdr:col>11</xdr:col>
      <xdr:colOff>639676</xdr:colOff>
      <xdr:row>43</xdr:row>
      <xdr:rowOff>999</xdr:rowOff>
    </xdr:to>
    <xdr:sp macro="" textlink="">
      <xdr:nvSpPr>
        <xdr:cNvPr id="1164" name="Text Box 356" hidden="1">
          <a:extLst>
            <a:ext uri="{FF2B5EF4-FFF2-40B4-BE49-F238E27FC236}">
              <a16:creationId xmlns:a16="http://schemas.microsoft.com/office/drawing/2014/main" id="{1AB6DA79-86E6-48FE-B2EE-FA2711E5D95C}"/>
            </a:ext>
          </a:extLst>
        </xdr:cNvPr>
        <xdr:cNvSpPr txBox="1">
          <a:spLocks noChangeArrowheads="1"/>
        </xdr:cNvSpPr>
      </xdr:nvSpPr>
      <xdr:spPr bwMode="auto">
        <a:xfrm>
          <a:off x="9314696" y="8175251"/>
          <a:ext cx="1402430" cy="855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334309</xdr:rowOff>
    </xdr:to>
    <xdr:sp macro="" textlink="">
      <xdr:nvSpPr>
        <xdr:cNvPr id="1165" name="Text Box 355" hidden="1">
          <a:extLst>
            <a:ext uri="{FF2B5EF4-FFF2-40B4-BE49-F238E27FC236}">
              <a16:creationId xmlns:a16="http://schemas.microsoft.com/office/drawing/2014/main" id="{9FB06508-B4FD-4682-99EA-07A4429CC9A0}"/>
            </a:ext>
          </a:extLst>
        </xdr:cNvPr>
        <xdr:cNvSpPr txBox="1">
          <a:spLocks noChangeArrowheads="1"/>
        </xdr:cNvSpPr>
      </xdr:nvSpPr>
      <xdr:spPr bwMode="auto">
        <a:xfrm>
          <a:off x="19985832" y="4565276"/>
          <a:ext cx="1357040" cy="8236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166" name="Text Box 354" hidden="1">
          <a:extLst>
            <a:ext uri="{FF2B5EF4-FFF2-40B4-BE49-F238E27FC236}">
              <a16:creationId xmlns:a16="http://schemas.microsoft.com/office/drawing/2014/main" id="{CBA113AA-F3FA-4A78-8B5A-EC10BE012F20}"/>
            </a:ext>
          </a:extLst>
        </xdr:cNvPr>
        <xdr:cNvSpPr txBox="1">
          <a:spLocks noChangeArrowheads="1"/>
        </xdr:cNvSpPr>
      </xdr:nvSpPr>
      <xdr:spPr bwMode="auto">
        <a:xfrm>
          <a:off x="19985832" y="6546477"/>
          <a:ext cx="1357040" cy="1142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28617</xdr:rowOff>
    </xdr:from>
    <xdr:to>
      <xdr:col>24</xdr:col>
      <xdr:colOff>464072</xdr:colOff>
      <xdr:row>142</xdr:row>
      <xdr:rowOff>76506</xdr:rowOff>
    </xdr:to>
    <xdr:sp macro="" textlink="">
      <xdr:nvSpPr>
        <xdr:cNvPr id="1167" name="Text Box 353" hidden="1">
          <a:extLst>
            <a:ext uri="{FF2B5EF4-FFF2-40B4-BE49-F238E27FC236}">
              <a16:creationId xmlns:a16="http://schemas.microsoft.com/office/drawing/2014/main" id="{D57E4A7F-840E-4D17-811A-D63F1403E2E8}"/>
            </a:ext>
          </a:extLst>
        </xdr:cNvPr>
        <xdr:cNvSpPr txBox="1">
          <a:spLocks noChangeArrowheads="1"/>
        </xdr:cNvSpPr>
      </xdr:nvSpPr>
      <xdr:spPr bwMode="auto">
        <a:xfrm>
          <a:off x="19985832" y="28555992"/>
          <a:ext cx="1357040" cy="7717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23</xdr:row>
      <xdr:rowOff>296209</xdr:rowOff>
    </xdr:to>
    <xdr:sp macro="" textlink="">
      <xdr:nvSpPr>
        <xdr:cNvPr id="1168" name="Text Box 352" hidden="1">
          <a:extLst>
            <a:ext uri="{FF2B5EF4-FFF2-40B4-BE49-F238E27FC236}">
              <a16:creationId xmlns:a16="http://schemas.microsoft.com/office/drawing/2014/main" id="{AA213A4A-08F0-49A5-B29B-18AFF5F33ED2}"/>
            </a:ext>
          </a:extLst>
        </xdr:cNvPr>
        <xdr:cNvSpPr txBox="1">
          <a:spLocks noChangeArrowheads="1"/>
        </xdr:cNvSpPr>
      </xdr:nvSpPr>
      <xdr:spPr bwMode="auto">
        <a:xfrm>
          <a:off x="20747833" y="4584326"/>
          <a:ext cx="1357039" cy="7664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69477</xdr:rowOff>
    </xdr:from>
    <xdr:to>
      <xdr:col>25</xdr:col>
      <xdr:colOff>464072</xdr:colOff>
      <xdr:row>35</xdr:row>
      <xdr:rowOff>50426</xdr:rowOff>
    </xdr:to>
    <xdr:sp macro="" textlink="">
      <xdr:nvSpPr>
        <xdr:cNvPr id="1169" name="Text Box 351" hidden="1">
          <a:extLst>
            <a:ext uri="{FF2B5EF4-FFF2-40B4-BE49-F238E27FC236}">
              <a16:creationId xmlns:a16="http://schemas.microsoft.com/office/drawing/2014/main" id="{6CD7F66C-4115-47F8-9E4C-640312252BCD}"/>
            </a:ext>
          </a:extLst>
        </xdr:cNvPr>
        <xdr:cNvSpPr txBox="1">
          <a:spLocks noChangeArrowheads="1"/>
        </xdr:cNvSpPr>
      </xdr:nvSpPr>
      <xdr:spPr bwMode="auto">
        <a:xfrm>
          <a:off x="20747833" y="6565527"/>
          <a:ext cx="1357039"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30734</xdr:rowOff>
    </xdr:from>
    <xdr:to>
      <xdr:col>25</xdr:col>
      <xdr:colOff>464072</xdr:colOff>
      <xdr:row>142</xdr:row>
      <xdr:rowOff>60166</xdr:rowOff>
    </xdr:to>
    <xdr:sp macro="" textlink="">
      <xdr:nvSpPr>
        <xdr:cNvPr id="1170" name="Text Box 350" hidden="1">
          <a:extLst>
            <a:ext uri="{FF2B5EF4-FFF2-40B4-BE49-F238E27FC236}">
              <a16:creationId xmlns:a16="http://schemas.microsoft.com/office/drawing/2014/main" id="{295A83B8-5B5D-4BD9-BE2E-D73F249E42B5}"/>
            </a:ext>
          </a:extLst>
        </xdr:cNvPr>
        <xdr:cNvSpPr txBox="1">
          <a:spLocks noChangeArrowheads="1"/>
        </xdr:cNvSpPr>
      </xdr:nvSpPr>
      <xdr:spPr bwMode="auto">
        <a:xfrm>
          <a:off x="20747833" y="28558109"/>
          <a:ext cx="1357039" cy="753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42</xdr:row>
      <xdr:rowOff>31376</xdr:rowOff>
    </xdr:from>
    <xdr:to>
      <xdr:col>11</xdr:col>
      <xdr:colOff>734926</xdr:colOff>
      <xdr:row>46</xdr:row>
      <xdr:rowOff>69476</xdr:rowOff>
    </xdr:to>
    <xdr:sp macro="" textlink="">
      <xdr:nvSpPr>
        <xdr:cNvPr id="1171" name="Text Box 349" hidden="1">
          <a:extLst>
            <a:ext uri="{FF2B5EF4-FFF2-40B4-BE49-F238E27FC236}">
              <a16:creationId xmlns:a16="http://schemas.microsoft.com/office/drawing/2014/main" id="{1A5FB663-C215-4CE0-AFAD-9DDA77734023}"/>
            </a:ext>
          </a:extLst>
        </xdr:cNvPr>
        <xdr:cNvSpPr txBox="1">
          <a:spLocks noChangeArrowheads="1"/>
        </xdr:cNvSpPr>
      </xdr:nvSpPr>
      <xdr:spPr bwMode="auto">
        <a:xfrm>
          <a:off x="9352796" y="8880101"/>
          <a:ext cx="14595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42</xdr:row>
      <xdr:rowOff>31376</xdr:rowOff>
    </xdr:from>
    <xdr:to>
      <xdr:col>13</xdr:col>
      <xdr:colOff>507975</xdr:colOff>
      <xdr:row>46</xdr:row>
      <xdr:rowOff>69476</xdr:rowOff>
    </xdr:to>
    <xdr:sp macro="" textlink="">
      <xdr:nvSpPr>
        <xdr:cNvPr id="1172" name="Text Box 348" hidden="1">
          <a:extLst>
            <a:ext uri="{FF2B5EF4-FFF2-40B4-BE49-F238E27FC236}">
              <a16:creationId xmlns:a16="http://schemas.microsoft.com/office/drawing/2014/main" id="{A32A0812-3BEE-4AB8-BE44-6152F9D681A1}"/>
            </a:ext>
          </a:extLst>
        </xdr:cNvPr>
        <xdr:cNvSpPr txBox="1">
          <a:spLocks noChangeArrowheads="1"/>
        </xdr:cNvSpPr>
      </xdr:nvSpPr>
      <xdr:spPr bwMode="auto">
        <a:xfrm>
          <a:off x="11093966" y="8880101"/>
          <a:ext cx="1453609"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1173" name="Text Box 37" hidden="1">
          <a:extLst>
            <a:ext uri="{FF2B5EF4-FFF2-40B4-BE49-F238E27FC236}">
              <a16:creationId xmlns:a16="http://schemas.microsoft.com/office/drawing/2014/main" id="{E74EA38A-E65D-412D-BE17-2EE8FB9914FE}"/>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152911</xdr:rowOff>
    </xdr:from>
    <xdr:to>
      <xdr:col>5</xdr:col>
      <xdr:colOff>102160</xdr:colOff>
      <xdr:row>239</xdr:row>
      <xdr:rowOff>124898</xdr:rowOff>
    </xdr:to>
    <xdr:sp macro="" textlink="">
      <xdr:nvSpPr>
        <xdr:cNvPr id="1174" name="Text Box 36" hidden="1">
          <a:extLst>
            <a:ext uri="{FF2B5EF4-FFF2-40B4-BE49-F238E27FC236}">
              <a16:creationId xmlns:a16="http://schemas.microsoft.com/office/drawing/2014/main" id="{0FAB21B3-3AC6-429C-A976-C605AF4BAE49}"/>
            </a:ext>
          </a:extLst>
        </xdr:cNvPr>
        <xdr:cNvSpPr txBox="1">
          <a:spLocks noChangeArrowheads="1"/>
        </xdr:cNvSpPr>
      </xdr:nvSpPr>
      <xdr:spPr bwMode="auto">
        <a:xfrm>
          <a:off x="3981263" y="42796336"/>
          <a:ext cx="1312022" cy="41344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102673</xdr:rowOff>
    </xdr:from>
    <xdr:to>
      <xdr:col>5</xdr:col>
      <xdr:colOff>102160</xdr:colOff>
      <xdr:row>239</xdr:row>
      <xdr:rowOff>58962</xdr:rowOff>
    </xdr:to>
    <xdr:sp macro="" textlink="">
      <xdr:nvSpPr>
        <xdr:cNvPr id="1175" name="Text Box 35" hidden="1">
          <a:extLst>
            <a:ext uri="{FF2B5EF4-FFF2-40B4-BE49-F238E27FC236}">
              <a16:creationId xmlns:a16="http://schemas.microsoft.com/office/drawing/2014/main" id="{1532E5BD-ACD2-43A2-956C-0A1C2A3547C7}"/>
            </a:ext>
          </a:extLst>
        </xdr:cNvPr>
        <xdr:cNvSpPr txBox="1">
          <a:spLocks noChangeArrowheads="1"/>
        </xdr:cNvSpPr>
      </xdr:nvSpPr>
      <xdr:spPr bwMode="auto">
        <a:xfrm>
          <a:off x="3981263" y="43108048"/>
          <a:ext cx="1312022" cy="37567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240</xdr:row>
      <xdr:rowOff>124897</xdr:rowOff>
    </xdr:to>
    <xdr:sp macro="" textlink="">
      <xdr:nvSpPr>
        <xdr:cNvPr id="1176" name="Text Box 34" hidden="1">
          <a:extLst>
            <a:ext uri="{FF2B5EF4-FFF2-40B4-BE49-F238E27FC236}">
              <a16:creationId xmlns:a16="http://schemas.microsoft.com/office/drawing/2014/main" id="{3AFBD4E1-5BBA-4EC6-BD0A-9B62805A5CC1}"/>
            </a:ext>
          </a:extLst>
        </xdr:cNvPr>
        <xdr:cNvSpPr txBox="1">
          <a:spLocks noChangeArrowheads="1"/>
        </xdr:cNvSpPr>
      </xdr:nvSpPr>
      <xdr:spPr bwMode="auto">
        <a:xfrm>
          <a:off x="3981263" y="43650971"/>
          <a:ext cx="1312022" cy="3460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102673</xdr:rowOff>
    </xdr:from>
    <xdr:to>
      <xdr:col>5</xdr:col>
      <xdr:colOff>102160</xdr:colOff>
      <xdr:row>228</xdr:row>
      <xdr:rowOff>58962</xdr:rowOff>
    </xdr:to>
    <xdr:sp macro="" textlink="">
      <xdr:nvSpPr>
        <xdr:cNvPr id="1177" name="Text Box 33" hidden="1">
          <a:extLst>
            <a:ext uri="{FF2B5EF4-FFF2-40B4-BE49-F238E27FC236}">
              <a16:creationId xmlns:a16="http://schemas.microsoft.com/office/drawing/2014/main" id="{F27B826C-E301-4E19-8545-35DD794A9B3F}"/>
            </a:ext>
          </a:extLst>
        </xdr:cNvPr>
        <xdr:cNvSpPr txBox="1">
          <a:spLocks noChangeArrowheads="1"/>
        </xdr:cNvSpPr>
      </xdr:nvSpPr>
      <xdr:spPr bwMode="auto">
        <a:xfrm>
          <a:off x="3981263" y="43831948"/>
          <a:ext cx="1312022" cy="1042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20916</xdr:rowOff>
    </xdr:from>
    <xdr:to>
      <xdr:col>5</xdr:col>
      <xdr:colOff>102160</xdr:colOff>
      <xdr:row>205</xdr:row>
      <xdr:rowOff>58962</xdr:rowOff>
    </xdr:to>
    <xdr:sp macro="" textlink="">
      <xdr:nvSpPr>
        <xdr:cNvPr id="1178" name="Text Box 32" hidden="1">
          <a:extLst>
            <a:ext uri="{FF2B5EF4-FFF2-40B4-BE49-F238E27FC236}">
              <a16:creationId xmlns:a16="http://schemas.microsoft.com/office/drawing/2014/main" id="{FC0FB2F2-CAE2-402D-A7C9-DBFC3DACF48E}"/>
            </a:ext>
          </a:extLst>
        </xdr:cNvPr>
        <xdr:cNvSpPr txBox="1">
          <a:spLocks noChangeArrowheads="1"/>
        </xdr:cNvSpPr>
      </xdr:nvSpPr>
      <xdr:spPr bwMode="auto">
        <a:xfrm>
          <a:off x="3981263" y="39587766"/>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102671</xdr:rowOff>
    </xdr:from>
    <xdr:to>
      <xdr:col>5</xdr:col>
      <xdr:colOff>102160</xdr:colOff>
      <xdr:row>206</xdr:row>
      <xdr:rowOff>124898</xdr:rowOff>
    </xdr:to>
    <xdr:sp macro="" textlink="">
      <xdr:nvSpPr>
        <xdr:cNvPr id="1179" name="Text Box 31" hidden="1">
          <a:extLst>
            <a:ext uri="{FF2B5EF4-FFF2-40B4-BE49-F238E27FC236}">
              <a16:creationId xmlns:a16="http://schemas.microsoft.com/office/drawing/2014/main" id="{0F3EFB61-CB97-4493-9A6C-B51B81223F57}"/>
            </a:ext>
          </a:extLst>
        </xdr:cNvPr>
        <xdr:cNvSpPr txBox="1">
          <a:spLocks noChangeArrowheads="1"/>
        </xdr:cNvSpPr>
      </xdr:nvSpPr>
      <xdr:spPr bwMode="auto">
        <a:xfrm>
          <a:off x="3981263" y="40031471"/>
          <a:ext cx="1312022" cy="9271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102672</xdr:rowOff>
    </xdr:from>
    <xdr:to>
      <xdr:col>5</xdr:col>
      <xdr:colOff>102160</xdr:colOff>
      <xdr:row>207</xdr:row>
      <xdr:rowOff>124897</xdr:rowOff>
    </xdr:to>
    <xdr:sp macro="" textlink="">
      <xdr:nvSpPr>
        <xdr:cNvPr id="1180" name="Text Box 30" hidden="1">
          <a:extLst>
            <a:ext uri="{FF2B5EF4-FFF2-40B4-BE49-F238E27FC236}">
              <a16:creationId xmlns:a16="http://schemas.microsoft.com/office/drawing/2014/main" id="{045C2D65-9255-4123-9D61-8C315348B314}"/>
            </a:ext>
          </a:extLst>
        </xdr:cNvPr>
        <xdr:cNvSpPr txBox="1">
          <a:spLocks noChangeArrowheads="1"/>
        </xdr:cNvSpPr>
      </xdr:nvSpPr>
      <xdr:spPr bwMode="auto">
        <a:xfrm>
          <a:off x="3981263" y="40393422"/>
          <a:ext cx="1312022" cy="746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102672</xdr:rowOff>
    </xdr:from>
    <xdr:to>
      <xdr:col>5</xdr:col>
      <xdr:colOff>102160</xdr:colOff>
      <xdr:row>214</xdr:row>
      <xdr:rowOff>124897</xdr:rowOff>
    </xdr:to>
    <xdr:sp macro="" textlink="">
      <xdr:nvSpPr>
        <xdr:cNvPr id="1181" name="Text Box 29" hidden="1">
          <a:extLst>
            <a:ext uri="{FF2B5EF4-FFF2-40B4-BE49-F238E27FC236}">
              <a16:creationId xmlns:a16="http://schemas.microsoft.com/office/drawing/2014/main" id="{07DCA9F0-133E-471A-BAD3-3781C69E84A8}"/>
            </a:ext>
          </a:extLst>
        </xdr:cNvPr>
        <xdr:cNvSpPr txBox="1">
          <a:spLocks noChangeArrowheads="1"/>
        </xdr:cNvSpPr>
      </xdr:nvSpPr>
      <xdr:spPr bwMode="auto">
        <a:xfrm>
          <a:off x="3981263" y="40755372"/>
          <a:ext cx="1312022"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47611</xdr:rowOff>
    </xdr:from>
    <xdr:to>
      <xdr:col>5</xdr:col>
      <xdr:colOff>102160</xdr:colOff>
      <xdr:row>66</xdr:row>
      <xdr:rowOff>47611</xdr:rowOff>
    </xdr:to>
    <xdr:sp macro="" textlink="">
      <xdr:nvSpPr>
        <xdr:cNvPr id="1182" name="Text Box 28" hidden="1">
          <a:extLst>
            <a:ext uri="{FF2B5EF4-FFF2-40B4-BE49-F238E27FC236}">
              <a16:creationId xmlns:a16="http://schemas.microsoft.com/office/drawing/2014/main" id="{7787923E-5A29-4F9E-8484-11EDD313C50D}"/>
            </a:ext>
          </a:extLst>
        </xdr:cNvPr>
        <xdr:cNvSpPr txBox="1">
          <a:spLocks noChangeArrowheads="1"/>
        </xdr:cNvSpPr>
      </xdr:nvSpPr>
      <xdr:spPr bwMode="auto">
        <a:xfrm>
          <a:off x="3981263" y="1465896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200471</xdr:rowOff>
    </xdr:from>
    <xdr:to>
      <xdr:col>5</xdr:col>
      <xdr:colOff>121210</xdr:colOff>
      <xdr:row>88</xdr:row>
      <xdr:rowOff>87784</xdr:rowOff>
    </xdr:to>
    <xdr:sp macro="" textlink="">
      <xdr:nvSpPr>
        <xdr:cNvPr id="1183" name="Text Box 27" hidden="1">
          <a:extLst>
            <a:ext uri="{FF2B5EF4-FFF2-40B4-BE49-F238E27FC236}">
              <a16:creationId xmlns:a16="http://schemas.microsoft.com/office/drawing/2014/main" id="{AA7609C4-D581-4407-BB3D-A35FD9040604}"/>
            </a:ext>
          </a:extLst>
        </xdr:cNvPr>
        <xdr:cNvSpPr txBox="1">
          <a:spLocks noChangeArrowheads="1"/>
        </xdr:cNvSpPr>
      </xdr:nvSpPr>
      <xdr:spPr bwMode="auto">
        <a:xfrm>
          <a:off x="4000313" y="14808646"/>
          <a:ext cx="1312022" cy="4452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47611</xdr:rowOff>
    </xdr:from>
    <xdr:to>
      <xdr:col>5</xdr:col>
      <xdr:colOff>102160</xdr:colOff>
      <xdr:row>86</xdr:row>
      <xdr:rowOff>222067</xdr:rowOff>
    </xdr:to>
    <xdr:sp macro="" textlink="">
      <xdr:nvSpPr>
        <xdr:cNvPr id="1184" name="Text Box 26" hidden="1">
          <a:extLst>
            <a:ext uri="{FF2B5EF4-FFF2-40B4-BE49-F238E27FC236}">
              <a16:creationId xmlns:a16="http://schemas.microsoft.com/office/drawing/2014/main" id="{C780D7A5-DE70-458E-AB67-9B53D887AD77}"/>
            </a:ext>
          </a:extLst>
        </xdr:cNvPr>
        <xdr:cNvSpPr txBox="1">
          <a:spLocks noChangeArrowheads="1"/>
        </xdr:cNvSpPr>
      </xdr:nvSpPr>
      <xdr:spPr bwMode="auto">
        <a:xfrm>
          <a:off x="3981263" y="14658961"/>
          <a:ext cx="1312022" cy="4174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63859</xdr:rowOff>
    </xdr:from>
    <xdr:to>
      <xdr:col>5</xdr:col>
      <xdr:colOff>102160</xdr:colOff>
      <xdr:row>86</xdr:row>
      <xdr:rowOff>246263</xdr:rowOff>
    </xdr:to>
    <xdr:sp macro="" textlink="">
      <xdr:nvSpPr>
        <xdr:cNvPr id="1185" name="Text Box 25" hidden="1">
          <a:extLst>
            <a:ext uri="{FF2B5EF4-FFF2-40B4-BE49-F238E27FC236}">
              <a16:creationId xmlns:a16="http://schemas.microsoft.com/office/drawing/2014/main" id="{F6197AD2-52C4-46CC-A9B0-9CF4C23F4DB4}"/>
            </a:ext>
          </a:extLst>
        </xdr:cNvPr>
        <xdr:cNvSpPr txBox="1">
          <a:spLocks noChangeArrowheads="1"/>
        </xdr:cNvSpPr>
      </xdr:nvSpPr>
      <xdr:spPr bwMode="auto">
        <a:xfrm>
          <a:off x="3981263" y="14678384"/>
          <a:ext cx="1312022" cy="41797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7450</xdr:rowOff>
    </xdr:from>
    <xdr:to>
      <xdr:col>5</xdr:col>
      <xdr:colOff>102160</xdr:colOff>
      <xdr:row>88</xdr:row>
      <xdr:rowOff>112293</xdr:rowOff>
    </xdr:to>
    <xdr:sp macro="" textlink="">
      <xdr:nvSpPr>
        <xdr:cNvPr id="1186" name="Text Box 24" hidden="1">
          <a:extLst>
            <a:ext uri="{FF2B5EF4-FFF2-40B4-BE49-F238E27FC236}">
              <a16:creationId xmlns:a16="http://schemas.microsoft.com/office/drawing/2014/main" id="{9B0743D1-7BDA-48C7-AB9D-834BBF21E40F}"/>
            </a:ext>
          </a:extLst>
        </xdr:cNvPr>
        <xdr:cNvSpPr txBox="1">
          <a:spLocks noChangeArrowheads="1"/>
        </xdr:cNvSpPr>
      </xdr:nvSpPr>
      <xdr:spPr bwMode="auto">
        <a:xfrm>
          <a:off x="3981263" y="15666550"/>
          <a:ext cx="1312022" cy="3619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55394</xdr:rowOff>
    </xdr:from>
    <xdr:to>
      <xdr:col>5</xdr:col>
      <xdr:colOff>102160</xdr:colOff>
      <xdr:row>97</xdr:row>
      <xdr:rowOff>76770</xdr:rowOff>
    </xdr:to>
    <xdr:sp macro="" textlink="">
      <xdr:nvSpPr>
        <xdr:cNvPr id="1187" name="Text Box 23" hidden="1">
          <a:extLst>
            <a:ext uri="{FF2B5EF4-FFF2-40B4-BE49-F238E27FC236}">
              <a16:creationId xmlns:a16="http://schemas.microsoft.com/office/drawing/2014/main" id="{E46FC14A-0405-4876-9771-8077ECD19EEB}"/>
            </a:ext>
          </a:extLst>
        </xdr:cNvPr>
        <xdr:cNvSpPr txBox="1">
          <a:spLocks noChangeArrowheads="1"/>
        </xdr:cNvSpPr>
      </xdr:nvSpPr>
      <xdr:spPr bwMode="auto">
        <a:xfrm>
          <a:off x="3981263" y="18486269"/>
          <a:ext cx="1312022" cy="23931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6416</xdr:rowOff>
    </xdr:from>
    <xdr:to>
      <xdr:col>5</xdr:col>
      <xdr:colOff>102160</xdr:colOff>
      <xdr:row>96</xdr:row>
      <xdr:rowOff>64399</xdr:rowOff>
    </xdr:to>
    <xdr:sp macro="" textlink="">
      <xdr:nvSpPr>
        <xdr:cNvPr id="1188" name="Text Box 22" hidden="1">
          <a:extLst>
            <a:ext uri="{FF2B5EF4-FFF2-40B4-BE49-F238E27FC236}">
              <a16:creationId xmlns:a16="http://schemas.microsoft.com/office/drawing/2014/main" id="{487CB3A1-3A1A-4AB0-9BE4-B8F35B2CC63A}"/>
            </a:ext>
          </a:extLst>
        </xdr:cNvPr>
        <xdr:cNvSpPr txBox="1">
          <a:spLocks noChangeArrowheads="1"/>
        </xdr:cNvSpPr>
      </xdr:nvSpPr>
      <xdr:spPr bwMode="auto">
        <a:xfrm>
          <a:off x="3981263" y="18618266"/>
          <a:ext cx="1312022" cy="20709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154038</xdr:rowOff>
    </xdr:from>
    <xdr:to>
      <xdr:col>5</xdr:col>
      <xdr:colOff>102160</xdr:colOff>
      <xdr:row>96</xdr:row>
      <xdr:rowOff>140503</xdr:rowOff>
    </xdr:to>
    <xdr:sp macro="" textlink="">
      <xdr:nvSpPr>
        <xdr:cNvPr id="1189" name="Text Box 21" hidden="1">
          <a:extLst>
            <a:ext uri="{FF2B5EF4-FFF2-40B4-BE49-F238E27FC236}">
              <a16:creationId xmlns:a16="http://schemas.microsoft.com/office/drawing/2014/main" id="{FCB6FC54-F0CF-404C-A450-CF5B5B933997}"/>
            </a:ext>
          </a:extLst>
        </xdr:cNvPr>
        <xdr:cNvSpPr txBox="1">
          <a:spLocks noChangeArrowheads="1"/>
        </xdr:cNvSpPr>
      </xdr:nvSpPr>
      <xdr:spPr bwMode="auto">
        <a:xfrm>
          <a:off x="3981263" y="18762713"/>
          <a:ext cx="1312022" cy="2002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311977</xdr:rowOff>
    </xdr:from>
    <xdr:to>
      <xdr:col>5</xdr:col>
      <xdr:colOff>102160</xdr:colOff>
      <xdr:row>98</xdr:row>
      <xdr:rowOff>126535</xdr:rowOff>
    </xdr:to>
    <xdr:sp macro="" textlink="">
      <xdr:nvSpPr>
        <xdr:cNvPr id="1190" name="Text Box 20" hidden="1">
          <a:extLst>
            <a:ext uri="{FF2B5EF4-FFF2-40B4-BE49-F238E27FC236}">
              <a16:creationId xmlns:a16="http://schemas.microsoft.com/office/drawing/2014/main" id="{081E34CC-4A87-4F6D-974A-0325023B743C}"/>
            </a:ext>
          </a:extLst>
        </xdr:cNvPr>
        <xdr:cNvSpPr txBox="1">
          <a:spLocks noChangeArrowheads="1"/>
        </xdr:cNvSpPr>
      </xdr:nvSpPr>
      <xdr:spPr bwMode="auto">
        <a:xfrm>
          <a:off x="3981263" y="18923827"/>
          <a:ext cx="1312022" cy="21862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67216</xdr:rowOff>
    </xdr:from>
    <xdr:to>
      <xdr:col>5</xdr:col>
      <xdr:colOff>102160</xdr:colOff>
      <xdr:row>119</xdr:row>
      <xdr:rowOff>21975</xdr:rowOff>
    </xdr:to>
    <xdr:sp macro="" textlink="">
      <xdr:nvSpPr>
        <xdr:cNvPr id="1191" name="Text Box 19" hidden="1">
          <a:extLst>
            <a:ext uri="{FF2B5EF4-FFF2-40B4-BE49-F238E27FC236}">
              <a16:creationId xmlns:a16="http://schemas.microsoft.com/office/drawing/2014/main" id="{B6E1FF9B-50E5-42E5-A818-D12F8A441737}"/>
            </a:ext>
          </a:extLst>
        </xdr:cNvPr>
        <xdr:cNvSpPr txBox="1">
          <a:spLocks noChangeArrowheads="1"/>
        </xdr:cNvSpPr>
      </xdr:nvSpPr>
      <xdr:spPr bwMode="auto">
        <a:xfrm>
          <a:off x="3981263" y="23289166"/>
          <a:ext cx="1312022" cy="18216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102160</xdr:colOff>
      <xdr:row>116</xdr:row>
      <xdr:rowOff>121846</xdr:rowOff>
    </xdr:to>
    <xdr:sp macro="" textlink="">
      <xdr:nvSpPr>
        <xdr:cNvPr id="1192" name="Text Box 18" hidden="1">
          <a:extLst>
            <a:ext uri="{FF2B5EF4-FFF2-40B4-BE49-F238E27FC236}">
              <a16:creationId xmlns:a16="http://schemas.microsoft.com/office/drawing/2014/main" id="{92339202-D9BB-4163-8CFE-44E7681856FF}"/>
            </a:ext>
          </a:extLst>
        </xdr:cNvPr>
        <xdr:cNvSpPr txBox="1">
          <a:spLocks noChangeArrowheads="1"/>
        </xdr:cNvSpPr>
      </xdr:nvSpPr>
      <xdr:spPr bwMode="auto">
        <a:xfrm>
          <a:off x="3981263" y="23498089"/>
          <a:ext cx="1312022" cy="11728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77394</xdr:rowOff>
    </xdr:from>
    <xdr:to>
      <xdr:col>5</xdr:col>
      <xdr:colOff>102160</xdr:colOff>
      <xdr:row>116</xdr:row>
      <xdr:rowOff>83843</xdr:rowOff>
    </xdr:to>
    <xdr:sp macro="" textlink="">
      <xdr:nvSpPr>
        <xdr:cNvPr id="1193" name="Text Box 17" hidden="1">
          <a:extLst>
            <a:ext uri="{FF2B5EF4-FFF2-40B4-BE49-F238E27FC236}">
              <a16:creationId xmlns:a16="http://schemas.microsoft.com/office/drawing/2014/main" id="{3CC496E5-2361-445D-9A84-97118CA75D29}"/>
            </a:ext>
          </a:extLst>
        </xdr:cNvPr>
        <xdr:cNvSpPr txBox="1">
          <a:spLocks noChangeArrowheads="1"/>
        </xdr:cNvSpPr>
      </xdr:nvSpPr>
      <xdr:spPr bwMode="auto">
        <a:xfrm>
          <a:off x="3981263" y="23661294"/>
          <a:ext cx="1312022" cy="968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77939</xdr:rowOff>
    </xdr:from>
    <xdr:to>
      <xdr:col>5</xdr:col>
      <xdr:colOff>102160</xdr:colOff>
      <xdr:row>116</xdr:row>
      <xdr:rowOff>83843</xdr:rowOff>
    </xdr:to>
    <xdr:sp macro="" textlink="">
      <xdr:nvSpPr>
        <xdr:cNvPr id="1194" name="Text Box 16" hidden="1">
          <a:extLst>
            <a:ext uri="{FF2B5EF4-FFF2-40B4-BE49-F238E27FC236}">
              <a16:creationId xmlns:a16="http://schemas.microsoft.com/office/drawing/2014/main" id="{958D5D89-D60F-4910-B969-54C0FCAC2E3F}"/>
            </a:ext>
          </a:extLst>
        </xdr:cNvPr>
        <xdr:cNvSpPr txBox="1">
          <a:spLocks noChangeArrowheads="1"/>
        </xdr:cNvSpPr>
      </xdr:nvSpPr>
      <xdr:spPr bwMode="auto">
        <a:xfrm>
          <a:off x="3981263" y="23661839"/>
          <a:ext cx="1312022" cy="9679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135</xdr:row>
      <xdr:rowOff>10891</xdr:rowOff>
    </xdr:from>
    <xdr:to>
      <xdr:col>21</xdr:col>
      <xdr:colOff>254522</xdr:colOff>
      <xdr:row>139</xdr:row>
      <xdr:rowOff>1678</xdr:rowOff>
    </xdr:to>
    <xdr:sp macro="" textlink="">
      <xdr:nvSpPr>
        <xdr:cNvPr id="1195" name="Text Box 15" hidden="1">
          <a:extLst>
            <a:ext uri="{FF2B5EF4-FFF2-40B4-BE49-F238E27FC236}">
              <a16:creationId xmlns:a16="http://schemas.microsoft.com/office/drawing/2014/main" id="{BE181D7B-08F7-4397-8B6F-EDFEBB4255BD}"/>
            </a:ext>
          </a:extLst>
        </xdr:cNvPr>
        <xdr:cNvSpPr txBox="1">
          <a:spLocks noChangeArrowheads="1"/>
        </xdr:cNvSpPr>
      </xdr:nvSpPr>
      <xdr:spPr bwMode="auto">
        <a:xfrm>
          <a:off x="17513821" y="27995341"/>
          <a:ext cx="1333501" cy="714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239059</xdr:rowOff>
    </xdr:to>
    <xdr:sp macro="" textlink="">
      <xdr:nvSpPr>
        <xdr:cNvPr id="1196" name="Text Box 14" hidden="1">
          <a:extLst>
            <a:ext uri="{FF2B5EF4-FFF2-40B4-BE49-F238E27FC236}">
              <a16:creationId xmlns:a16="http://schemas.microsoft.com/office/drawing/2014/main" id="{BB9F08E9-064F-4EBF-BF11-47DDECC7090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197" name="Text Box 13" hidden="1">
          <a:extLst>
            <a:ext uri="{FF2B5EF4-FFF2-40B4-BE49-F238E27FC236}">
              <a16:creationId xmlns:a16="http://schemas.microsoft.com/office/drawing/2014/main" id="{F4CA6A16-4013-4A55-B216-5ED809A69CE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139</xdr:row>
      <xdr:rowOff>1678</xdr:rowOff>
    </xdr:from>
    <xdr:to>
      <xdr:col>22</xdr:col>
      <xdr:colOff>425971</xdr:colOff>
      <xdr:row>142</xdr:row>
      <xdr:rowOff>164846</xdr:rowOff>
    </xdr:to>
    <xdr:sp macro="" textlink="">
      <xdr:nvSpPr>
        <xdr:cNvPr id="1198" name="Text Box 12" hidden="1">
          <a:extLst>
            <a:ext uri="{FF2B5EF4-FFF2-40B4-BE49-F238E27FC236}">
              <a16:creationId xmlns:a16="http://schemas.microsoft.com/office/drawing/2014/main" id="{7994680E-D676-43B3-A154-8527B76A9131}"/>
            </a:ext>
          </a:extLst>
        </xdr:cNvPr>
        <xdr:cNvSpPr txBox="1">
          <a:spLocks noChangeArrowheads="1"/>
        </xdr:cNvSpPr>
      </xdr:nvSpPr>
      <xdr:spPr bwMode="auto">
        <a:xfrm>
          <a:off x="18332971" y="28710028"/>
          <a:ext cx="1447800" cy="7060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39</xdr:row>
      <xdr:rowOff>50426</xdr:rowOff>
    </xdr:from>
    <xdr:to>
      <xdr:col>11</xdr:col>
      <xdr:colOff>639676</xdr:colOff>
      <xdr:row>43</xdr:row>
      <xdr:rowOff>160991</xdr:rowOff>
    </xdr:to>
    <xdr:sp macro="" textlink="">
      <xdr:nvSpPr>
        <xdr:cNvPr id="1199" name="Text Box 11" hidden="1">
          <a:extLst>
            <a:ext uri="{FF2B5EF4-FFF2-40B4-BE49-F238E27FC236}">
              <a16:creationId xmlns:a16="http://schemas.microsoft.com/office/drawing/2014/main" id="{7C672753-CE4F-41A7-9293-DEADB3963C04}"/>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334309</xdr:rowOff>
    </xdr:to>
    <xdr:sp macro="" textlink="">
      <xdr:nvSpPr>
        <xdr:cNvPr id="1200" name="Text Box 10" hidden="1">
          <a:extLst>
            <a:ext uri="{FF2B5EF4-FFF2-40B4-BE49-F238E27FC236}">
              <a16:creationId xmlns:a16="http://schemas.microsoft.com/office/drawing/2014/main" id="{51402BB3-1359-4DAA-B87C-0160E3247EF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201" name="Text Box 9" hidden="1">
          <a:extLst>
            <a:ext uri="{FF2B5EF4-FFF2-40B4-BE49-F238E27FC236}">
              <a16:creationId xmlns:a16="http://schemas.microsoft.com/office/drawing/2014/main" id="{5980D873-1182-462C-8D4B-FAB859E5856E}"/>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139</xdr:row>
      <xdr:rowOff>1678</xdr:rowOff>
    </xdr:from>
    <xdr:to>
      <xdr:col>24</xdr:col>
      <xdr:colOff>464072</xdr:colOff>
      <xdr:row>143</xdr:row>
      <xdr:rowOff>63638</xdr:rowOff>
    </xdr:to>
    <xdr:sp macro="" textlink="">
      <xdr:nvSpPr>
        <xdr:cNvPr id="1202" name="Text Box 8" hidden="1">
          <a:extLst>
            <a:ext uri="{FF2B5EF4-FFF2-40B4-BE49-F238E27FC236}">
              <a16:creationId xmlns:a16="http://schemas.microsoft.com/office/drawing/2014/main" id="{4A5600B6-08D5-4E5F-87ED-3D998540B29A}"/>
            </a:ext>
          </a:extLst>
        </xdr:cNvPr>
        <xdr:cNvSpPr txBox="1">
          <a:spLocks noChangeArrowheads="1"/>
        </xdr:cNvSpPr>
      </xdr:nvSpPr>
      <xdr:spPr bwMode="auto">
        <a:xfrm>
          <a:off x="19985832" y="28710028"/>
          <a:ext cx="1357040" cy="7858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23</xdr:row>
      <xdr:rowOff>296209</xdr:rowOff>
    </xdr:to>
    <xdr:sp macro="" textlink="">
      <xdr:nvSpPr>
        <xdr:cNvPr id="1203" name="Text Box 7" hidden="1">
          <a:extLst>
            <a:ext uri="{FF2B5EF4-FFF2-40B4-BE49-F238E27FC236}">
              <a16:creationId xmlns:a16="http://schemas.microsoft.com/office/drawing/2014/main" id="{2BE7132B-BEEC-4C89-9F67-FE3FBBA2821E}"/>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69477</xdr:rowOff>
    </xdr:from>
    <xdr:to>
      <xdr:col>25</xdr:col>
      <xdr:colOff>464072</xdr:colOff>
      <xdr:row>35</xdr:row>
      <xdr:rowOff>50426</xdr:rowOff>
    </xdr:to>
    <xdr:sp macro="" textlink="">
      <xdr:nvSpPr>
        <xdr:cNvPr id="1204" name="Text Box 6" hidden="1">
          <a:extLst>
            <a:ext uri="{FF2B5EF4-FFF2-40B4-BE49-F238E27FC236}">
              <a16:creationId xmlns:a16="http://schemas.microsoft.com/office/drawing/2014/main" id="{F60D18DD-777D-4715-A8AA-93B2099F519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139</xdr:row>
      <xdr:rowOff>11683</xdr:rowOff>
    </xdr:from>
    <xdr:to>
      <xdr:col>25</xdr:col>
      <xdr:colOff>464072</xdr:colOff>
      <xdr:row>143</xdr:row>
      <xdr:rowOff>60165</xdr:rowOff>
    </xdr:to>
    <xdr:sp macro="" textlink="">
      <xdr:nvSpPr>
        <xdr:cNvPr id="1205" name="Text Box 5" hidden="1">
          <a:extLst>
            <a:ext uri="{FF2B5EF4-FFF2-40B4-BE49-F238E27FC236}">
              <a16:creationId xmlns:a16="http://schemas.microsoft.com/office/drawing/2014/main" id="{45F6B19B-CE4A-4D74-9704-62C34C43EFC0}"/>
            </a:ext>
          </a:extLst>
        </xdr:cNvPr>
        <xdr:cNvSpPr txBox="1">
          <a:spLocks noChangeArrowheads="1"/>
        </xdr:cNvSpPr>
      </xdr:nvSpPr>
      <xdr:spPr bwMode="auto">
        <a:xfrm>
          <a:off x="20747833" y="28720033"/>
          <a:ext cx="1357039" cy="772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43</xdr:row>
      <xdr:rowOff>31376</xdr:rowOff>
    </xdr:from>
    <xdr:to>
      <xdr:col>11</xdr:col>
      <xdr:colOff>715876</xdr:colOff>
      <xdr:row>47</xdr:row>
      <xdr:rowOff>69477</xdr:rowOff>
    </xdr:to>
    <xdr:sp macro="" textlink="">
      <xdr:nvSpPr>
        <xdr:cNvPr id="1206" name="Text Box 4" hidden="1">
          <a:extLst>
            <a:ext uri="{FF2B5EF4-FFF2-40B4-BE49-F238E27FC236}">
              <a16:creationId xmlns:a16="http://schemas.microsoft.com/office/drawing/2014/main" id="{8DC1F27F-F24F-4B89-967B-AF66069D35C7}"/>
            </a:ext>
          </a:extLst>
        </xdr:cNvPr>
        <xdr:cNvSpPr txBox="1">
          <a:spLocks noChangeArrowheads="1"/>
        </xdr:cNvSpPr>
      </xdr:nvSpPr>
      <xdr:spPr bwMode="auto">
        <a:xfrm>
          <a:off x="9352796" y="9061076"/>
          <a:ext cx="1440530"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43</xdr:row>
      <xdr:rowOff>31376</xdr:rowOff>
    </xdr:from>
    <xdr:to>
      <xdr:col>13</xdr:col>
      <xdr:colOff>507975</xdr:colOff>
      <xdr:row>47</xdr:row>
      <xdr:rowOff>69477</xdr:rowOff>
    </xdr:to>
    <xdr:sp macro="" textlink="">
      <xdr:nvSpPr>
        <xdr:cNvPr id="1207" name="Text Box 3" hidden="1">
          <a:extLst>
            <a:ext uri="{FF2B5EF4-FFF2-40B4-BE49-F238E27FC236}">
              <a16:creationId xmlns:a16="http://schemas.microsoft.com/office/drawing/2014/main" id="{53FAD1BE-E028-4E22-8596-0D2C92AB5AF2}"/>
            </a:ext>
          </a:extLst>
        </xdr:cNvPr>
        <xdr:cNvSpPr txBox="1">
          <a:spLocks noChangeArrowheads="1"/>
        </xdr:cNvSpPr>
      </xdr:nvSpPr>
      <xdr:spPr bwMode="auto">
        <a:xfrm>
          <a:off x="11093966" y="9061076"/>
          <a:ext cx="1453609"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83282</xdr:rowOff>
    </xdr:from>
    <xdr:to>
      <xdr:col>30</xdr:col>
      <xdr:colOff>296164</xdr:colOff>
      <xdr:row>29</xdr:row>
      <xdr:rowOff>141941</xdr:rowOff>
    </xdr:to>
    <xdr:sp macro="" textlink="">
      <xdr:nvSpPr>
        <xdr:cNvPr id="1208" name="Text Box 2" hidden="1">
          <a:extLst>
            <a:ext uri="{FF2B5EF4-FFF2-40B4-BE49-F238E27FC236}">
              <a16:creationId xmlns:a16="http://schemas.microsoft.com/office/drawing/2014/main" id="{2791EBB4-442E-434F-8BAA-898DC412AF33}"/>
            </a:ext>
          </a:extLst>
        </xdr:cNvPr>
        <xdr:cNvSpPr txBox="1">
          <a:spLocks noChangeArrowheads="1"/>
        </xdr:cNvSpPr>
      </xdr:nvSpPr>
      <xdr:spPr bwMode="auto">
        <a:xfrm>
          <a:off x="24557832" y="5858607"/>
          <a:ext cx="1332007" cy="7793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50427</xdr:rowOff>
    </xdr:from>
    <xdr:to>
      <xdr:col>27</xdr:col>
      <xdr:colOff>454546</xdr:colOff>
      <xdr:row>33</xdr:row>
      <xdr:rowOff>155561</xdr:rowOff>
    </xdr:to>
    <xdr:sp macro="" textlink="">
      <xdr:nvSpPr>
        <xdr:cNvPr id="1209" name="Text Box 1" hidden="1">
          <a:extLst>
            <a:ext uri="{FF2B5EF4-FFF2-40B4-BE49-F238E27FC236}">
              <a16:creationId xmlns:a16="http://schemas.microsoft.com/office/drawing/2014/main" id="{2FD460FE-D16F-4E82-9DAC-3B5EE19DB141}"/>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1210" name="Text Box 74" hidden="1">
          <a:extLst>
            <a:ext uri="{FF2B5EF4-FFF2-40B4-BE49-F238E27FC236}">
              <a16:creationId xmlns:a16="http://schemas.microsoft.com/office/drawing/2014/main" id="{843899CF-19CB-4709-9C13-72E9B078BBCA}"/>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369701</xdr:rowOff>
    </xdr:from>
    <xdr:to>
      <xdr:col>5</xdr:col>
      <xdr:colOff>102160</xdr:colOff>
      <xdr:row>58</xdr:row>
      <xdr:rowOff>369701</xdr:rowOff>
    </xdr:to>
    <xdr:sp macro="" textlink="">
      <xdr:nvSpPr>
        <xdr:cNvPr id="1211" name="Text Box 65" hidden="1">
          <a:extLst>
            <a:ext uri="{FF2B5EF4-FFF2-40B4-BE49-F238E27FC236}">
              <a16:creationId xmlns:a16="http://schemas.microsoft.com/office/drawing/2014/main" id="{A7F15098-A8A8-4F45-9E32-BB9E93C8E08C}"/>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17276</xdr:rowOff>
    </xdr:from>
    <xdr:to>
      <xdr:col>5</xdr:col>
      <xdr:colOff>121210</xdr:colOff>
      <xdr:row>78</xdr:row>
      <xdr:rowOff>277715</xdr:rowOff>
    </xdr:to>
    <xdr:sp macro="" textlink="">
      <xdr:nvSpPr>
        <xdr:cNvPr id="1212" name="Text Box 64" hidden="1">
          <a:extLst>
            <a:ext uri="{FF2B5EF4-FFF2-40B4-BE49-F238E27FC236}">
              <a16:creationId xmlns:a16="http://schemas.microsoft.com/office/drawing/2014/main" id="{1637E0F1-C8CE-492A-B990-B10FFF01A4A6}"/>
            </a:ext>
          </a:extLst>
        </xdr:cNvPr>
        <xdr:cNvSpPr txBox="1">
          <a:spLocks noChangeArrowheads="1"/>
        </xdr:cNvSpPr>
      </xdr:nvSpPr>
      <xdr:spPr bwMode="auto">
        <a:xfrm>
          <a:off x="4000313" y="12498201"/>
          <a:ext cx="1312022" cy="47435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369701</xdr:rowOff>
    </xdr:from>
    <xdr:to>
      <xdr:col>5</xdr:col>
      <xdr:colOff>102160</xdr:colOff>
      <xdr:row>77</xdr:row>
      <xdr:rowOff>17663</xdr:rowOff>
    </xdr:to>
    <xdr:sp macro="" textlink="">
      <xdr:nvSpPr>
        <xdr:cNvPr id="1213" name="Text Box 63" hidden="1">
          <a:extLst>
            <a:ext uri="{FF2B5EF4-FFF2-40B4-BE49-F238E27FC236}">
              <a16:creationId xmlns:a16="http://schemas.microsoft.com/office/drawing/2014/main" id="{F75DCFA6-E797-4F08-855E-B201D1AF2386}"/>
            </a:ext>
          </a:extLst>
        </xdr:cNvPr>
        <xdr:cNvSpPr txBox="1">
          <a:spLocks noChangeArrowheads="1"/>
        </xdr:cNvSpPr>
      </xdr:nvSpPr>
      <xdr:spPr bwMode="auto">
        <a:xfrm>
          <a:off x="3981263" y="12460101"/>
          <a:ext cx="1312022" cy="4305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369701</xdr:rowOff>
    </xdr:from>
    <xdr:to>
      <xdr:col>5</xdr:col>
      <xdr:colOff>102160</xdr:colOff>
      <xdr:row>77</xdr:row>
      <xdr:rowOff>67140</xdr:rowOff>
    </xdr:to>
    <xdr:sp macro="" textlink="">
      <xdr:nvSpPr>
        <xdr:cNvPr id="1214" name="Text Box 62" hidden="1">
          <a:extLst>
            <a:ext uri="{FF2B5EF4-FFF2-40B4-BE49-F238E27FC236}">
              <a16:creationId xmlns:a16="http://schemas.microsoft.com/office/drawing/2014/main" id="{888F5E5B-139A-4FD8-A72B-8533E5D1484D}"/>
            </a:ext>
          </a:extLst>
        </xdr:cNvPr>
        <xdr:cNvSpPr txBox="1">
          <a:spLocks noChangeArrowheads="1"/>
        </xdr:cNvSpPr>
      </xdr:nvSpPr>
      <xdr:spPr bwMode="auto">
        <a:xfrm>
          <a:off x="3981263" y="12460101"/>
          <a:ext cx="1312022" cy="43488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58571</xdr:rowOff>
    </xdr:from>
    <xdr:to>
      <xdr:col>5</xdr:col>
      <xdr:colOff>102160</xdr:colOff>
      <xdr:row>81</xdr:row>
      <xdr:rowOff>28043</xdr:rowOff>
    </xdr:to>
    <xdr:sp macro="" textlink="">
      <xdr:nvSpPr>
        <xdr:cNvPr id="1215" name="Text Box 61" hidden="1">
          <a:extLst>
            <a:ext uri="{FF2B5EF4-FFF2-40B4-BE49-F238E27FC236}">
              <a16:creationId xmlns:a16="http://schemas.microsoft.com/office/drawing/2014/main" id="{4732D8C0-D972-4089-BD96-B3CA890695DC}"/>
            </a:ext>
          </a:extLst>
        </xdr:cNvPr>
        <xdr:cNvSpPr txBox="1">
          <a:spLocks noChangeArrowheads="1"/>
        </xdr:cNvSpPr>
      </xdr:nvSpPr>
      <xdr:spPr bwMode="auto">
        <a:xfrm>
          <a:off x="3981263" y="13704721"/>
          <a:ext cx="1312022" cy="40334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45704</xdr:rowOff>
    </xdr:from>
    <xdr:to>
      <xdr:col>5</xdr:col>
      <xdr:colOff>102160</xdr:colOff>
      <xdr:row>89</xdr:row>
      <xdr:rowOff>85701</xdr:rowOff>
    </xdr:to>
    <xdr:sp macro="" textlink="">
      <xdr:nvSpPr>
        <xdr:cNvPr id="1216" name="Text Box 60" hidden="1">
          <a:extLst>
            <a:ext uri="{FF2B5EF4-FFF2-40B4-BE49-F238E27FC236}">
              <a16:creationId xmlns:a16="http://schemas.microsoft.com/office/drawing/2014/main" id="{D3FE4B76-8625-4DB3-AB35-127021B987C7}"/>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121496</xdr:rowOff>
    </xdr:from>
    <xdr:to>
      <xdr:col>5</xdr:col>
      <xdr:colOff>102160</xdr:colOff>
      <xdr:row>88</xdr:row>
      <xdr:rowOff>85141</xdr:rowOff>
    </xdr:to>
    <xdr:sp macro="" textlink="">
      <xdr:nvSpPr>
        <xdr:cNvPr id="1217" name="Text Box 59" hidden="1">
          <a:extLst>
            <a:ext uri="{FF2B5EF4-FFF2-40B4-BE49-F238E27FC236}">
              <a16:creationId xmlns:a16="http://schemas.microsoft.com/office/drawing/2014/main" id="{ECB3381D-D5B0-4063-8CD5-991D57709F7A}"/>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67140</xdr:rowOff>
    </xdr:from>
    <xdr:to>
      <xdr:col>5</xdr:col>
      <xdr:colOff>102160</xdr:colOff>
      <xdr:row>89</xdr:row>
      <xdr:rowOff>3151</xdr:rowOff>
    </xdr:to>
    <xdr:sp macro="" textlink="">
      <xdr:nvSpPr>
        <xdr:cNvPr id="1218" name="Text Box 58" hidden="1">
          <a:extLst>
            <a:ext uri="{FF2B5EF4-FFF2-40B4-BE49-F238E27FC236}">
              <a16:creationId xmlns:a16="http://schemas.microsoft.com/office/drawing/2014/main" id="{7FEAE98F-D90D-45E2-A78D-471099FACA60}"/>
            </a:ext>
          </a:extLst>
        </xdr:cNvPr>
        <xdr:cNvSpPr txBox="1">
          <a:spLocks noChangeArrowheads="1"/>
        </xdr:cNvSpPr>
      </xdr:nvSpPr>
      <xdr:spPr bwMode="auto">
        <a:xfrm>
          <a:off x="3981263" y="16808915"/>
          <a:ext cx="1312022" cy="2549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45609</xdr:rowOff>
    </xdr:from>
    <xdr:to>
      <xdr:col>5</xdr:col>
      <xdr:colOff>102160</xdr:colOff>
      <xdr:row>90</xdr:row>
      <xdr:rowOff>174043</xdr:rowOff>
    </xdr:to>
    <xdr:sp macro="" textlink="">
      <xdr:nvSpPr>
        <xdr:cNvPr id="1219" name="Text Box 57" hidden="1">
          <a:extLst>
            <a:ext uri="{FF2B5EF4-FFF2-40B4-BE49-F238E27FC236}">
              <a16:creationId xmlns:a16="http://schemas.microsoft.com/office/drawing/2014/main" id="{F69430E7-E1D1-48E8-9A20-79DC80A101DC}"/>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154350</xdr:rowOff>
    </xdr:from>
    <xdr:to>
      <xdr:col>5</xdr:col>
      <xdr:colOff>102160</xdr:colOff>
      <xdr:row>109</xdr:row>
      <xdr:rowOff>77129</xdr:rowOff>
    </xdr:to>
    <xdr:sp macro="" textlink="">
      <xdr:nvSpPr>
        <xdr:cNvPr id="1220" name="Text Box 56" hidden="1">
          <a:extLst>
            <a:ext uri="{FF2B5EF4-FFF2-40B4-BE49-F238E27FC236}">
              <a16:creationId xmlns:a16="http://schemas.microsoft.com/office/drawing/2014/main" id="{74498B20-8329-42BE-821D-63941E77D4FE}"/>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1407</xdr:rowOff>
    </xdr:from>
    <xdr:to>
      <xdr:col>5</xdr:col>
      <xdr:colOff>102160</xdr:colOff>
      <xdr:row>106</xdr:row>
      <xdr:rowOff>145067</xdr:rowOff>
    </xdr:to>
    <xdr:sp macro="" textlink="">
      <xdr:nvSpPr>
        <xdr:cNvPr id="1221" name="Text Box 55" hidden="1">
          <a:extLst>
            <a:ext uri="{FF2B5EF4-FFF2-40B4-BE49-F238E27FC236}">
              <a16:creationId xmlns:a16="http://schemas.microsoft.com/office/drawing/2014/main" id="{DD44FF76-BD6E-48AE-9B5C-5B788DE85ED9}"/>
            </a:ext>
          </a:extLst>
        </xdr:cNvPr>
        <xdr:cNvSpPr txBox="1">
          <a:spLocks noChangeArrowheads="1"/>
        </xdr:cNvSpPr>
      </xdr:nvSpPr>
      <xdr:spPr bwMode="auto">
        <a:xfrm>
          <a:off x="3981263" y="21527907"/>
          <a:ext cx="1312022" cy="12961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1769</xdr:rowOff>
    </xdr:from>
    <xdr:to>
      <xdr:col>5</xdr:col>
      <xdr:colOff>102160</xdr:colOff>
      <xdr:row>106</xdr:row>
      <xdr:rowOff>145067</xdr:rowOff>
    </xdr:to>
    <xdr:sp macro="" textlink="">
      <xdr:nvSpPr>
        <xdr:cNvPr id="1222" name="Text Box 54" hidden="1">
          <a:extLst>
            <a:ext uri="{FF2B5EF4-FFF2-40B4-BE49-F238E27FC236}">
              <a16:creationId xmlns:a16="http://schemas.microsoft.com/office/drawing/2014/main" id="{70B0624D-74E9-49B4-8736-AFCEBB8BFC02}"/>
            </a:ext>
          </a:extLst>
        </xdr:cNvPr>
        <xdr:cNvSpPr txBox="1">
          <a:spLocks noChangeArrowheads="1"/>
        </xdr:cNvSpPr>
      </xdr:nvSpPr>
      <xdr:spPr bwMode="auto">
        <a:xfrm>
          <a:off x="3981263" y="21709244"/>
          <a:ext cx="1312022" cy="11148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150994</xdr:rowOff>
    </xdr:from>
    <xdr:to>
      <xdr:col>5</xdr:col>
      <xdr:colOff>102160</xdr:colOff>
      <xdr:row>106</xdr:row>
      <xdr:rowOff>145067</xdr:rowOff>
    </xdr:to>
    <xdr:sp macro="" textlink="">
      <xdr:nvSpPr>
        <xdr:cNvPr id="1223" name="Text Box 53" hidden="1">
          <a:extLst>
            <a:ext uri="{FF2B5EF4-FFF2-40B4-BE49-F238E27FC236}">
              <a16:creationId xmlns:a16="http://schemas.microsoft.com/office/drawing/2014/main" id="{4231AD31-7EF6-4735-AF85-73D59B2602BE}"/>
            </a:ext>
          </a:extLst>
        </xdr:cNvPr>
        <xdr:cNvSpPr txBox="1">
          <a:spLocks noChangeArrowheads="1"/>
        </xdr:cNvSpPr>
      </xdr:nvSpPr>
      <xdr:spPr bwMode="auto">
        <a:xfrm>
          <a:off x="3981263" y="21677494"/>
          <a:ext cx="1312022" cy="11465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67945</xdr:rowOff>
    </xdr:from>
    <xdr:to>
      <xdr:col>21</xdr:col>
      <xdr:colOff>254522</xdr:colOff>
      <xdr:row>128</xdr:row>
      <xdr:rowOff>78988</xdr:rowOff>
    </xdr:to>
    <xdr:sp macro="" textlink="">
      <xdr:nvSpPr>
        <xdr:cNvPr id="1224" name="Text Box 52" hidden="1">
          <a:extLst>
            <a:ext uri="{FF2B5EF4-FFF2-40B4-BE49-F238E27FC236}">
              <a16:creationId xmlns:a16="http://schemas.microsoft.com/office/drawing/2014/main" id="{67381C77-0177-4829-80A4-1B36E787D384}"/>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239059</xdr:rowOff>
    </xdr:to>
    <xdr:sp macro="" textlink="">
      <xdr:nvSpPr>
        <xdr:cNvPr id="1225" name="Text Box 51" hidden="1">
          <a:extLst>
            <a:ext uri="{FF2B5EF4-FFF2-40B4-BE49-F238E27FC236}">
              <a16:creationId xmlns:a16="http://schemas.microsoft.com/office/drawing/2014/main" id="{9DC1FAFB-78EC-4D25-91C8-DD2194DF005C}"/>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226" name="Text Box 50" hidden="1">
          <a:extLst>
            <a:ext uri="{FF2B5EF4-FFF2-40B4-BE49-F238E27FC236}">
              <a16:creationId xmlns:a16="http://schemas.microsoft.com/office/drawing/2014/main" id="{09B6A568-12F2-4B21-889D-4745187686EE}"/>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128</xdr:row>
      <xdr:rowOff>78988</xdr:rowOff>
    </xdr:from>
    <xdr:to>
      <xdr:col>22</xdr:col>
      <xdr:colOff>425971</xdr:colOff>
      <xdr:row>132</xdr:row>
      <xdr:rowOff>66120</xdr:rowOff>
    </xdr:to>
    <xdr:sp macro="" textlink="">
      <xdr:nvSpPr>
        <xdr:cNvPr id="1227" name="Text Box 49" hidden="1">
          <a:extLst>
            <a:ext uri="{FF2B5EF4-FFF2-40B4-BE49-F238E27FC236}">
              <a16:creationId xmlns:a16="http://schemas.microsoft.com/office/drawing/2014/main" id="{A2F55478-3D18-45F8-8E49-D0A677DCC236}"/>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39</xdr:row>
      <xdr:rowOff>50426</xdr:rowOff>
    </xdr:from>
    <xdr:to>
      <xdr:col>11</xdr:col>
      <xdr:colOff>639676</xdr:colOff>
      <xdr:row>43</xdr:row>
      <xdr:rowOff>160991</xdr:rowOff>
    </xdr:to>
    <xdr:sp macro="" textlink="">
      <xdr:nvSpPr>
        <xdr:cNvPr id="1228" name="Text Box 48" hidden="1">
          <a:extLst>
            <a:ext uri="{FF2B5EF4-FFF2-40B4-BE49-F238E27FC236}">
              <a16:creationId xmlns:a16="http://schemas.microsoft.com/office/drawing/2014/main" id="{CF4DB54A-7B6E-4A93-AAA8-46621735D06A}"/>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334309</xdr:rowOff>
    </xdr:to>
    <xdr:sp macro="" textlink="">
      <xdr:nvSpPr>
        <xdr:cNvPr id="1229" name="Text Box 47" hidden="1">
          <a:extLst>
            <a:ext uri="{FF2B5EF4-FFF2-40B4-BE49-F238E27FC236}">
              <a16:creationId xmlns:a16="http://schemas.microsoft.com/office/drawing/2014/main" id="{E3DCDAE5-7A1E-4D4C-9424-79EC80C5E97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230" name="Text Box 46" hidden="1">
          <a:extLst>
            <a:ext uri="{FF2B5EF4-FFF2-40B4-BE49-F238E27FC236}">
              <a16:creationId xmlns:a16="http://schemas.microsoft.com/office/drawing/2014/main" id="{A7494F29-2D54-4927-ABFC-8AF7481662AC}"/>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128</xdr:row>
      <xdr:rowOff>78988</xdr:rowOff>
    </xdr:from>
    <xdr:to>
      <xdr:col>24</xdr:col>
      <xdr:colOff>464072</xdr:colOff>
      <xdr:row>132</xdr:row>
      <xdr:rowOff>160978</xdr:rowOff>
    </xdr:to>
    <xdr:sp macro="" textlink="">
      <xdr:nvSpPr>
        <xdr:cNvPr id="1231" name="Text Box 45" hidden="1">
          <a:extLst>
            <a:ext uri="{FF2B5EF4-FFF2-40B4-BE49-F238E27FC236}">
              <a16:creationId xmlns:a16="http://schemas.microsoft.com/office/drawing/2014/main" id="{67A1A318-4471-4D8F-ABA8-189DC2D602CB}"/>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23</xdr:row>
      <xdr:rowOff>296209</xdr:rowOff>
    </xdr:to>
    <xdr:sp macro="" textlink="">
      <xdr:nvSpPr>
        <xdr:cNvPr id="1232" name="Text Box 44" hidden="1">
          <a:extLst>
            <a:ext uri="{FF2B5EF4-FFF2-40B4-BE49-F238E27FC236}">
              <a16:creationId xmlns:a16="http://schemas.microsoft.com/office/drawing/2014/main" id="{105621C0-5F82-41C5-9EA6-E0A02AFD76AC}"/>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1233" name="Text Box 43" hidden="1">
          <a:extLst>
            <a:ext uri="{FF2B5EF4-FFF2-40B4-BE49-F238E27FC236}">
              <a16:creationId xmlns:a16="http://schemas.microsoft.com/office/drawing/2014/main" id="{4D21018E-1AFE-44AC-8676-EDCB64367DE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128</xdr:row>
      <xdr:rowOff>126613</xdr:rowOff>
    </xdr:from>
    <xdr:to>
      <xdr:col>25</xdr:col>
      <xdr:colOff>464072</xdr:colOff>
      <xdr:row>132</xdr:row>
      <xdr:rowOff>160978</xdr:rowOff>
    </xdr:to>
    <xdr:sp macro="" textlink="">
      <xdr:nvSpPr>
        <xdr:cNvPr id="1234" name="Text Box 42" hidden="1">
          <a:extLst>
            <a:ext uri="{FF2B5EF4-FFF2-40B4-BE49-F238E27FC236}">
              <a16:creationId xmlns:a16="http://schemas.microsoft.com/office/drawing/2014/main" id="{C3D7B2B5-B224-45CA-9E07-28356EC9BE1E}"/>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43</xdr:row>
      <xdr:rowOff>31376</xdr:rowOff>
    </xdr:from>
    <xdr:to>
      <xdr:col>11</xdr:col>
      <xdr:colOff>715876</xdr:colOff>
      <xdr:row>47</xdr:row>
      <xdr:rowOff>50427</xdr:rowOff>
    </xdr:to>
    <xdr:sp macro="" textlink="">
      <xdr:nvSpPr>
        <xdr:cNvPr id="1235" name="Text Box 41" hidden="1">
          <a:extLst>
            <a:ext uri="{FF2B5EF4-FFF2-40B4-BE49-F238E27FC236}">
              <a16:creationId xmlns:a16="http://schemas.microsoft.com/office/drawing/2014/main" id="{D4BC4E12-33F2-4531-9F93-62E0FA4977F4}"/>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43</xdr:row>
      <xdr:rowOff>31376</xdr:rowOff>
    </xdr:from>
    <xdr:to>
      <xdr:col>13</xdr:col>
      <xdr:colOff>507975</xdr:colOff>
      <xdr:row>47</xdr:row>
      <xdr:rowOff>50427</xdr:rowOff>
    </xdr:to>
    <xdr:sp macro="" textlink="">
      <xdr:nvSpPr>
        <xdr:cNvPr id="1236" name="Text Box 40" hidden="1">
          <a:extLst>
            <a:ext uri="{FF2B5EF4-FFF2-40B4-BE49-F238E27FC236}">
              <a16:creationId xmlns:a16="http://schemas.microsoft.com/office/drawing/2014/main" id="{FA646F07-3C02-4C38-9C4B-29BA2B21FA44}"/>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133024</xdr:rowOff>
    </xdr:from>
    <xdr:to>
      <xdr:col>30</xdr:col>
      <xdr:colOff>296164</xdr:colOff>
      <xdr:row>33</xdr:row>
      <xdr:rowOff>16623</xdr:rowOff>
    </xdr:to>
    <xdr:sp macro="" textlink="">
      <xdr:nvSpPr>
        <xdr:cNvPr id="1237" name="Text Box 39" hidden="1">
          <a:extLst>
            <a:ext uri="{FF2B5EF4-FFF2-40B4-BE49-F238E27FC236}">
              <a16:creationId xmlns:a16="http://schemas.microsoft.com/office/drawing/2014/main" id="{2F8E29D5-CCCF-44C4-9E33-E29E6615A8A6}"/>
            </a:ext>
          </a:extLst>
        </xdr:cNvPr>
        <xdr:cNvSpPr txBox="1">
          <a:spLocks noChangeArrowheads="1"/>
        </xdr:cNvSpPr>
      </xdr:nvSpPr>
      <xdr:spPr bwMode="auto">
        <a:xfrm>
          <a:off x="24557832" y="5908349"/>
          <a:ext cx="1332007" cy="13313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50427</xdr:rowOff>
    </xdr:from>
    <xdr:to>
      <xdr:col>27</xdr:col>
      <xdr:colOff>454546</xdr:colOff>
      <xdr:row>33</xdr:row>
      <xdr:rowOff>155561</xdr:rowOff>
    </xdr:to>
    <xdr:sp macro="" textlink="">
      <xdr:nvSpPr>
        <xdr:cNvPr id="1238" name="Text Box 38" hidden="1">
          <a:extLst>
            <a:ext uri="{FF2B5EF4-FFF2-40B4-BE49-F238E27FC236}">
              <a16:creationId xmlns:a16="http://schemas.microsoft.com/office/drawing/2014/main" id="{A351C14C-33F5-44BE-B368-FFE0A6BD54DC}"/>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59</xdr:row>
      <xdr:rowOff>73305</xdr:rowOff>
    </xdr:from>
    <xdr:to>
      <xdr:col>14</xdr:col>
      <xdr:colOff>362839</xdr:colOff>
      <xdr:row>60</xdr:row>
      <xdr:rowOff>349290</xdr:rowOff>
    </xdr:to>
    <xdr:sp macro="" textlink="">
      <xdr:nvSpPr>
        <xdr:cNvPr id="1239" name="Text Box 75" hidden="1">
          <a:extLst>
            <a:ext uri="{FF2B5EF4-FFF2-40B4-BE49-F238E27FC236}">
              <a16:creationId xmlns:a16="http://schemas.microsoft.com/office/drawing/2014/main" id="{74171261-2207-400D-A2B3-3377F101313D}"/>
            </a:ext>
          </a:extLst>
        </xdr:cNvPr>
        <xdr:cNvSpPr txBox="1">
          <a:spLocks noChangeArrowheads="1"/>
        </xdr:cNvSpPr>
      </xdr:nvSpPr>
      <xdr:spPr bwMode="auto">
        <a:xfrm>
          <a:off x="11915918" y="12554230"/>
          <a:ext cx="1429496" cy="6633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61</xdr:row>
      <xdr:rowOff>383834</xdr:rowOff>
    </xdr:from>
    <xdr:to>
      <xdr:col>14</xdr:col>
      <xdr:colOff>450825</xdr:colOff>
      <xdr:row>64</xdr:row>
      <xdr:rowOff>85146</xdr:rowOff>
    </xdr:to>
    <xdr:sp macro="" textlink="">
      <xdr:nvSpPr>
        <xdr:cNvPr id="1240" name="Text Box 78" hidden="1">
          <a:extLst>
            <a:ext uri="{FF2B5EF4-FFF2-40B4-BE49-F238E27FC236}">
              <a16:creationId xmlns:a16="http://schemas.microsoft.com/office/drawing/2014/main" id="{4121841A-18A0-4405-8D46-7917FFECC384}"/>
            </a:ext>
          </a:extLst>
        </xdr:cNvPr>
        <xdr:cNvSpPr txBox="1">
          <a:spLocks noChangeArrowheads="1"/>
        </xdr:cNvSpPr>
      </xdr:nvSpPr>
      <xdr:spPr bwMode="auto">
        <a:xfrm>
          <a:off x="11954018" y="13639459"/>
          <a:ext cx="1479382" cy="6950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43</xdr:row>
      <xdr:rowOff>31376</xdr:rowOff>
    </xdr:from>
    <xdr:to>
      <xdr:col>14</xdr:col>
      <xdr:colOff>450825</xdr:colOff>
      <xdr:row>47</xdr:row>
      <xdr:rowOff>50427</xdr:rowOff>
    </xdr:to>
    <xdr:sp macro="" textlink="">
      <xdr:nvSpPr>
        <xdr:cNvPr id="1241" name="Text Box 81" hidden="1">
          <a:extLst>
            <a:ext uri="{FF2B5EF4-FFF2-40B4-BE49-F238E27FC236}">
              <a16:creationId xmlns:a16="http://schemas.microsoft.com/office/drawing/2014/main" id="{DA2D6842-B21A-430E-949E-6A630EC5ABC0}"/>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60</xdr:row>
      <xdr:rowOff>237640</xdr:rowOff>
    </xdr:from>
    <xdr:to>
      <xdr:col>5</xdr:col>
      <xdr:colOff>294154</xdr:colOff>
      <xdr:row>62</xdr:row>
      <xdr:rowOff>174556</xdr:rowOff>
    </xdr:to>
    <xdr:sp macro="" textlink="">
      <xdr:nvSpPr>
        <xdr:cNvPr id="1242" name="Text Box 82" hidden="1">
          <a:extLst>
            <a:ext uri="{FF2B5EF4-FFF2-40B4-BE49-F238E27FC236}">
              <a16:creationId xmlns:a16="http://schemas.microsoft.com/office/drawing/2014/main" id="{BF5E0D4C-9136-4B7F-9031-C056F0187D0F}"/>
            </a:ext>
          </a:extLst>
        </xdr:cNvPr>
        <xdr:cNvSpPr txBox="1">
          <a:spLocks noChangeArrowheads="1"/>
        </xdr:cNvSpPr>
      </xdr:nvSpPr>
      <xdr:spPr bwMode="auto">
        <a:xfrm>
          <a:off x="4041588" y="13109090"/>
          <a:ext cx="1443691" cy="7147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1243" name="Text Box 115" hidden="1">
          <a:extLst>
            <a:ext uri="{FF2B5EF4-FFF2-40B4-BE49-F238E27FC236}">
              <a16:creationId xmlns:a16="http://schemas.microsoft.com/office/drawing/2014/main" id="{366FBAE8-6035-44C2-B5B5-0857ECBCBA42}"/>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369701</xdr:rowOff>
    </xdr:from>
    <xdr:to>
      <xdr:col>5</xdr:col>
      <xdr:colOff>102160</xdr:colOff>
      <xdr:row>58</xdr:row>
      <xdr:rowOff>369701</xdr:rowOff>
    </xdr:to>
    <xdr:sp macro="" textlink="">
      <xdr:nvSpPr>
        <xdr:cNvPr id="1244" name="Text Box 114" hidden="1">
          <a:extLst>
            <a:ext uri="{FF2B5EF4-FFF2-40B4-BE49-F238E27FC236}">
              <a16:creationId xmlns:a16="http://schemas.microsoft.com/office/drawing/2014/main" id="{BCBB62EF-889F-4D75-B1EA-6A16597BCF89}"/>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17276</xdr:rowOff>
    </xdr:from>
    <xdr:to>
      <xdr:col>5</xdr:col>
      <xdr:colOff>121210</xdr:colOff>
      <xdr:row>79</xdr:row>
      <xdr:rowOff>7178</xdr:rowOff>
    </xdr:to>
    <xdr:sp macro="" textlink="">
      <xdr:nvSpPr>
        <xdr:cNvPr id="1245" name="Text Box 113" hidden="1">
          <a:extLst>
            <a:ext uri="{FF2B5EF4-FFF2-40B4-BE49-F238E27FC236}">
              <a16:creationId xmlns:a16="http://schemas.microsoft.com/office/drawing/2014/main" id="{5445428C-D82E-4A42-BB7F-0D0BB12A7BBA}"/>
            </a:ext>
          </a:extLst>
        </xdr:cNvPr>
        <xdr:cNvSpPr txBox="1">
          <a:spLocks noChangeArrowheads="1"/>
        </xdr:cNvSpPr>
      </xdr:nvSpPr>
      <xdr:spPr bwMode="auto">
        <a:xfrm>
          <a:off x="4000313" y="12498201"/>
          <a:ext cx="1312022" cy="48540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369701</xdr:rowOff>
    </xdr:from>
    <xdr:to>
      <xdr:col>5</xdr:col>
      <xdr:colOff>102160</xdr:colOff>
      <xdr:row>78</xdr:row>
      <xdr:rowOff>163752</xdr:rowOff>
    </xdr:to>
    <xdr:sp macro="" textlink="">
      <xdr:nvSpPr>
        <xdr:cNvPr id="1246" name="Text Box 112" hidden="1">
          <a:extLst>
            <a:ext uri="{FF2B5EF4-FFF2-40B4-BE49-F238E27FC236}">
              <a16:creationId xmlns:a16="http://schemas.microsoft.com/office/drawing/2014/main" id="{A6214006-714A-443C-AA68-E588CF8DB2AC}"/>
            </a:ext>
          </a:extLst>
        </xdr:cNvPr>
        <xdr:cNvSpPr txBox="1">
          <a:spLocks noChangeArrowheads="1"/>
        </xdr:cNvSpPr>
      </xdr:nvSpPr>
      <xdr:spPr bwMode="auto">
        <a:xfrm>
          <a:off x="3981263" y="12460101"/>
          <a:ext cx="1312022" cy="4664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369701</xdr:rowOff>
    </xdr:from>
    <xdr:to>
      <xdr:col>5</xdr:col>
      <xdr:colOff>102160</xdr:colOff>
      <xdr:row>78</xdr:row>
      <xdr:rowOff>200156</xdr:rowOff>
    </xdr:to>
    <xdr:sp macro="" textlink="">
      <xdr:nvSpPr>
        <xdr:cNvPr id="1247" name="Text Box 111" hidden="1">
          <a:extLst>
            <a:ext uri="{FF2B5EF4-FFF2-40B4-BE49-F238E27FC236}">
              <a16:creationId xmlns:a16="http://schemas.microsoft.com/office/drawing/2014/main" id="{EBF31880-E656-450D-8947-8D33FE0F5BB0}"/>
            </a:ext>
          </a:extLst>
        </xdr:cNvPr>
        <xdr:cNvSpPr txBox="1">
          <a:spLocks noChangeArrowheads="1"/>
        </xdr:cNvSpPr>
      </xdr:nvSpPr>
      <xdr:spPr bwMode="auto">
        <a:xfrm>
          <a:off x="3981263" y="12460101"/>
          <a:ext cx="1312022" cy="47040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58571</xdr:rowOff>
    </xdr:from>
    <xdr:to>
      <xdr:col>5</xdr:col>
      <xdr:colOff>102160</xdr:colOff>
      <xdr:row>81</xdr:row>
      <xdr:rowOff>8847</xdr:rowOff>
    </xdr:to>
    <xdr:sp macro="" textlink="">
      <xdr:nvSpPr>
        <xdr:cNvPr id="1248" name="Text Box 110" hidden="1">
          <a:extLst>
            <a:ext uri="{FF2B5EF4-FFF2-40B4-BE49-F238E27FC236}">
              <a16:creationId xmlns:a16="http://schemas.microsoft.com/office/drawing/2014/main" id="{15D07D0F-6EF1-43E4-A8E2-7B8820201D8C}"/>
            </a:ext>
          </a:extLst>
        </xdr:cNvPr>
        <xdr:cNvSpPr txBox="1">
          <a:spLocks noChangeArrowheads="1"/>
        </xdr:cNvSpPr>
      </xdr:nvSpPr>
      <xdr:spPr bwMode="auto">
        <a:xfrm>
          <a:off x="3981263" y="13704721"/>
          <a:ext cx="1312022" cy="4014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45704</xdr:rowOff>
    </xdr:from>
    <xdr:to>
      <xdr:col>5</xdr:col>
      <xdr:colOff>102160</xdr:colOff>
      <xdr:row>89</xdr:row>
      <xdr:rowOff>85701</xdr:rowOff>
    </xdr:to>
    <xdr:sp macro="" textlink="">
      <xdr:nvSpPr>
        <xdr:cNvPr id="1249" name="Text Box 109" hidden="1">
          <a:extLst>
            <a:ext uri="{FF2B5EF4-FFF2-40B4-BE49-F238E27FC236}">
              <a16:creationId xmlns:a16="http://schemas.microsoft.com/office/drawing/2014/main" id="{C2584D5E-F8D8-4140-92C7-FF1EF79CFF11}"/>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121496</xdr:rowOff>
    </xdr:from>
    <xdr:to>
      <xdr:col>5</xdr:col>
      <xdr:colOff>102160</xdr:colOff>
      <xdr:row>88</xdr:row>
      <xdr:rowOff>85141</xdr:rowOff>
    </xdr:to>
    <xdr:sp macro="" textlink="">
      <xdr:nvSpPr>
        <xdr:cNvPr id="1250" name="Text Box 108" hidden="1">
          <a:extLst>
            <a:ext uri="{FF2B5EF4-FFF2-40B4-BE49-F238E27FC236}">
              <a16:creationId xmlns:a16="http://schemas.microsoft.com/office/drawing/2014/main" id="{002B3DD5-1685-41A5-AF23-105F0AEA78AD}"/>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67140</xdr:rowOff>
    </xdr:from>
    <xdr:to>
      <xdr:col>5</xdr:col>
      <xdr:colOff>102160</xdr:colOff>
      <xdr:row>88</xdr:row>
      <xdr:rowOff>174041</xdr:rowOff>
    </xdr:to>
    <xdr:sp macro="" textlink="">
      <xdr:nvSpPr>
        <xdr:cNvPr id="1251" name="Text Box 107" hidden="1">
          <a:extLst>
            <a:ext uri="{FF2B5EF4-FFF2-40B4-BE49-F238E27FC236}">
              <a16:creationId xmlns:a16="http://schemas.microsoft.com/office/drawing/2014/main" id="{A8112FA2-386F-443B-A700-1243FC1CF9C1}"/>
            </a:ext>
          </a:extLst>
        </xdr:cNvPr>
        <xdr:cNvSpPr txBox="1">
          <a:spLocks noChangeArrowheads="1"/>
        </xdr:cNvSpPr>
      </xdr:nvSpPr>
      <xdr:spPr bwMode="auto">
        <a:xfrm>
          <a:off x="3981263" y="16808915"/>
          <a:ext cx="1312022" cy="2535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45609</xdr:rowOff>
    </xdr:from>
    <xdr:to>
      <xdr:col>5</xdr:col>
      <xdr:colOff>102160</xdr:colOff>
      <xdr:row>90</xdr:row>
      <xdr:rowOff>174043</xdr:rowOff>
    </xdr:to>
    <xdr:sp macro="" textlink="">
      <xdr:nvSpPr>
        <xdr:cNvPr id="1252" name="Text Box 106" hidden="1">
          <a:extLst>
            <a:ext uri="{FF2B5EF4-FFF2-40B4-BE49-F238E27FC236}">
              <a16:creationId xmlns:a16="http://schemas.microsoft.com/office/drawing/2014/main" id="{2EFA378B-CC4E-4276-9892-EEE306838AFF}"/>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154350</xdr:rowOff>
    </xdr:from>
    <xdr:to>
      <xdr:col>5</xdr:col>
      <xdr:colOff>102160</xdr:colOff>
      <xdr:row>109</xdr:row>
      <xdr:rowOff>77129</xdr:rowOff>
    </xdr:to>
    <xdr:sp macro="" textlink="">
      <xdr:nvSpPr>
        <xdr:cNvPr id="1253" name="Text Box 105" hidden="1">
          <a:extLst>
            <a:ext uri="{FF2B5EF4-FFF2-40B4-BE49-F238E27FC236}">
              <a16:creationId xmlns:a16="http://schemas.microsoft.com/office/drawing/2014/main" id="{ED11C1F9-C351-4465-9C0B-FC0F9357ED46}"/>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1407</xdr:rowOff>
    </xdr:from>
    <xdr:to>
      <xdr:col>5</xdr:col>
      <xdr:colOff>102160</xdr:colOff>
      <xdr:row>106</xdr:row>
      <xdr:rowOff>164117</xdr:rowOff>
    </xdr:to>
    <xdr:sp macro="" textlink="">
      <xdr:nvSpPr>
        <xdr:cNvPr id="1254" name="Text Box 104" hidden="1">
          <a:extLst>
            <a:ext uri="{FF2B5EF4-FFF2-40B4-BE49-F238E27FC236}">
              <a16:creationId xmlns:a16="http://schemas.microsoft.com/office/drawing/2014/main" id="{A33B83FE-ABA8-4221-AA89-361B7E0D425F}"/>
            </a:ext>
          </a:extLst>
        </xdr:cNvPr>
        <xdr:cNvSpPr txBox="1">
          <a:spLocks noChangeArrowheads="1"/>
        </xdr:cNvSpPr>
      </xdr:nvSpPr>
      <xdr:spPr bwMode="auto">
        <a:xfrm>
          <a:off x="3981263" y="21527907"/>
          <a:ext cx="1312022" cy="13152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1769</xdr:rowOff>
    </xdr:from>
    <xdr:to>
      <xdr:col>5</xdr:col>
      <xdr:colOff>102160</xdr:colOff>
      <xdr:row>106</xdr:row>
      <xdr:rowOff>164117</xdr:rowOff>
    </xdr:to>
    <xdr:sp macro="" textlink="">
      <xdr:nvSpPr>
        <xdr:cNvPr id="1255" name="Text Box 103" hidden="1">
          <a:extLst>
            <a:ext uri="{FF2B5EF4-FFF2-40B4-BE49-F238E27FC236}">
              <a16:creationId xmlns:a16="http://schemas.microsoft.com/office/drawing/2014/main" id="{35A2D5C6-FF0A-45B0-A99C-F2C6E37F16F3}"/>
            </a:ext>
          </a:extLst>
        </xdr:cNvPr>
        <xdr:cNvSpPr txBox="1">
          <a:spLocks noChangeArrowheads="1"/>
        </xdr:cNvSpPr>
      </xdr:nvSpPr>
      <xdr:spPr bwMode="auto">
        <a:xfrm>
          <a:off x="3981263" y="21709244"/>
          <a:ext cx="1312022" cy="11338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150994</xdr:rowOff>
    </xdr:from>
    <xdr:to>
      <xdr:col>5</xdr:col>
      <xdr:colOff>102160</xdr:colOff>
      <xdr:row>106</xdr:row>
      <xdr:rowOff>164117</xdr:rowOff>
    </xdr:to>
    <xdr:sp macro="" textlink="">
      <xdr:nvSpPr>
        <xdr:cNvPr id="1256" name="Text Box 102" hidden="1">
          <a:extLst>
            <a:ext uri="{FF2B5EF4-FFF2-40B4-BE49-F238E27FC236}">
              <a16:creationId xmlns:a16="http://schemas.microsoft.com/office/drawing/2014/main" id="{1B17C024-27FF-44EE-B170-0BA65F7D7E3C}"/>
            </a:ext>
          </a:extLst>
        </xdr:cNvPr>
        <xdr:cNvSpPr txBox="1">
          <a:spLocks noChangeArrowheads="1"/>
        </xdr:cNvSpPr>
      </xdr:nvSpPr>
      <xdr:spPr bwMode="auto">
        <a:xfrm>
          <a:off x="3981263" y="21677494"/>
          <a:ext cx="1312022" cy="11656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67945</xdr:rowOff>
    </xdr:from>
    <xdr:to>
      <xdr:col>21</xdr:col>
      <xdr:colOff>254522</xdr:colOff>
      <xdr:row>128</xdr:row>
      <xdr:rowOff>78988</xdr:rowOff>
    </xdr:to>
    <xdr:sp macro="" textlink="">
      <xdr:nvSpPr>
        <xdr:cNvPr id="1257" name="Text Box 101" hidden="1">
          <a:extLst>
            <a:ext uri="{FF2B5EF4-FFF2-40B4-BE49-F238E27FC236}">
              <a16:creationId xmlns:a16="http://schemas.microsoft.com/office/drawing/2014/main" id="{03E634EB-1EE9-4EFB-A51D-DBAF0431919D}"/>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239059</xdr:rowOff>
    </xdr:to>
    <xdr:sp macro="" textlink="">
      <xdr:nvSpPr>
        <xdr:cNvPr id="1258" name="Text Box 100" hidden="1">
          <a:extLst>
            <a:ext uri="{FF2B5EF4-FFF2-40B4-BE49-F238E27FC236}">
              <a16:creationId xmlns:a16="http://schemas.microsoft.com/office/drawing/2014/main" id="{398D568D-3347-4163-8233-56684159A5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259" name="Text Box 99" hidden="1">
          <a:extLst>
            <a:ext uri="{FF2B5EF4-FFF2-40B4-BE49-F238E27FC236}">
              <a16:creationId xmlns:a16="http://schemas.microsoft.com/office/drawing/2014/main" id="{28672B39-5EE9-4802-B6DF-AACBD0D75336}"/>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128</xdr:row>
      <xdr:rowOff>78988</xdr:rowOff>
    </xdr:from>
    <xdr:to>
      <xdr:col>22</xdr:col>
      <xdr:colOff>425971</xdr:colOff>
      <xdr:row>132</xdr:row>
      <xdr:rowOff>66120</xdr:rowOff>
    </xdr:to>
    <xdr:sp macro="" textlink="">
      <xdr:nvSpPr>
        <xdr:cNvPr id="1260" name="Text Box 98" hidden="1">
          <a:extLst>
            <a:ext uri="{FF2B5EF4-FFF2-40B4-BE49-F238E27FC236}">
              <a16:creationId xmlns:a16="http://schemas.microsoft.com/office/drawing/2014/main" id="{DC3453E7-5092-4F92-9303-5B3F9D9CEDA8}"/>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39</xdr:row>
      <xdr:rowOff>50426</xdr:rowOff>
    </xdr:from>
    <xdr:to>
      <xdr:col>11</xdr:col>
      <xdr:colOff>639676</xdr:colOff>
      <xdr:row>43</xdr:row>
      <xdr:rowOff>160991</xdr:rowOff>
    </xdr:to>
    <xdr:sp macro="" textlink="">
      <xdr:nvSpPr>
        <xdr:cNvPr id="1261" name="Text Box 97" hidden="1">
          <a:extLst>
            <a:ext uri="{FF2B5EF4-FFF2-40B4-BE49-F238E27FC236}">
              <a16:creationId xmlns:a16="http://schemas.microsoft.com/office/drawing/2014/main" id="{B5101776-4352-4D76-85C8-BB825A4F80EB}"/>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334309</xdr:rowOff>
    </xdr:to>
    <xdr:sp macro="" textlink="">
      <xdr:nvSpPr>
        <xdr:cNvPr id="1262" name="Text Box 96" hidden="1">
          <a:extLst>
            <a:ext uri="{FF2B5EF4-FFF2-40B4-BE49-F238E27FC236}">
              <a16:creationId xmlns:a16="http://schemas.microsoft.com/office/drawing/2014/main" id="{919ECE8C-C57E-487E-9FFD-07E07C497C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263" name="Text Box 95" hidden="1">
          <a:extLst>
            <a:ext uri="{FF2B5EF4-FFF2-40B4-BE49-F238E27FC236}">
              <a16:creationId xmlns:a16="http://schemas.microsoft.com/office/drawing/2014/main" id="{262AE63B-89CE-4790-8138-E6BF750B660D}"/>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128</xdr:row>
      <xdr:rowOff>78988</xdr:rowOff>
    </xdr:from>
    <xdr:to>
      <xdr:col>24</xdr:col>
      <xdr:colOff>464072</xdr:colOff>
      <xdr:row>132</xdr:row>
      <xdr:rowOff>160978</xdr:rowOff>
    </xdr:to>
    <xdr:sp macro="" textlink="">
      <xdr:nvSpPr>
        <xdr:cNvPr id="1264" name="Text Box 94" hidden="1">
          <a:extLst>
            <a:ext uri="{FF2B5EF4-FFF2-40B4-BE49-F238E27FC236}">
              <a16:creationId xmlns:a16="http://schemas.microsoft.com/office/drawing/2014/main" id="{25169193-0652-4BDD-80D7-9BDC2D75D3C4}"/>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23</xdr:row>
      <xdr:rowOff>296209</xdr:rowOff>
    </xdr:to>
    <xdr:sp macro="" textlink="">
      <xdr:nvSpPr>
        <xdr:cNvPr id="1265" name="Text Box 93" hidden="1">
          <a:extLst>
            <a:ext uri="{FF2B5EF4-FFF2-40B4-BE49-F238E27FC236}">
              <a16:creationId xmlns:a16="http://schemas.microsoft.com/office/drawing/2014/main" id="{1DC49522-6C40-46EC-8A9C-C51B3E453C5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1266" name="Text Box 92" hidden="1">
          <a:extLst>
            <a:ext uri="{FF2B5EF4-FFF2-40B4-BE49-F238E27FC236}">
              <a16:creationId xmlns:a16="http://schemas.microsoft.com/office/drawing/2014/main" id="{7430A38B-64BD-4063-B21B-64369E722E8E}"/>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128</xdr:row>
      <xdr:rowOff>126613</xdr:rowOff>
    </xdr:from>
    <xdr:to>
      <xdr:col>25</xdr:col>
      <xdr:colOff>464072</xdr:colOff>
      <xdr:row>132</xdr:row>
      <xdr:rowOff>160978</xdr:rowOff>
    </xdr:to>
    <xdr:sp macro="" textlink="">
      <xdr:nvSpPr>
        <xdr:cNvPr id="1267" name="Text Box 91" hidden="1">
          <a:extLst>
            <a:ext uri="{FF2B5EF4-FFF2-40B4-BE49-F238E27FC236}">
              <a16:creationId xmlns:a16="http://schemas.microsoft.com/office/drawing/2014/main" id="{CD3B138B-2FC5-45FA-B184-B3A9425487CF}"/>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43</xdr:row>
      <xdr:rowOff>31376</xdr:rowOff>
    </xdr:from>
    <xdr:to>
      <xdr:col>11</xdr:col>
      <xdr:colOff>715876</xdr:colOff>
      <xdr:row>47</xdr:row>
      <xdr:rowOff>50427</xdr:rowOff>
    </xdr:to>
    <xdr:sp macro="" textlink="">
      <xdr:nvSpPr>
        <xdr:cNvPr id="1268" name="Text Box 90" hidden="1">
          <a:extLst>
            <a:ext uri="{FF2B5EF4-FFF2-40B4-BE49-F238E27FC236}">
              <a16:creationId xmlns:a16="http://schemas.microsoft.com/office/drawing/2014/main" id="{F836B9D3-7697-4C2A-8902-861F4D8021BB}"/>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43</xdr:row>
      <xdr:rowOff>31376</xdr:rowOff>
    </xdr:from>
    <xdr:to>
      <xdr:col>13</xdr:col>
      <xdr:colOff>507975</xdr:colOff>
      <xdr:row>47</xdr:row>
      <xdr:rowOff>50427</xdr:rowOff>
    </xdr:to>
    <xdr:sp macro="" textlink="">
      <xdr:nvSpPr>
        <xdr:cNvPr id="1269" name="Text Box 89" hidden="1">
          <a:extLst>
            <a:ext uri="{FF2B5EF4-FFF2-40B4-BE49-F238E27FC236}">
              <a16:creationId xmlns:a16="http://schemas.microsoft.com/office/drawing/2014/main" id="{96160CAB-2633-42AB-8704-8AA34DDCC7BC}"/>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133024</xdr:rowOff>
    </xdr:from>
    <xdr:to>
      <xdr:col>30</xdr:col>
      <xdr:colOff>296164</xdr:colOff>
      <xdr:row>34</xdr:row>
      <xdr:rowOff>160991</xdr:rowOff>
    </xdr:to>
    <xdr:sp macro="" textlink="">
      <xdr:nvSpPr>
        <xdr:cNvPr id="1270" name="Text Box 88" hidden="1">
          <a:extLst>
            <a:ext uri="{FF2B5EF4-FFF2-40B4-BE49-F238E27FC236}">
              <a16:creationId xmlns:a16="http://schemas.microsoft.com/office/drawing/2014/main" id="{7BFE612B-909D-4934-B0FA-17C3101B452C}"/>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59</xdr:row>
      <xdr:rowOff>73305</xdr:rowOff>
    </xdr:from>
    <xdr:to>
      <xdr:col>14</xdr:col>
      <xdr:colOff>362839</xdr:colOff>
      <xdr:row>61</xdr:row>
      <xdr:rowOff>78716</xdr:rowOff>
    </xdr:to>
    <xdr:sp macro="" textlink="">
      <xdr:nvSpPr>
        <xdr:cNvPr id="1271" name="Text Box 86" hidden="1">
          <a:extLst>
            <a:ext uri="{FF2B5EF4-FFF2-40B4-BE49-F238E27FC236}">
              <a16:creationId xmlns:a16="http://schemas.microsoft.com/office/drawing/2014/main" id="{CC37C2D2-EC4E-4F1E-A493-6CFE64B23315}"/>
            </a:ext>
          </a:extLst>
        </xdr:cNvPr>
        <xdr:cNvSpPr txBox="1">
          <a:spLocks noChangeArrowheads="1"/>
        </xdr:cNvSpPr>
      </xdr:nvSpPr>
      <xdr:spPr bwMode="auto">
        <a:xfrm>
          <a:off x="11915918" y="12554230"/>
          <a:ext cx="1429496" cy="780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61</xdr:row>
      <xdr:rowOff>383834</xdr:rowOff>
    </xdr:from>
    <xdr:to>
      <xdr:col>14</xdr:col>
      <xdr:colOff>450825</xdr:colOff>
      <xdr:row>64</xdr:row>
      <xdr:rowOff>48250</xdr:rowOff>
    </xdr:to>
    <xdr:sp macro="" textlink="">
      <xdr:nvSpPr>
        <xdr:cNvPr id="1272" name="Text Box 85" hidden="1">
          <a:extLst>
            <a:ext uri="{FF2B5EF4-FFF2-40B4-BE49-F238E27FC236}">
              <a16:creationId xmlns:a16="http://schemas.microsoft.com/office/drawing/2014/main" id="{30353536-1CF8-48BB-B269-38C7C123B7EA}"/>
            </a:ext>
          </a:extLst>
        </xdr:cNvPr>
        <xdr:cNvSpPr txBox="1">
          <a:spLocks noChangeArrowheads="1"/>
        </xdr:cNvSpPr>
      </xdr:nvSpPr>
      <xdr:spPr bwMode="auto">
        <a:xfrm>
          <a:off x="11954018" y="13639459"/>
          <a:ext cx="1479382" cy="6581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43</xdr:row>
      <xdr:rowOff>31376</xdr:rowOff>
    </xdr:from>
    <xdr:to>
      <xdr:col>14</xdr:col>
      <xdr:colOff>450825</xdr:colOff>
      <xdr:row>47</xdr:row>
      <xdr:rowOff>50427</xdr:rowOff>
    </xdr:to>
    <xdr:sp macro="" textlink="">
      <xdr:nvSpPr>
        <xdr:cNvPr id="1273" name="Text Box 84" hidden="1">
          <a:extLst>
            <a:ext uri="{FF2B5EF4-FFF2-40B4-BE49-F238E27FC236}">
              <a16:creationId xmlns:a16="http://schemas.microsoft.com/office/drawing/2014/main" id="{5702E2F4-1409-49B5-B4CA-3115440A4167}"/>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60</xdr:row>
      <xdr:rowOff>237640</xdr:rowOff>
    </xdr:from>
    <xdr:to>
      <xdr:col>5</xdr:col>
      <xdr:colOff>268754</xdr:colOff>
      <xdr:row>62</xdr:row>
      <xdr:rowOff>361341</xdr:rowOff>
    </xdr:to>
    <xdr:sp macro="" textlink="">
      <xdr:nvSpPr>
        <xdr:cNvPr id="1274" name="Text Box 83" hidden="1">
          <a:extLst>
            <a:ext uri="{FF2B5EF4-FFF2-40B4-BE49-F238E27FC236}">
              <a16:creationId xmlns:a16="http://schemas.microsoft.com/office/drawing/2014/main" id="{E4BE45F8-B992-4C8A-9BEC-B6B8008BFEA4}"/>
            </a:ext>
          </a:extLst>
        </xdr:cNvPr>
        <xdr:cNvSpPr txBox="1">
          <a:spLocks noChangeArrowheads="1"/>
        </xdr:cNvSpPr>
      </xdr:nvSpPr>
      <xdr:spPr bwMode="auto">
        <a:xfrm>
          <a:off x="4038413" y="13109090"/>
          <a:ext cx="1421466" cy="904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79001</xdr:rowOff>
    </xdr:from>
    <xdr:to>
      <xdr:col>26</xdr:col>
      <xdr:colOff>483123</xdr:colOff>
      <xdr:row>23</xdr:row>
      <xdr:rowOff>315259</xdr:rowOff>
    </xdr:to>
    <xdr:sp macro="" textlink="">
      <xdr:nvSpPr>
        <xdr:cNvPr id="1275" name="Text Box 116" hidden="1">
          <a:extLst>
            <a:ext uri="{FF2B5EF4-FFF2-40B4-BE49-F238E27FC236}">
              <a16:creationId xmlns:a16="http://schemas.microsoft.com/office/drawing/2014/main" id="{0DDC0ED2-C306-402C-845D-975DA5078190}"/>
            </a:ext>
          </a:extLst>
        </xdr:cNvPr>
        <xdr:cNvSpPr txBox="1">
          <a:spLocks noChangeArrowheads="1"/>
        </xdr:cNvSpPr>
      </xdr:nvSpPr>
      <xdr:spPr bwMode="auto">
        <a:xfrm>
          <a:off x="21509833" y="4593851"/>
          <a:ext cx="1376090" cy="776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79002</xdr:rowOff>
    </xdr:from>
    <xdr:to>
      <xdr:col>26</xdr:col>
      <xdr:colOff>483123</xdr:colOff>
      <xdr:row>33</xdr:row>
      <xdr:rowOff>111873</xdr:rowOff>
    </xdr:to>
    <xdr:sp macro="" textlink="">
      <xdr:nvSpPr>
        <xdr:cNvPr id="1276" name="Text Box 117" hidden="1">
          <a:extLst>
            <a:ext uri="{FF2B5EF4-FFF2-40B4-BE49-F238E27FC236}">
              <a16:creationId xmlns:a16="http://schemas.microsoft.com/office/drawing/2014/main" id="{9E186650-9BD5-490F-89A9-2D9F17B001B5}"/>
            </a:ext>
          </a:extLst>
        </xdr:cNvPr>
        <xdr:cNvSpPr txBox="1">
          <a:spLocks noChangeArrowheads="1"/>
        </xdr:cNvSpPr>
      </xdr:nvSpPr>
      <xdr:spPr bwMode="auto">
        <a:xfrm>
          <a:off x="21509833" y="6575052"/>
          <a:ext cx="1376090" cy="759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131</xdr:row>
      <xdr:rowOff>12314</xdr:rowOff>
    </xdr:from>
    <xdr:to>
      <xdr:col>26</xdr:col>
      <xdr:colOff>483123</xdr:colOff>
      <xdr:row>135</xdr:row>
      <xdr:rowOff>48032</xdr:rowOff>
    </xdr:to>
    <xdr:sp macro="" textlink="">
      <xdr:nvSpPr>
        <xdr:cNvPr id="1277" name="Text Box 118" hidden="1">
          <a:extLst>
            <a:ext uri="{FF2B5EF4-FFF2-40B4-BE49-F238E27FC236}">
              <a16:creationId xmlns:a16="http://schemas.microsoft.com/office/drawing/2014/main" id="{7102BBDD-9C53-4F80-96B1-F236EB3634CE}"/>
            </a:ext>
          </a:extLst>
        </xdr:cNvPr>
        <xdr:cNvSpPr txBox="1">
          <a:spLocks noChangeArrowheads="1"/>
        </xdr:cNvSpPr>
      </xdr:nvSpPr>
      <xdr:spPr bwMode="auto">
        <a:xfrm>
          <a:off x="21509833" y="27272864"/>
          <a:ext cx="1376090" cy="759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1278" name="Text Box 153" hidden="1">
          <a:extLst>
            <a:ext uri="{FF2B5EF4-FFF2-40B4-BE49-F238E27FC236}">
              <a16:creationId xmlns:a16="http://schemas.microsoft.com/office/drawing/2014/main" id="{D0F8498D-93EF-45F3-8012-41288F440A7E}"/>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102160</xdr:colOff>
      <xdr:row>61</xdr:row>
      <xdr:rowOff>226472</xdr:rowOff>
    </xdr:to>
    <xdr:sp macro="" textlink="">
      <xdr:nvSpPr>
        <xdr:cNvPr id="1279" name="Text Box 152" hidden="1">
          <a:extLst>
            <a:ext uri="{FF2B5EF4-FFF2-40B4-BE49-F238E27FC236}">
              <a16:creationId xmlns:a16="http://schemas.microsoft.com/office/drawing/2014/main" id="{2E542160-1616-4A18-AF83-6628F2045006}"/>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226472</xdr:rowOff>
    </xdr:from>
    <xdr:to>
      <xdr:col>5</xdr:col>
      <xdr:colOff>121210</xdr:colOff>
      <xdr:row>85</xdr:row>
      <xdr:rowOff>97299</xdr:rowOff>
    </xdr:to>
    <xdr:sp macro="" textlink="">
      <xdr:nvSpPr>
        <xdr:cNvPr id="1280" name="Text Box 151" hidden="1">
          <a:extLst>
            <a:ext uri="{FF2B5EF4-FFF2-40B4-BE49-F238E27FC236}">
              <a16:creationId xmlns:a16="http://schemas.microsoft.com/office/drawing/2014/main" id="{67EC7694-28CE-481F-89D0-62E259C0EBC3}"/>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102160</xdr:colOff>
      <xdr:row>84</xdr:row>
      <xdr:rowOff>88190</xdr:rowOff>
    </xdr:to>
    <xdr:sp macro="" textlink="">
      <xdr:nvSpPr>
        <xdr:cNvPr id="1281" name="Text Box 150" hidden="1">
          <a:extLst>
            <a:ext uri="{FF2B5EF4-FFF2-40B4-BE49-F238E27FC236}">
              <a16:creationId xmlns:a16="http://schemas.microsoft.com/office/drawing/2014/main" id="{01E60698-E098-474D-A0DF-B3FE48F75C13}"/>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102160</xdr:colOff>
      <xdr:row>84</xdr:row>
      <xdr:rowOff>126290</xdr:rowOff>
    </xdr:to>
    <xdr:sp macro="" textlink="">
      <xdr:nvSpPr>
        <xdr:cNvPr id="1282" name="Text Box 149" hidden="1">
          <a:extLst>
            <a:ext uri="{FF2B5EF4-FFF2-40B4-BE49-F238E27FC236}">
              <a16:creationId xmlns:a16="http://schemas.microsoft.com/office/drawing/2014/main" id="{5DABEA92-2E9B-4065-B0BE-316D8CA23DA4}"/>
            </a:ext>
          </a:extLst>
        </xdr:cNvPr>
        <xdr:cNvSpPr txBox="1">
          <a:spLocks noChangeArrowheads="1"/>
        </xdr:cNvSpPr>
      </xdr:nvSpPr>
      <xdr:spPr bwMode="auto">
        <a:xfrm>
          <a:off x="3981263" y="13485272"/>
          <a:ext cx="1312022" cy="48909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59225</xdr:rowOff>
    </xdr:from>
    <xdr:to>
      <xdr:col>5</xdr:col>
      <xdr:colOff>102160</xdr:colOff>
      <xdr:row>87</xdr:row>
      <xdr:rowOff>1235</xdr:rowOff>
    </xdr:to>
    <xdr:sp macro="" textlink="">
      <xdr:nvSpPr>
        <xdr:cNvPr id="1283" name="Text Box 148" hidden="1">
          <a:extLst>
            <a:ext uri="{FF2B5EF4-FFF2-40B4-BE49-F238E27FC236}">
              <a16:creationId xmlns:a16="http://schemas.microsoft.com/office/drawing/2014/main" id="{EF2A0CA3-30EC-4930-89BA-5F25ED8E7503}"/>
            </a:ext>
          </a:extLst>
        </xdr:cNvPr>
        <xdr:cNvSpPr txBox="1">
          <a:spLocks noChangeArrowheads="1"/>
        </xdr:cNvSpPr>
      </xdr:nvSpPr>
      <xdr:spPr bwMode="auto">
        <a:xfrm>
          <a:off x="3981263" y="14489600"/>
          <a:ext cx="1312022" cy="45044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160818</xdr:rowOff>
    </xdr:from>
    <xdr:to>
      <xdr:col>5</xdr:col>
      <xdr:colOff>102160</xdr:colOff>
      <xdr:row>95</xdr:row>
      <xdr:rowOff>150613</xdr:rowOff>
    </xdr:to>
    <xdr:sp macro="" textlink="">
      <xdr:nvSpPr>
        <xdr:cNvPr id="1284" name="Text Box 147" hidden="1">
          <a:extLst>
            <a:ext uri="{FF2B5EF4-FFF2-40B4-BE49-F238E27FC236}">
              <a16:creationId xmlns:a16="http://schemas.microsoft.com/office/drawing/2014/main" id="{FA2BB378-B917-4610-983A-C3EAEDF627D0}"/>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114814</xdr:rowOff>
    </xdr:from>
    <xdr:to>
      <xdr:col>5</xdr:col>
      <xdr:colOff>102160</xdr:colOff>
      <xdr:row>94</xdr:row>
      <xdr:rowOff>48395</xdr:rowOff>
    </xdr:to>
    <xdr:sp macro="" textlink="">
      <xdr:nvSpPr>
        <xdr:cNvPr id="1285" name="Text Box 146" hidden="1">
          <a:extLst>
            <a:ext uri="{FF2B5EF4-FFF2-40B4-BE49-F238E27FC236}">
              <a16:creationId xmlns:a16="http://schemas.microsoft.com/office/drawing/2014/main" id="{49A083D4-D607-46BF-AB26-0C7BB354EBD3}"/>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30069</xdr:rowOff>
    </xdr:from>
    <xdr:to>
      <xdr:col>5</xdr:col>
      <xdr:colOff>102160</xdr:colOff>
      <xdr:row>94</xdr:row>
      <xdr:rowOff>126976</xdr:rowOff>
    </xdr:to>
    <xdr:sp macro="" textlink="">
      <xdr:nvSpPr>
        <xdr:cNvPr id="1286" name="Text Box 145" hidden="1">
          <a:extLst>
            <a:ext uri="{FF2B5EF4-FFF2-40B4-BE49-F238E27FC236}">
              <a16:creationId xmlns:a16="http://schemas.microsoft.com/office/drawing/2014/main" id="{3C8335DD-9544-4746-B0EE-27AD6856F528}"/>
            </a:ext>
          </a:extLst>
        </xdr:cNvPr>
        <xdr:cNvSpPr txBox="1">
          <a:spLocks noChangeArrowheads="1"/>
        </xdr:cNvSpPr>
      </xdr:nvSpPr>
      <xdr:spPr bwMode="auto">
        <a:xfrm>
          <a:off x="3981263" y="17733869"/>
          <a:ext cx="1312022" cy="26527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35348</xdr:rowOff>
    </xdr:from>
    <xdr:to>
      <xdr:col>5</xdr:col>
      <xdr:colOff>102160</xdr:colOff>
      <xdr:row>97</xdr:row>
      <xdr:rowOff>78732</xdr:rowOff>
    </xdr:to>
    <xdr:sp macro="" textlink="">
      <xdr:nvSpPr>
        <xdr:cNvPr id="1287" name="Text Box 144" hidden="1">
          <a:extLst>
            <a:ext uri="{FF2B5EF4-FFF2-40B4-BE49-F238E27FC236}">
              <a16:creationId xmlns:a16="http://schemas.microsoft.com/office/drawing/2014/main" id="{06C50BD7-A6A4-4226-8192-0D33303074BB}"/>
            </a:ext>
          </a:extLst>
        </xdr:cNvPr>
        <xdr:cNvSpPr txBox="1">
          <a:spLocks noChangeArrowheads="1"/>
        </xdr:cNvSpPr>
      </xdr:nvSpPr>
      <xdr:spPr bwMode="auto">
        <a:xfrm>
          <a:off x="3981263" y="17926473"/>
          <a:ext cx="1312022" cy="2954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66056</xdr:rowOff>
    </xdr:from>
    <xdr:to>
      <xdr:col>5</xdr:col>
      <xdr:colOff>102160</xdr:colOff>
      <xdr:row>115</xdr:row>
      <xdr:rowOff>35360</xdr:rowOff>
    </xdr:to>
    <xdr:sp macro="" textlink="">
      <xdr:nvSpPr>
        <xdr:cNvPr id="1288" name="Text Box 143" hidden="1">
          <a:extLst>
            <a:ext uri="{FF2B5EF4-FFF2-40B4-BE49-F238E27FC236}">
              <a16:creationId xmlns:a16="http://schemas.microsoft.com/office/drawing/2014/main" id="{11142F21-1E4F-4AB5-9C61-9A65EA68097A}"/>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40764</xdr:rowOff>
    </xdr:from>
    <xdr:to>
      <xdr:col>5</xdr:col>
      <xdr:colOff>102160</xdr:colOff>
      <xdr:row>112</xdr:row>
      <xdr:rowOff>36003</xdr:rowOff>
    </xdr:to>
    <xdr:sp macro="" textlink="">
      <xdr:nvSpPr>
        <xdr:cNvPr id="1289" name="Text Box 142" hidden="1">
          <a:extLst>
            <a:ext uri="{FF2B5EF4-FFF2-40B4-BE49-F238E27FC236}">
              <a16:creationId xmlns:a16="http://schemas.microsoft.com/office/drawing/2014/main" id="{3A1EA9DB-3146-4929-A5D5-925F0433FEF1}"/>
            </a:ext>
          </a:extLst>
        </xdr:cNvPr>
        <xdr:cNvSpPr txBox="1">
          <a:spLocks noChangeArrowheads="1"/>
        </xdr:cNvSpPr>
      </xdr:nvSpPr>
      <xdr:spPr bwMode="auto">
        <a:xfrm>
          <a:off x="3981263" y="22240364"/>
          <a:ext cx="1312022" cy="1563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22048</xdr:rowOff>
    </xdr:from>
    <xdr:to>
      <xdr:col>5</xdr:col>
      <xdr:colOff>102160</xdr:colOff>
      <xdr:row>111</xdr:row>
      <xdr:rowOff>169996</xdr:rowOff>
    </xdr:to>
    <xdr:sp macro="" textlink="">
      <xdr:nvSpPr>
        <xdr:cNvPr id="1290" name="Text Box 141" hidden="1">
          <a:extLst>
            <a:ext uri="{FF2B5EF4-FFF2-40B4-BE49-F238E27FC236}">
              <a16:creationId xmlns:a16="http://schemas.microsoft.com/office/drawing/2014/main" id="{312B9018-A37D-44CB-A1EA-8C7D969423ED}"/>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222073</xdr:rowOff>
    </xdr:from>
    <xdr:to>
      <xdr:col>5</xdr:col>
      <xdr:colOff>102160</xdr:colOff>
      <xdr:row>111</xdr:row>
      <xdr:rowOff>169996</xdr:rowOff>
    </xdr:to>
    <xdr:sp macro="" textlink="">
      <xdr:nvSpPr>
        <xdr:cNvPr id="1291" name="Text Box 140" hidden="1">
          <a:extLst>
            <a:ext uri="{FF2B5EF4-FFF2-40B4-BE49-F238E27FC236}">
              <a16:creationId xmlns:a16="http://schemas.microsoft.com/office/drawing/2014/main" id="{1D605D92-8FEB-4892-98AA-7406A3CA4603}"/>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128</xdr:row>
      <xdr:rowOff>66121</xdr:rowOff>
    </xdr:from>
    <xdr:to>
      <xdr:col>21</xdr:col>
      <xdr:colOff>254522</xdr:colOff>
      <xdr:row>132</xdr:row>
      <xdr:rowOff>78988</xdr:rowOff>
    </xdr:to>
    <xdr:sp macro="" textlink="">
      <xdr:nvSpPr>
        <xdr:cNvPr id="1292" name="Text Box 139" hidden="1">
          <a:extLst>
            <a:ext uri="{FF2B5EF4-FFF2-40B4-BE49-F238E27FC236}">
              <a16:creationId xmlns:a16="http://schemas.microsoft.com/office/drawing/2014/main" id="{BD65B381-68D6-497F-A81F-035606B94D7A}"/>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239059</xdr:rowOff>
    </xdr:to>
    <xdr:sp macro="" textlink="">
      <xdr:nvSpPr>
        <xdr:cNvPr id="1293" name="Text Box 138" hidden="1">
          <a:extLst>
            <a:ext uri="{FF2B5EF4-FFF2-40B4-BE49-F238E27FC236}">
              <a16:creationId xmlns:a16="http://schemas.microsoft.com/office/drawing/2014/main" id="{C6F55A06-ED31-4FE0-8875-64BDC10B03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294" name="Text Box 137" hidden="1">
          <a:extLst>
            <a:ext uri="{FF2B5EF4-FFF2-40B4-BE49-F238E27FC236}">
              <a16:creationId xmlns:a16="http://schemas.microsoft.com/office/drawing/2014/main" id="{73851F7F-91AD-419E-A9A4-C782DFC86E11}"/>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132</xdr:row>
      <xdr:rowOff>78988</xdr:rowOff>
    </xdr:from>
    <xdr:to>
      <xdr:col>22</xdr:col>
      <xdr:colOff>425971</xdr:colOff>
      <xdr:row>136</xdr:row>
      <xdr:rowOff>66120</xdr:rowOff>
    </xdr:to>
    <xdr:sp macro="" textlink="">
      <xdr:nvSpPr>
        <xdr:cNvPr id="1295" name="Text Box 136" hidden="1">
          <a:extLst>
            <a:ext uri="{FF2B5EF4-FFF2-40B4-BE49-F238E27FC236}">
              <a16:creationId xmlns:a16="http://schemas.microsoft.com/office/drawing/2014/main" id="{B825C489-F05B-4C45-8EC6-6B736BB56B9D}"/>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43</xdr:row>
      <xdr:rowOff>50426</xdr:rowOff>
    </xdr:from>
    <xdr:to>
      <xdr:col>11</xdr:col>
      <xdr:colOff>639676</xdr:colOff>
      <xdr:row>47</xdr:row>
      <xdr:rowOff>160992</xdr:rowOff>
    </xdr:to>
    <xdr:sp macro="" textlink="">
      <xdr:nvSpPr>
        <xdr:cNvPr id="1296" name="Text Box 135" hidden="1">
          <a:extLst>
            <a:ext uri="{FF2B5EF4-FFF2-40B4-BE49-F238E27FC236}">
              <a16:creationId xmlns:a16="http://schemas.microsoft.com/office/drawing/2014/main" id="{85F9E565-7C2C-4259-9B32-F5A35CBE2D2C}"/>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334309</xdr:rowOff>
    </xdr:to>
    <xdr:sp macro="" textlink="">
      <xdr:nvSpPr>
        <xdr:cNvPr id="1297" name="Text Box 134" hidden="1">
          <a:extLst>
            <a:ext uri="{FF2B5EF4-FFF2-40B4-BE49-F238E27FC236}">
              <a16:creationId xmlns:a16="http://schemas.microsoft.com/office/drawing/2014/main" id="{671441A3-800D-4D79-A9E9-9377DFB07EF8}"/>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298" name="Text Box 133" hidden="1">
          <a:extLst>
            <a:ext uri="{FF2B5EF4-FFF2-40B4-BE49-F238E27FC236}">
              <a16:creationId xmlns:a16="http://schemas.microsoft.com/office/drawing/2014/main" id="{F2E38991-F91A-459D-86C1-A07CB4090DB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464072</xdr:colOff>
      <xdr:row>136</xdr:row>
      <xdr:rowOff>160977</xdr:rowOff>
    </xdr:to>
    <xdr:sp macro="" textlink="">
      <xdr:nvSpPr>
        <xdr:cNvPr id="1299" name="Text Box 132" hidden="1">
          <a:extLst>
            <a:ext uri="{FF2B5EF4-FFF2-40B4-BE49-F238E27FC236}">
              <a16:creationId xmlns:a16="http://schemas.microsoft.com/office/drawing/2014/main" id="{BE033FBA-D29C-453D-9099-4A8A614BE63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23</xdr:row>
      <xdr:rowOff>296209</xdr:rowOff>
    </xdr:to>
    <xdr:sp macro="" textlink="">
      <xdr:nvSpPr>
        <xdr:cNvPr id="1300" name="Text Box 131" hidden="1">
          <a:extLst>
            <a:ext uri="{FF2B5EF4-FFF2-40B4-BE49-F238E27FC236}">
              <a16:creationId xmlns:a16="http://schemas.microsoft.com/office/drawing/2014/main" id="{0815F0B8-4B67-4632-BDBE-2325999A72E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1301" name="Text Box 130" hidden="1">
          <a:extLst>
            <a:ext uri="{FF2B5EF4-FFF2-40B4-BE49-F238E27FC236}">
              <a16:creationId xmlns:a16="http://schemas.microsoft.com/office/drawing/2014/main" id="{EDD898C6-0DF3-4B44-996A-A1BF36BE3B6A}"/>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126613</xdr:rowOff>
    </xdr:from>
    <xdr:to>
      <xdr:col>25</xdr:col>
      <xdr:colOff>464072</xdr:colOff>
      <xdr:row>136</xdr:row>
      <xdr:rowOff>160977</xdr:rowOff>
    </xdr:to>
    <xdr:sp macro="" textlink="">
      <xdr:nvSpPr>
        <xdr:cNvPr id="1302" name="Text Box 129" hidden="1">
          <a:extLst>
            <a:ext uri="{FF2B5EF4-FFF2-40B4-BE49-F238E27FC236}">
              <a16:creationId xmlns:a16="http://schemas.microsoft.com/office/drawing/2014/main" id="{27052708-7BDF-4735-88E6-85F76CFB526D}"/>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31377</xdr:rowOff>
    </xdr:from>
    <xdr:to>
      <xdr:col>11</xdr:col>
      <xdr:colOff>715876</xdr:colOff>
      <xdr:row>51</xdr:row>
      <xdr:rowOff>50427</xdr:rowOff>
    </xdr:to>
    <xdr:sp macro="" textlink="">
      <xdr:nvSpPr>
        <xdr:cNvPr id="1303" name="Text Box 128" hidden="1">
          <a:extLst>
            <a:ext uri="{FF2B5EF4-FFF2-40B4-BE49-F238E27FC236}">
              <a16:creationId xmlns:a16="http://schemas.microsoft.com/office/drawing/2014/main" id="{46BBCA1E-C215-4C5E-A520-CCC97129EE12}"/>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31377</xdr:rowOff>
    </xdr:from>
    <xdr:to>
      <xdr:col>13</xdr:col>
      <xdr:colOff>507975</xdr:colOff>
      <xdr:row>51</xdr:row>
      <xdr:rowOff>50427</xdr:rowOff>
    </xdr:to>
    <xdr:sp macro="" textlink="">
      <xdr:nvSpPr>
        <xdr:cNvPr id="1304" name="Text Box 127" hidden="1">
          <a:extLst>
            <a:ext uri="{FF2B5EF4-FFF2-40B4-BE49-F238E27FC236}">
              <a16:creationId xmlns:a16="http://schemas.microsoft.com/office/drawing/2014/main" id="{BFF8388E-6FC3-4BE7-8955-2896B8D3B5F7}"/>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133024</xdr:rowOff>
    </xdr:from>
    <xdr:to>
      <xdr:col>30</xdr:col>
      <xdr:colOff>296164</xdr:colOff>
      <xdr:row>34</xdr:row>
      <xdr:rowOff>160991</xdr:rowOff>
    </xdr:to>
    <xdr:sp macro="" textlink="">
      <xdr:nvSpPr>
        <xdr:cNvPr id="1305" name="Text Box 126" hidden="1">
          <a:extLst>
            <a:ext uri="{FF2B5EF4-FFF2-40B4-BE49-F238E27FC236}">
              <a16:creationId xmlns:a16="http://schemas.microsoft.com/office/drawing/2014/main" id="{C0F8CAED-9157-49C9-8876-8C6D1067D14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226472</xdr:rowOff>
    </xdr:from>
    <xdr:to>
      <xdr:col>14</xdr:col>
      <xdr:colOff>362839</xdr:colOff>
      <xdr:row>61</xdr:row>
      <xdr:rowOff>283767</xdr:rowOff>
    </xdr:to>
    <xdr:sp macro="" textlink="">
      <xdr:nvSpPr>
        <xdr:cNvPr id="1306" name="Text Box 125" hidden="1">
          <a:extLst>
            <a:ext uri="{FF2B5EF4-FFF2-40B4-BE49-F238E27FC236}">
              <a16:creationId xmlns:a16="http://schemas.microsoft.com/office/drawing/2014/main" id="{3868AB6A-8A51-4CA4-9737-1497C91B4AB9}"/>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161984</xdr:rowOff>
    </xdr:from>
    <xdr:to>
      <xdr:col>14</xdr:col>
      <xdr:colOff>450825</xdr:colOff>
      <xdr:row>74</xdr:row>
      <xdr:rowOff>67634</xdr:rowOff>
    </xdr:to>
    <xdr:sp macro="" textlink="">
      <xdr:nvSpPr>
        <xdr:cNvPr id="1307" name="Text Box 124" hidden="1">
          <a:extLst>
            <a:ext uri="{FF2B5EF4-FFF2-40B4-BE49-F238E27FC236}">
              <a16:creationId xmlns:a16="http://schemas.microsoft.com/office/drawing/2014/main" id="{B2353676-A653-4F44-81F8-54BC0FBE4151}"/>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31377</xdr:rowOff>
    </xdr:from>
    <xdr:to>
      <xdr:col>14</xdr:col>
      <xdr:colOff>450825</xdr:colOff>
      <xdr:row>51</xdr:row>
      <xdr:rowOff>50427</xdr:rowOff>
    </xdr:to>
    <xdr:sp macro="" textlink="">
      <xdr:nvSpPr>
        <xdr:cNvPr id="1308" name="Text Box 123" hidden="1">
          <a:extLst>
            <a:ext uri="{FF2B5EF4-FFF2-40B4-BE49-F238E27FC236}">
              <a16:creationId xmlns:a16="http://schemas.microsoft.com/office/drawing/2014/main" id="{B806AF9D-CD30-420C-BDC6-B8ECD647E27D}"/>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62</xdr:row>
      <xdr:rowOff>198297</xdr:rowOff>
    </xdr:from>
    <xdr:to>
      <xdr:col>5</xdr:col>
      <xdr:colOff>268754</xdr:colOff>
      <xdr:row>72</xdr:row>
      <xdr:rowOff>1105</xdr:rowOff>
    </xdr:to>
    <xdr:sp macro="" textlink="">
      <xdr:nvSpPr>
        <xdr:cNvPr id="1309" name="Text Box 122" hidden="1">
          <a:extLst>
            <a:ext uri="{FF2B5EF4-FFF2-40B4-BE49-F238E27FC236}">
              <a16:creationId xmlns:a16="http://schemas.microsoft.com/office/drawing/2014/main" id="{575E33C8-36F3-471D-BC1A-29057B5E1194}"/>
            </a:ext>
          </a:extLst>
        </xdr:cNvPr>
        <xdr:cNvSpPr txBox="1">
          <a:spLocks noChangeArrowheads="1"/>
        </xdr:cNvSpPr>
      </xdr:nvSpPr>
      <xdr:spPr bwMode="auto">
        <a:xfrm>
          <a:off x="4038413" y="13850797"/>
          <a:ext cx="1421466" cy="1990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26</xdr:col>
      <xdr:colOff>483123</xdr:colOff>
      <xdr:row>23</xdr:row>
      <xdr:rowOff>315259</xdr:rowOff>
    </xdr:to>
    <xdr:sp macro="" textlink="">
      <xdr:nvSpPr>
        <xdr:cNvPr id="1310" name="Text Box 121" hidden="1">
          <a:extLst>
            <a:ext uri="{FF2B5EF4-FFF2-40B4-BE49-F238E27FC236}">
              <a16:creationId xmlns:a16="http://schemas.microsoft.com/office/drawing/2014/main" id="{DEC8716A-27F0-49E6-A18C-C61CF66CE2F4}"/>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26</xdr:col>
      <xdr:colOff>483123</xdr:colOff>
      <xdr:row>33</xdr:row>
      <xdr:rowOff>111873</xdr:rowOff>
    </xdr:to>
    <xdr:sp macro="" textlink="">
      <xdr:nvSpPr>
        <xdr:cNvPr id="1311" name="Text Box 120" hidden="1">
          <a:extLst>
            <a:ext uri="{FF2B5EF4-FFF2-40B4-BE49-F238E27FC236}">
              <a16:creationId xmlns:a16="http://schemas.microsoft.com/office/drawing/2014/main" id="{5B51937F-D678-4D01-B3F2-F590ADC0A3AD}"/>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483123</xdr:colOff>
      <xdr:row>139</xdr:row>
      <xdr:rowOff>31097</xdr:rowOff>
    </xdr:to>
    <xdr:sp macro="" textlink="">
      <xdr:nvSpPr>
        <xdr:cNvPr id="1312" name="Text Box 119" hidden="1">
          <a:extLst>
            <a:ext uri="{FF2B5EF4-FFF2-40B4-BE49-F238E27FC236}">
              <a16:creationId xmlns:a16="http://schemas.microsoft.com/office/drawing/2014/main" id="{A50327FB-DBF2-49ED-86DD-D9844421D677}"/>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75826</xdr:rowOff>
    </xdr:from>
    <xdr:to>
      <xdr:col>27</xdr:col>
      <xdr:colOff>473596</xdr:colOff>
      <xdr:row>23</xdr:row>
      <xdr:rowOff>315259</xdr:rowOff>
    </xdr:to>
    <xdr:sp macro="" textlink="">
      <xdr:nvSpPr>
        <xdr:cNvPr id="1313" name="Text Box 154" hidden="1">
          <a:extLst>
            <a:ext uri="{FF2B5EF4-FFF2-40B4-BE49-F238E27FC236}">
              <a16:creationId xmlns:a16="http://schemas.microsoft.com/office/drawing/2014/main" id="{6C1A7276-1D5B-4108-8695-F8FB4E056C91}"/>
            </a:ext>
          </a:extLst>
        </xdr:cNvPr>
        <xdr:cNvSpPr txBox="1">
          <a:spLocks noChangeArrowheads="1"/>
        </xdr:cNvSpPr>
      </xdr:nvSpPr>
      <xdr:spPr bwMode="auto">
        <a:xfrm>
          <a:off x="22271834" y="4590676"/>
          <a:ext cx="1376087" cy="7791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75827</xdr:rowOff>
    </xdr:from>
    <xdr:to>
      <xdr:col>27</xdr:col>
      <xdr:colOff>473596</xdr:colOff>
      <xdr:row>33</xdr:row>
      <xdr:rowOff>111873</xdr:rowOff>
    </xdr:to>
    <xdr:sp macro="" textlink="">
      <xdr:nvSpPr>
        <xdr:cNvPr id="1314" name="Text Box 155" hidden="1">
          <a:extLst>
            <a:ext uri="{FF2B5EF4-FFF2-40B4-BE49-F238E27FC236}">
              <a16:creationId xmlns:a16="http://schemas.microsoft.com/office/drawing/2014/main" id="{A7115394-B84C-4675-A85C-DB165E4EEA7A}"/>
            </a:ext>
          </a:extLst>
        </xdr:cNvPr>
        <xdr:cNvSpPr txBox="1">
          <a:spLocks noChangeArrowheads="1"/>
        </xdr:cNvSpPr>
      </xdr:nvSpPr>
      <xdr:spPr bwMode="auto">
        <a:xfrm>
          <a:off x="22271834" y="6571877"/>
          <a:ext cx="1376087" cy="7631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12314</xdr:rowOff>
    </xdr:from>
    <xdr:to>
      <xdr:col>27</xdr:col>
      <xdr:colOff>473596</xdr:colOff>
      <xdr:row>139</xdr:row>
      <xdr:rowOff>31097</xdr:rowOff>
    </xdr:to>
    <xdr:sp macro="" textlink="">
      <xdr:nvSpPr>
        <xdr:cNvPr id="1315" name="Text Box 156" hidden="1">
          <a:extLst>
            <a:ext uri="{FF2B5EF4-FFF2-40B4-BE49-F238E27FC236}">
              <a16:creationId xmlns:a16="http://schemas.microsoft.com/office/drawing/2014/main" id="{8A1A72E1-7503-4663-9E0C-D9DD20FC3F53}"/>
            </a:ext>
          </a:extLst>
        </xdr:cNvPr>
        <xdr:cNvSpPr txBox="1">
          <a:spLocks noChangeArrowheads="1"/>
        </xdr:cNvSpPr>
      </xdr:nvSpPr>
      <xdr:spPr bwMode="auto">
        <a:xfrm>
          <a:off x="22271834" y="27996764"/>
          <a:ext cx="1376087" cy="742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1316" name="Text Box 38" hidden="1">
          <a:extLst>
            <a:ext uri="{FF2B5EF4-FFF2-40B4-BE49-F238E27FC236}">
              <a16:creationId xmlns:a16="http://schemas.microsoft.com/office/drawing/2014/main" id="{1081B42C-881D-4D67-81DA-2D6457598918}"/>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102160</xdr:colOff>
      <xdr:row>61</xdr:row>
      <xdr:rowOff>226472</xdr:rowOff>
    </xdr:to>
    <xdr:sp macro="" textlink="">
      <xdr:nvSpPr>
        <xdr:cNvPr id="1317" name="Text Box 37" hidden="1">
          <a:extLst>
            <a:ext uri="{FF2B5EF4-FFF2-40B4-BE49-F238E27FC236}">
              <a16:creationId xmlns:a16="http://schemas.microsoft.com/office/drawing/2014/main" id="{B2E1781E-DD10-4C89-8FB9-2BA2E65068A0}"/>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226472</xdr:rowOff>
    </xdr:from>
    <xdr:to>
      <xdr:col>5</xdr:col>
      <xdr:colOff>121210</xdr:colOff>
      <xdr:row>85</xdr:row>
      <xdr:rowOff>97299</xdr:rowOff>
    </xdr:to>
    <xdr:sp macro="" textlink="">
      <xdr:nvSpPr>
        <xdr:cNvPr id="1318" name="Text Box 36" hidden="1">
          <a:extLst>
            <a:ext uri="{FF2B5EF4-FFF2-40B4-BE49-F238E27FC236}">
              <a16:creationId xmlns:a16="http://schemas.microsoft.com/office/drawing/2014/main" id="{5019BBA8-1275-46DB-82F0-7A8824931F0D}"/>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102160</xdr:colOff>
      <xdr:row>84</xdr:row>
      <xdr:rowOff>88190</xdr:rowOff>
    </xdr:to>
    <xdr:sp macro="" textlink="">
      <xdr:nvSpPr>
        <xdr:cNvPr id="1319" name="Text Box 35" hidden="1">
          <a:extLst>
            <a:ext uri="{FF2B5EF4-FFF2-40B4-BE49-F238E27FC236}">
              <a16:creationId xmlns:a16="http://schemas.microsoft.com/office/drawing/2014/main" id="{054847C9-DCDF-4B17-9567-523730186562}"/>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102160</xdr:colOff>
      <xdr:row>84</xdr:row>
      <xdr:rowOff>123115</xdr:rowOff>
    </xdr:to>
    <xdr:sp macro="" textlink="">
      <xdr:nvSpPr>
        <xdr:cNvPr id="1320" name="Text Box 34" hidden="1">
          <a:extLst>
            <a:ext uri="{FF2B5EF4-FFF2-40B4-BE49-F238E27FC236}">
              <a16:creationId xmlns:a16="http://schemas.microsoft.com/office/drawing/2014/main" id="{C16439B6-BBCF-4886-B6F1-012C39E55C52}"/>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59225</xdr:rowOff>
    </xdr:from>
    <xdr:to>
      <xdr:col>5</xdr:col>
      <xdr:colOff>102160</xdr:colOff>
      <xdr:row>87</xdr:row>
      <xdr:rowOff>11774</xdr:rowOff>
    </xdr:to>
    <xdr:sp macro="" textlink="">
      <xdr:nvSpPr>
        <xdr:cNvPr id="1321" name="Text Box 33" hidden="1">
          <a:extLst>
            <a:ext uri="{FF2B5EF4-FFF2-40B4-BE49-F238E27FC236}">
              <a16:creationId xmlns:a16="http://schemas.microsoft.com/office/drawing/2014/main" id="{0939B37B-3164-45F8-B9C1-7C941FA9813C}"/>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160818</xdr:rowOff>
    </xdr:from>
    <xdr:to>
      <xdr:col>5</xdr:col>
      <xdr:colOff>102160</xdr:colOff>
      <xdr:row>95</xdr:row>
      <xdr:rowOff>150613</xdr:rowOff>
    </xdr:to>
    <xdr:sp macro="" textlink="">
      <xdr:nvSpPr>
        <xdr:cNvPr id="1322" name="Text Box 32" hidden="1">
          <a:extLst>
            <a:ext uri="{FF2B5EF4-FFF2-40B4-BE49-F238E27FC236}">
              <a16:creationId xmlns:a16="http://schemas.microsoft.com/office/drawing/2014/main" id="{436A7E27-D9FC-44E9-A800-F3DF9CE3DEB9}"/>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114814</xdr:rowOff>
    </xdr:from>
    <xdr:to>
      <xdr:col>5</xdr:col>
      <xdr:colOff>102160</xdr:colOff>
      <xdr:row>94</xdr:row>
      <xdr:rowOff>48395</xdr:rowOff>
    </xdr:to>
    <xdr:sp macro="" textlink="">
      <xdr:nvSpPr>
        <xdr:cNvPr id="1323" name="Text Box 31" hidden="1">
          <a:extLst>
            <a:ext uri="{FF2B5EF4-FFF2-40B4-BE49-F238E27FC236}">
              <a16:creationId xmlns:a16="http://schemas.microsoft.com/office/drawing/2014/main" id="{CA3E5EBA-D587-402D-BED1-7FEBDAAD3DDE}"/>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30069</xdr:rowOff>
    </xdr:from>
    <xdr:to>
      <xdr:col>5</xdr:col>
      <xdr:colOff>102160</xdr:colOff>
      <xdr:row>94</xdr:row>
      <xdr:rowOff>123801</xdr:rowOff>
    </xdr:to>
    <xdr:sp macro="" textlink="">
      <xdr:nvSpPr>
        <xdr:cNvPr id="1324" name="Text Box 30" hidden="1">
          <a:extLst>
            <a:ext uri="{FF2B5EF4-FFF2-40B4-BE49-F238E27FC236}">
              <a16:creationId xmlns:a16="http://schemas.microsoft.com/office/drawing/2014/main" id="{4CD67437-4810-4CD4-B5A3-798456DC320D}"/>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35203</xdr:rowOff>
    </xdr:from>
    <xdr:to>
      <xdr:col>5</xdr:col>
      <xdr:colOff>102160</xdr:colOff>
      <xdr:row>97</xdr:row>
      <xdr:rowOff>78193</xdr:rowOff>
    </xdr:to>
    <xdr:sp macro="" textlink="">
      <xdr:nvSpPr>
        <xdr:cNvPr id="1325" name="Text Box 29" hidden="1">
          <a:extLst>
            <a:ext uri="{FF2B5EF4-FFF2-40B4-BE49-F238E27FC236}">
              <a16:creationId xmlns:a16="http://schemas.microsoft.com/office/drawing/2014/main" id="{DFF871F8-8AA3-4C68-99FF-5DAF59DB861E}"/>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66056</xdr:rowOff>
    </xdr:from>
    <xdr:to>
      <xdr:col>5</xdr:col>
      <xdr:colOff>102160</xdr:colOff>
      <xdr:row>115</xdr:row>
      <xdr:rowOff>35360</xdr:rowOff>
    </xdr:to>
    <xdr:sp macro="" textlink="">
      <xdr:nvSpPr>
        <xdr:cNvPr id="1326" name="Text Box 28" hidden="1">
          <a:extLst>
            <a:ext uri="{FF2B5EF4-FFF2-40B4-BE49-F238E27FC236}">
              <a16:creationId xmlns:a16="http://schemas.microsoft.com/office/drawing/2014/main" id="{5828F624-4FCF-4A41-A8EA-D0488D0C32BC}"/>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40764</xdr:rowOff>
    </xdr:from>
    <xdr:to>
      <xdr:col>5</xdr:col>
      <xdr:colOff>102160</xdr:colOff>
      <xdr:row>112</xdr:row>
      <xdr:rowOff>45528</xdr:rowOff>
    </xdr:to>
    <xdr:sp macro="" textlink="">
      <xdr:nvSpPr>
        <xdr:cNvPr id="1327" name="Text Box 27" hidden="1">
          <a:extLst>
            <a:ext uri="{FF2B5EF4-FFF2-40B4-BE49-F238E27FC236}">
              <a16:creationId xmlns:a16="http://schemas.microsoft.com/office/drawing/2014/main" id="{E1EBEE8D-F111-4A4E-A4F5-464CC4E19B42}"/>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22048</xdr:rowOff>
    </xdr:from>
    <xdr:to>
      <xdr:col>5</xdr:col>
      <xdr:colOff>102160</xdr:colOff>
      <xdr:row>111</xdr:row>
      <xdr:rowOff>169996</xdr:rowOff>
    </xdr:to>
    <xdr:sp macro="" textlink="">
      <xdr:nvSpPr>
        <xdr:cNvPr id="1328" name="Text Box 26" hidden="1">
          <a:extLst>
            <a:ext uri="{FF2B5EF4-FFF2-40B4-BE49-F238E27FC236}">
              <a16:creationId xmlns:a16="http://schemas.microsoft.com/office/drawing/2014/main" id="{B1319AE4-AC44-44BC-986B-DB80DD1200B6}"/>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222073</xdr:rowOff>
    </xdr:from>
    <xdr:to>
      <xdr:col>5</xdr:col>
      <xdr:colOff>102160</xdr:colOff>
      <xdr:row>111</xdr:row>
      <xdr:rowOff>169996</xdr:rowOff>
    </xdr:to>
    <xdr:sp macro="" textlink="">
      <xdr:nvSpPr>
        <xdr:cNvPr id="1329" name="Text Box 25" hidden="1">
          <a:extLst>
            <a:ext uri="{FF2B5EF4-FFF2-40B4-BE49-F238E27FC236}">
              <a16:creationId xmlns:a16="http://schemas.microsoft.com/office/drawing/2014/main" id="{12BAE278-5748-4BEB-8CB1-BF861B8E63AA}"/>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128</xdr:row>
      <xdr:rowOff>66121</xdr:rowOff>
    </xdr:from>
    <xdr:to>
      <xdr:col>21</xdr:col>
      <xdr:colOff>254522</xdr:colOff>
      <xdr:row>132</xdr:row>
      <xdr:rowOff>78988</xdr:rowOff>
    </xdr:to>
    <xdr:sp macro="" textlink="">
      <xdr:nvSpPr>
        <xdr:cNvPr id="1330" name="Text Box 24" hidden="1">
          <a:extLst>
            <a:ext uri="{FF2B5EF4-FFF2-40B4-BE49-F238E27FC236}">
              <a16:creationId xmlns:a16="http://schemas.microsoft.com/office/drawing/2014/main" id="{F5586041-1D8C-4311-B97F-1AF9398708AE}"/>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239059</xdr:rowOff>
    </xdr:to>
    <xdr:sp macro="" textlink="">
      <xdr:nvSpPr>
        <xdr:cNvPr id="1331" name="Text Box 23" hidden="1">
          <a:extLst>
            <a:ext uri="{FF2B5EF4-FFF2-40B4-BE49-F238E27FC236}">
              <a16:creationId xmlns:a16="http://schemas.microsoft.com/office/drawing/2014/main" id="{90E2F9CF-987A-4FBD-AF49-E7AA9FEDE17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332" name="Text Box 22" hidden="1">
          <a:extLst>
            <a:ext uri="{FF2B5EF4-FFF2-40B4-BE49-F238E27FC236}">
              <a16:creationId xmlns:a16="http://schemas.microsoft.com/office/drawing/2014/main" id="{75478029-014C-4515-BEAF-F21DE2248A58}"/>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132</xdr:row>
      <xdr:rowOff>78988</xdr:rowOff>
    </xdr:from>
    <xdr:to>
      <xdr:col>22</xdr:col>
      <xdr:colOff>425971</xdr:colOff>
      <xdr:row>136</xdr:row>
      <xdr:rowOff>66120</xdr:rowOff>
    </xdr:to>
    <xdr:sp macro="" textlink="">
      <xdr:nvSpPr>
        <xdr:cNvPr id="1333" name="Text Box 21" hidden="1">
          <a:extLst>
            <a:ext uri="{FF2B5EF4-FFF2-40B4-BE49-F238E27FC236}">
              <a16:creationId xmlns:a16="http://schemas.microsoft.com/office/drawing/2014/main" id="{0A465B36-4370-469D-875A-99F51EF79AD6}"/>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43</xdr:row>
      <xdr:rowOff>50426</xdr:rowOff>
    </xdr:from>
    <xdr:to>
      <xdr:col>11</xdr:col>
      <xdr:colOff>639676</xdr:colOff>
      <xdr:row>47</xdr:row>
      <xdr:rowOff>160992</xdr:rowOff>
    </xdr:to>
    <xdr:sp macro="" textlink="">
      <xdr:nvSpPr>
        <xdr:cNvPr id="1334" name="Text Box 20" hidden="1">
          <a:extLst>
            <a:ext uri="{FF2B5EF4-FFF2-40B4-BE49-F238E27FC236}">
              <a16:creationId xmlns:a16="http://schemas.microsoft.com/office/drawing/2014/main" id="{2AE64CE4-A8A0-4EA2-A6D5-496E7E2AEAED}"/>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334309</xdr:rowOff>
    </xdr:to>
    <xdr:sp macro="" textlink="">
      <xdr:nvSpPr>
        <xdr:cNvPr id="1335" name="Text Box 19" hidden="1">
          <a:extLst>
            <a:ext uri="{FF2B5EF4-FFF2-40B4-BE49-F238E27FC236}">
              <a16:creationId xmlns:a16="http://schemas.microsoft.com/office/drawing/2014/main" id="{1D7AA9DB-21CB-429B-A2F6-E57DDDAA15F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336" name="Text Box 18" hidden="1">
          <a:extLst>
            <a:ext uri="{FF2B5EF4-FFF2-40B4-BE49-F238E27FC236}">
              <a16:creationId xmlns:a16="http://schemas.microsoft.com/office/drawing/2014/main" id="{08E61383-E906-4D78-ADFC-ED8531000D18}"/>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464072</xdr:colOff>
      <xdr:row>136</xdr:row>
      <xdr:rowOff>160977</xdr:rowOff>
    </xdr:to>
    <xdr:sp macro="" textlink="">
      <xdr:nvSpPr>
        <xdr:cNvPr id="1337" name="Text Box 17" hidden="1">
          <a:extLst>
            <a:ext uri="{FF2B5EF4-FFF2-40B4-BE49-F238E27FC236}">
              <a16:creationId xmlns:a16="http://schemas.microsoft.com/office/drawing/2014/main" id="{0DD9D990-2221-4710-8558-97FF73F27C91}"/>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23</xdr:row>
      <xdr:rowOff>296209</xdr:rowOff>
    </xdr:to>
    <xdr:sp macro="" textlink="">
      <xdr:nvSpPr>
        <xdr:cNvPr id="1338" name="Text Box 16" hidden="1">
          <a:extLst>
            <a:ext uri="{FF2B5EF4-FFF2-40B4-BE49-F238E27FC236}">
              <a16:creationId xmlns:a16="http://schemas.microsoft.com/office/drawing/2014/main" id="{30D844C1-428B-47A2-8133-7A1DC66B2F0E}"/>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1339" name="Text Box 15" hidden="1">
          <a:extLst>
            <a:ext uri="{FF2B5EF4-FFF2-40B4-BE49-F238E27FC236}">
              <a16:creationId xmlns:a16="http://schemas.microsoft.com/office/drawing/2014/main" id="{0B5F4BF9-C696-4B78-B36A-ED2BC58B358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126613</xdr:rowOff>
    </xdr:from>
    <xdr:to>
      <xdr:col>25</xdr:col>
      <xdr:colOff>464072</xdr:colOff>
      <xdr:row>136</xdr:row>
      <xdr:rowOff>160977</xdr:rowOff>
    </xdr:to>
    <xdr:sp macro="" textlink="">
      <xdr:nvSpPr>
        <xdr:cNvPr id="1340" name="Text Box 14" hidden="1">
          <a:extLst>
            <a:ext uri="{FF2B5EF4-FFF2-40B4-BE49-F238E27FC236}">
              <a16:creationId xmlns:a16="http://schemas.microsoft.com/office/drawing/2014/main" id="{3C9A4D00-FCD3-4415-A57C-A643D9E0699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31377</xdr:rowOff>
    </xdr:from>
    <xdr:to>
      <xdr:col>11</xdr:col>
      <xdr:colOff>715876</xdr:colOff>
      <xdr:row>51</xdr:row>
      <xdr:rowOff>50427</xdr:rowOff>
    </xdr:to>
    <xdr:sp macro="" textlink="">
      <xdr:nvSpPr>
        <xdr:cNvPr id="1341" name="Text Box 13" hidden="1">
          <a:extLst>
            <a:ext uri="{FF2B5EF4-FFF2-40B4-BE49-F238E27FC236}">
              <a16:creationId xmlns:a16="http://schemas.microsoft.com/office/drawing/2014/main" id="{E26670CC-BE87-488D-A512-E5BCCD63813F}"/>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31377</xdr:rowOff>
    </xdr:from>
    <xdr:to>
      <xdr:col>13</xdr:col>
      <xdr:colOff>507975</xdr:colOff>
      <xdr:row>51</xdr:row>
      <xdr:rowOff>50427</xdr:rowOff>
    </xdr:to>
    <xdr:sp macro="" textlink="">
      <xdr:nvSpPr>
        <xdr:cNvPr id="1342" name="Text Box 12" hidden="1">
          <a:extLst>
            <a:ext uri="{FF2B5EF4-FFF2-40B4-BE49-F238E27FC236}">
              <a16:creationId xmlns:a16="http://schemas.microsoft.com/office/drawing/2014/main" id="{C1E1324D-76B9-4D32-9E91-2C50AF72201F}"/>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133024</xdr:rowOff>
    </xdr:from>
    <xdr:to>
      <xdr:col>30</xdr:col>
      <xdr:colOff>296164</xdr:colOff>
      <xdr:row>34</xdr:row>
      <xdr:rowOff>160991</xdr:rowOff>
    </xdr:to>
    <xdr:sp macro="" textlink="">
      <xdr:nvSpPr>
        <xdr:cNvPr id="1343" name="Text Box 11" hidden="1">
          <a:extLst>
            <a:ext uri="{FF2B5EF4-FFF2-40B4-BE49-F238E27FC236}">
              <a16:creationId xmlns:a16="http://schemas.microsoft.com/office/drawing/2014/main" id="{920F9C6D-2D05-47AF-BA4F-FBFC9DEAB9B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226472</xdr:rowOff>
    </xdr:from>
    <xdr:to>
      <xdr:col>14</xdr:col>
      <xdr:colOff>362839</xdr:colOff>
      <xdr:row>61</xdr:row>
      <xdr:rowOff>283767</xdr:rowOff>
    </xdr:to>
    <xdr:sp macro="" textlink="">
      <xdr:nvSpPr>
        <xdr:cNvPr id="1344" name="Text Box 10" hidden="1">
          <a:extLst>
            <a:ext uri="{FF2B5EF4-FFF2-40B4-BE49-F238E27FC236}">
              <a16:creationId xmlns:a16="http://schemas.microsoft.com/office/drawing/2014/main" id="{F86E7D48-8752-4928-B98A-8C2A43102B4F}"/>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161984</xdr:rowOff>
    </xdr:from>
    <xdr:to>
      <xdr:col>14</xdr:col>
      <xdr:colOff>450825</xdr:colOff>
      <xdr:row>74</xdr:row>
      <xdr:rowOff>67634</xdr:rowOff>
    </xdr:to>
    <xdr:sp macro="" textlink="">
      <xdr:nvSpPr>
        <xdr:cNvPr id="1345" name="Text Box 9" hidden="1">
          <a:extLst>
            <a:ext uri="{FF2B5EF4-FFF2-40B4-BE49-F238E27FC236}">
              <a16:creationId xmlns:a16="http://schemas.microsoft.com/office/drawing/2014/main" id="{1811F805-DA9C-4471-BB7B-0E407C553E60}"/>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31377</xdr:rowOff>
    </xdr:from>
    <xdr:to>
      <xdr:col>14</xdr:col>
      <xdr:colOff>450825</xdr:colOff>
      <xdr:row>51</xdr:row>
      <xdr:rowOff>50427</xdr:rowOff>
    </xdr:to>
    <xdr:sp macro="" textlink="">
      <xdr:nvSpPr>
        <xdr:cNvPr id="1346" name="Text Box 8" hidden="1">
          <a:extLst>
            <a:ext uri="{FF2B5EF4-FFF2-40B4-BE49-F238E27FC236}">
              <a16:creationId xmlns:a16="http://schemas.microsoft.com/office/drawing/2014/main" id="{B543C650-5872-477D-8E04-7970656E7ED0}"/>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62</xdr:row>
      <xdr:rowOff>197876</xdr:rowOff>
    </xdr:from>
    <xdr:to>
      <xdr:col>5</xdr:col>
      <xdr:colOff>268754</xdr:colOff>
      <xdr:row>72</xdr:row>
      <xdr:rowOff>1105</xdr:rowOff>
    </xdr:to>
    <xdr:sp macro="" textlink="">
      <xdr:nvSpPr>
        <xdr:cNvPr id="1347" name="Text Box 7" hidden="1">
          <a:extLst>
            <a:ext uri="{FF2B5EF4-FFF2-40B4-BE49-F238E27FC236}">
              <a16:creationId xmlns:a16="http://schemas.microsoft.com/office/drawing/2014/main" id="{EC41FE9C-5027-4734-8F34-0DC9CE359E24}"/>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26</xdr:col>
      <xdr:colOff>483123</xdr:colOff>
      <xdr:row>23</xdr:row>
      <xdr:rowOff>315259</xdr:rowOff>
    </xdr:to>
    <xdr:sp macro="" textlink="">
      <xdr:nvSpPr>
        <xdr:cNvPr id="1348" name="Text Box 6" hidden="1">
          <a:extLst>
            <a:ext uri="{FF2B5EF4-FFF2-40B4-BE49-F238E27FC236}">
              <a16:creationId xmlns:a16="http://schemas.microsoft.com/office/drawing/2014/main" id="{DCB9C93E-7649-439F-87A7-AF71C5C2A8CB}"/>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26</xdr:col>
      <xdr:colOff>483123</xdr:colOff>
      <xdr:row>33</xdr:row>
      <xdr:rowOff>111873</xdr:rowOff>
    </xdr:to>
    <xdr:sp macro="" textlink="">
      <xdr:nvSpPr>
        <xdr:cNvPr id="1349" name="Text Box 5" hidden="1">
          <a:extLst>
            <a:ext uri="{FF2B5EF4-FFF2-40B4-BE49-F238E27FC236}">
              <a16:creationId xmlns:a16="http://schemas.microsoft.com/office/drawing/2014/main" id="{50273581-65CF-4793-A7CB-95092142713B}"/>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483123</xdr:colOff>
      <xdr:row>139</xdr:row>
      <xdr:rowOff>31097</xdr:rowOff>
    </xdr:to>
    <xdr:sp macro="" textlink="">
      <xdr:nvSpPr>
        <xdr:cNvPr id="1350" name="Text Box 4" hidden="1">
          <a:extLst>
            <a:ext uri="{FF2B5EF4-FFF2-40B4-BE49-F238E27FC236}">
              <a16:creationId xmlns:a16="http://schemas.microsoft.com/office/drawing/2014/main" id="{844BB23B-51D0-40C8-98C6-7CAF0AAE0B0D}"/>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69476</xdr:rowOff>
    </xdr:from>
    <xdr:to>
      <xdr:col>27</xdr:col>
      <xdr:colOff>473596</xdr:colOff>
      <xdr:row>23</xdr:row>
      <xdr:rowOff>315259</xdr:rowOff>
    </xdr:to>
    <xdr:sp macro="" textlink="">
      <xdr:nvSpPr>
        <xdr:cNvPr id="1351" name="Text Box 3" hidden="1">
          <a:extLst>
            <a:ext uri="{FF2B5EF4-FFF2-40B4-BE49-F238E27FC236}">
              <a16:creationId xmlns:a16="http://schemas.microsoft.com/office/drawing/2014/main" id="{15C86C94-BD25-417D-BF09-F568A722989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69477</xdr:rowOff>
    </xdr:from>
    <xdr:to>
      <xdr:col>27</xdr:col>
      <xdr:colOff>473596</xdr:colOff>
      <xdr:row>33</xdr:row>
      <xdr:rowOff>111873</xdr:rowOff>
    </xdr:to>
    <xdr:sp macro="" textlink="">
      <xdr:nvSpPr>
        <xdr:cNvPr id="1352" name="Text Box 2" hidden="1">
          <a:extLst>
            <a:ext uri="{FF2B5EF4-FFF2-40B4-BE49-F238E27FC236}">
              <a16:creationId xmlns:a16="http://schemas.microsoft.com/office/drawing/2014/main" id="{95D7294D-06DF-4260-9C89-9EB27BA11E25}"/>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987</xdr:rowOff>
    </xdr:from>
    <xdr:to>
      <xdr:col>27</xdr:col>
      <xdr:colOff>473596</xdr:colOff>
      <xdr:row>139</xdr:row>
      <xdr:rowOff>31097</xdr:rowOff>
    </xdr:to>
    <xdr:sp macro="" textlink="">
      <xdr:nvSpPr>
        <xdr:cNvPr id="1353" name="Text Box 1" hidden="1">
          <a:extLst>
            <a:ext uri="{FF2B5EF4-FFF2-40B4-BE49-F238E27FC236}">
              <a16:creationId xmlns:a16="http://schemas.microsoft.com/office/drawing/2014/main" id="{7785F6CA-6BC8-4AFE-996C-526AE34DA2EF}"/>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1354" name="Text Box 76" hidden="1">
          <a:extLst>
            <a:ext uri="{FF2B5EF4-FFF2-40B4-BE49-F238E27FC236}">
              <a16:creationId xmlns:a16="http://schemas.microsoft.com/office/drawing/2014/main" id="{82084723-8181-4FA1-AF91-8936E2A9C61B}"/>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102160</xdr:colOff>
      <xdr:row>61</xdr:row>
      <xdr:rowOff>226472</xdr:rowOff>
    </xdr:to>
    <xdr:sp macro="" textlink="">
      <xdr:nvSpPr>
        <xdr:cNvPr id="1355" name="Text Box 75" hidden="1">
          <a:extLst>
            <a:ext uri="{FF2B5EF4-FFF2-40B4-BE49-F238E27FC236}">
              <a16:creationId xmlns:a16="http://schemas.microsoft.com/office/drawing/2014/main" id="{BE14DE7E-33F4-4AD5-8B8F-56E5F4683B5D}"/>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226472</xdr:rowOff>
    </xdr:from>
    <xdr:to>
      <xdr:col>5</xdr:col>
      <xdr:colOff>121210</xdr:colOff>
      <xdr:row>85</xdr:row>
      <xdr:rowOff>97299</xdr:rowOff>
    </xdr:to>
    <xdr:sp macro="" textlink="">
      <xdr:nvSpPr>
        <xdr:cNvPr id="1356" name="Text Box 74" hidden="1">
          <a:extLst>
            <a:ext uri="{FF2B5EF4-FFF2-40B4-BE49-F238E27FC236}">
              <a16:creationId xmlns:a16="http://schemas.microsoft.com/office/drawing/2014/main" id="{F474687C-47CA-4398-90F4-AFA0306CEAD6}"/>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102160</xdr:colOff>
      <xdr:row>84</xdr:row>
      <xdr:rowOff>88190</xdr:rowOff>
    </xdr:to>
    <xdr:sp macro="" textlink="">
      <xdr:nvSpPr>
        <xdr:cNvPr id="1357" name="Text Box 73" hidden="1">
          <a:extLst>
            <a:ext uri="{FF2B5EF4-FFF2-40B4-BE49-F238E27FC236}">
              <a16:creationId xmlns:a16="http://schemas.microsoft.com/office/drawing/2014/main" id="{519C77A1-4050-4DF0-A0B1-BD3DBBB805DC}"/>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226472</xdr:rowOff>
    </xdr:from>
    <xdr:to>
      <xdr:col>5</xdr:col>
      <xdr:colOff>102160</xdr:colOff>
      <xdr:row>84</xdr:row>
      <xdr:rowOff>123115</xdr:rowOff>
    </xdr:to>
    <xdr:sp macro="" textlink="">
      <xdr:nvSpPr>
        <xdr:cNvPr id="1358" name="Text Box 72" hidden="1">
          <a:extLst>
            <a:ext uri="{FF2B5EF4-FFF2-40B4-BE49-F238E27FC236}">
              <a16:creationId xmlns:a16="http://schemas.microsoft.com/office/drawing/2014/main" id="{B0B533D3-3A00-4879-A212-11A9C6384CA0}"/>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59225</xdr:rowOff>
    </xdr:from>
    <xdr:to>
      <xdr:col>5</xdr:col>
      <xdr:colOff>102160</xdr:colOff>
      <xdr:row>87</xdr:row>
      <xdr:rowOff>11774</xdr:rowOff>
    </xdr:to>
    <xdr:sp macro="" textlink="">
      <xdr:nvSpPr>
        <xdr:cNvPr id="1359" name="Text Box 71" hidden="1">
          <a:extLst>
            <a:ext uri="{FF2B5EF4-FFF2-40B4-BE49-F238E27FC236}">
              <a16:creationId xmlns:a16="http://schemas.microsoft.com/office/drawing/2014/main" id="{0700D9C7-4784-4B56-8A67-DD6852B6B89B}"/>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160818</xdr:rowOff>
    </xdr:from>
    <xdr:to>
      <xdr:col>5</xdr:col>
      <xdr:colOff>102160</xdr:colOff>
      <xdr:row>95</xdr:row>
      <xdr:rowOff>150613</xdr:rowOff>
    </xdr:to>
    <xdr:sp macro="" textlink="">
      <xdr:nvSpPr>
        <xdr:cNvPr id="1360" name="Text Box 70" hidden="1">
          <a:extLst>
            <a:ext uri="{FF2B5EF4-FFF2-40B4-BE49-F238E27FC236}">
              <a16:creationId xmlns:a16="http://schemas.microsoft.com/office/drawing/2014/main" id="{CB789A6B-0596-4E9B-B009-4B7C2EFCE5AF}"/>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114814</xdr:rowOff>
    </xdr:from>
    <xdr:to>
      <xdr:col>5</xdr:col>
      <xdr:colOff>102160</xdr:colOff>
      <xdr:row>94</xdr:row>
      <xdr:rowOff>48395</xdr:rowOff>
    </xdr:to>
    <xdr:sp macro="" textlink="">
      <xdr:nvSpPr>
        <xdr:cNvPr id="1361" name="Text Box 69" hidden="1">
          <a:extLst>
            <a:ext uri="{FF2B5EF4-FFF2-40B4-BE49-F238E27FC236}">
              <a16:creationId xmlns:a16="http://schemas.microsoft.com/office/drawing/2014/main" id="{71C378A1-1B42-4187-8C83-EE34B88F7EEC}"/>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30069</xdr:rowOff>
    </xdr:from>
    <xdr:to>
      <xdr:col>5</xdr:col>
      <xdr:colOff>102160</xdr:colOff>
      <xdr:row>94</xdr:row>
      <xdr:rowOff>123801</xdr:rowOff>
    </xdr:to>
    <xdr:sp macro="" textlink="">
      <xdr:nvSpPr>
        <xdr:cNvPr id="1362" name="Text Box 68" hidden="1">
          <a:extLst>
            <a:ext uri="{FF2B5EF4-FFF2-40B4-BE49-F238E27FC236}">
              <a16:creationId xmlns:a16="http://schemas.microsoft.com/office/drawing/2014/main" id="{BE90056A-EA05-4135-8488-F64F241BE8DE}"/>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35203</xdr:rowOff>
    </xdr:from>
    <xdr:to>
      <xdr:col>5</xdr:col>
      <xdr:colOff>102160</xdr:colOff>
      <xdr:row>97</xdr:row>
      <xdr:rowOff>78193</xdr:rowOff>
    </xdr:to>
    <xdr:sp macro="" textlink="">
      <xdr:nvSpPr>
        <xdr:cNvPr id="1363" name="Text Box 67" hidden="1">
          <a:extLst>
            <a:ext uri="{FF2B5EF4-FFF2-40B4-BE49-F238E27FC236}">
              <a16:creationId xmlns:a16="http://schemas.microsoft.com/office/drawing/2014/main" id="{0E9A5F8C-56FF-4D06-A67E-F3684E92670F}"/>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66056</xdr:rowOff>
    </xdr:from>
    <xdr:to>
      <xdr:col>5</xdr:col>
      <xdr:colOff>102160</xdr:colOff>
      <xdr:row>115</xdr:row>
      <xdr:rowOff>35360</xdr:rowOff>
    </xdr:to>
    <xdr:sp macro="" textlink="">
      <xdr:nvSpPr>
        <xdr:cNvPr id="1364" name="Text Box 66" hidden="1">
          <a:extLst>
            <a:ext uri="{FF2B5EF4-FFF2-40B4-BE49-F238E27FC236}">
              <a16:creationId xmlns:a16="http://schemas.microsoft.com/office/drawing/2014/main" id="{194D674F-02CC-43AF-B327-76FD9B9E9655}"/>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40764</xdr:rowOff>
    </xdr:from>
    <xdr:to>
      <xdr:col>5</xdr:col>
      <xdr:colOff>102160</xdr:colOff>
      <xdr:row>112</xdr:row>
      <xdr:rowOff>45528</xdr:rowOff>
    </xdr:to>
    <xdr:sp macro="" textlink="">
      <xdr:nvSpPr>
        <xdr:cNvPr id="1365" name="Text Box 65" hidden="1">
          <a:extLst>
            <a:ext uri="{FF2B5EF4-FFF2-40B4-BE49-F238E27FC236}">
              <a16:creationId xmlns:a16="http://schemas.microsoft.com/office/drawing/2014/main" id="{F590EFAB-CAD7-43B3-A1DA-D61B0686AB43}"/>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22048</xdr:rowOff>
    </xdr:from>
    <xdr:to>
      <xdr:col>5</xdr:col>
      <xdr:colOff>102160</xdr:colOff>
      <xdr:row>111</xdr:row>
      <xdr:rowOff>169996</xdr:rowOff>
    </xdr:to>
    <xdr:sp macro="" textlink="">
      <xdr:nvSpPr>
        <xdr:cNvPr id="1366" name="Text Box 64" hidden="1">
          <a:extLst>
            <a:ext uri="{FF2B5EF4-FFF2-40B4-BE49-F238E27FC236}">
              <a16:creationId xmlns:a16="http://schemas.microsoft.com/office/drawing/2014/main" id="{637D0E28-656E-4F1D-AE2B-E2382152CB88}"/>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222073</xdr:rowOff>
    </xdr:from>
    <xdr:to>
      <xdr:col>5</xdr:col>
      <xdr:colOff>102160</xdr:colOff>
      <xdr:row>111</xdr:row>
      <xdr:rowOff>169996</xdr:rowOff>
    </xdr:to>
    <xdr:sp macro="" textlink="">
      <xdr:nvSpPr>
        <xdr:cNvPr id="1367" name="Text Box 63" hidden="1">
          <a:extLst>
            <a:ext uri="{FF2B5EF4-FFF2-40B4-BE49-F238E27FC236}">
              <a16:creationId xmlns:a16="http://schemas.microsoft.com/office/drawing/2014/main" id="{2C12F255-FDAF-459C-B9AC-5028D14F9412}"/>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128</xdr:row>
      <xdr:rowOff>66121</xdr:rowOff>
    </xdr:from>
    <xdr:to>
      <xdr:col>21</xdr:col>
      <xdr:colOff>254522</xdr:colOff>
      <xdr:row>132</xdr:row>
      <xdr:rowOff>78988</xdr:rowOff>
    </xdr:to>
    <xdr:sp macro="" textlink="">
      <xdr:nvSpPr>
        <xdr:cNvPr id="1368" name="Text Box 62" hidden="1">
          <a:extLst>
            <a:ext uri="{FF2B5EF4-FFF2-40B4-BE49-F238E27FC236}">
              <a16:creationId xmlns:a16="http://schemas.microsoft.com/office/drawing/2014/main" id="{69EB8FA3-EC8A-496E-B098-902CBF22DF48}"/>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239059</xdr:rowOff>
    </xdr:to>
    <xdr:sp macro="" textlink="">
      <xdr:nvSpPr>
        <xdr:cNvPr id="1369" name="Text Box 61" hidden="1">
          <a:extLst>
            <a:ext uri="{FF2B5EF4-FFF2-40B4-BE49-F238E27FC236}">
              <a16:creationId xmlns:a16="http://schemas.microsoft.com/office/drawing/2014/main" id="{15EA406E-022F-403C-8A72-7AAAD40A109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370" name="Text Box 60" hidden="1">
          <a:extLst>
            <a:ext uri="{FF2B5EF4-FFF2-40B4-BE49-F238E27FC236}">
              <a16:creationId xmlns:a16="http://schemas.microsoft.com/office/drawing/2014/main" id="{41310515-A859-4323-A10E-CA5EEE79B5DF}"/>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132</xdr:row>
      <xdr:rowOff>78988</xdr:rowOff>
    </xdr:from>
    <xdr:to>
      <xdr:col>22</xdr:col>
      <xdr:colOff>425971</xdr:colOff>
      <xdr:row>136</xdr:row>
      <xdr:rowOff>66120</xdr:rowOff>
    </xdr:to>
    <xdr:sp macro="" textlink="">
      <xdr:nvSpPr>
        <xdr:cNvPr id="1371" name="Text Box 59" hidden="1">
          <a:extLst>
            <a:ext uri="{FF2B5EF4-FFF2-40B4-BE49-F238E27FC236}">
              <a16:creationId xmlns:a16="http://schemas.microsoft.com/office/drawing/2014/main" id="{51A4E716-A255-4555-8264-2ADA7525BBE0}"/>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43</xdr:row>
      <xdr:rowOff>50426</xdr:rowOff>
    </xdr:from>
    <xdr:to>
      <xdr:col>11</xdr:col>
      <xdr:colOff>639676</xdr:colOff>
      <xdr:row>47</xdr:row>
      <xdr:rowOff>160992</xdr:rowOff>
    </xdr:to>
    <xdr:sp macro="" textlink="">
      <xdr:nvSpPr>
        <xdr:cNvPr id="1372" name="Text Box 58" hidden="1">
          <a:extLst>
            <a:ext uri="{FF2B5EF4-FFF2-40B4-BE49-F238E27FC236}">
              <a16:creationId xmlns:a16="http://schemas.microsoft.com/office/drawing/2014/main" id="{47A16D00-4AA0-41BF-A196-216ED4DA9958}"/>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334309</xdr:rowOff>
    </xdr:to>
    <xdr:sp macro="" textlink="">
      <xdr:nvSpPr>
        <xdr:cNvPr id="1373" name="Text Box 57" hidden="1">
          <a:extLst>
            <a:ext uri="{FF2B5EF4-FFF2-40B4-BE49-F238E27FC236}">
              <a16:creationId xmlns:a16="http://schemas.microsoft.com/office/drawing/2014/main" id="{325CD844-8965-436D-8FB6-6420160153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374" name="Text Box 56" hidden="1">
          <a:extLst>
            <a:ext uri="{FF2B5EF4-FFF2-40B4-BE49-F238E27FC236}">
              <a16:creationId xmlns:a16="http://schemas.microsoft.com/office/drawing/2014/main" id="{5E184868-7F1A-4B34-A1AE-25A945ABC2C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464072</xdr:colOff>
      <xdr:row>136</xdr:row>
      <xdr:rowOff>160977</xdr:rowOff>
    </xdr:to>
    <xdr:sp macro="" textlink="">
      <xdr:nvSpPr>
        <xdr:cNvPr id="1375" name="Text Box 55" hidden="1">
          <a:extLst>
            <a:ext uri="{FF2B5EF4-FFF2-40B4-BE49-F238E27FC236}">
              <a16:creationId xmlns:a16="http://schemas.microsoft.com/office/drawing/2014/main" id="{A0CDE17A-EEAF-409B-98D3-B4AA079E486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23</xdr:row>
      <xdr:rowOff>296209</xdr:rowOff>
    </xdr:to>
    <xdr:sp macro="" textlink="">
      <xdr:nvSpPr>
        <xdr:cNvPr id="1376" name="Text Box 54" hidden="1">
          <a:extLst>
            <a:ext uri="{FF2B5EF4-FFF2-40B4-BE49-F238E27FC236}">
              <a16:creationId xmlns:a16="http://schemas.microsoft.com/office/drawing/2014/main" id="{38953040-8804-4B86-B446-4B824E2E83E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1377" name="Text Box 53" hidden="1">
          <a:extLst>
            <a:ext uri="{FF2B5EF4-FFF2-40B4-BE49-F238E27FC236}">
              <a16:creationId xmlns:a16="http://schemas.microsoft.com/office/drawing/2014/main" id="{CB255BAC-6102-4622-8F7F-DD12699C2428}"/>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126613</xdr:rowOff>
    </xdr:from>
    <xdr:to>
      <xdr:col>25</xdr:col>
      <xdr:colOff>464072</xdr:colOff>
      <xdr:row>136</xdr:row>
      <xdr:rowOff>160977</xdr:rowOff>
    </xdr:to>
    <xdr:sp macro="" textlink="">
      <xdr:nvSpPr>
        <xdr:cNvPr id="1378" name="Text Box 52" hidden="1">
          <a:extLst>
            <a:ext uri="{FF2B5EF4-FFF2-40B4-BE49-F238E27FC236}">
              <a16:creationId xmlns:a16="http://schemas.microsoft.com/office/drawing/2014/main" id="{C0D90CFA-A642-4BFB-8A6F-C6DF737C5CE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31377</xdr:rowOff>
    </xdr:from>
    <xdr:to>
      <xdr:col>11</xdr:col>
      <xdr:colOff>715876</xdr:colOff>
      <xdr:row>51</xdr:row>
      <xdr:rowOff>50427</xdr:rowOff>
    </xdr:to>
    <xdr:sp macro="" textlink="">
      <xdr:nvSpPr>
        <xdr:cNvPr id="1379" name="Text Box 51" hidden="1">
          <a:extLst>
            <a:ext uri="{FF2B5EF4-FFF2-40B4-BE49-F238E27FC236}">
              <a16:creationId xmlns:a16="http://schemas.microsoft.com/office/drawing/2014/main" id="{5768852B-A56D-452B-9A3E-6D0BCBD0CF5C}"/>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31377</xdr:rowOff>
    </xdr:from>
    <xdr:to>
      <xdr:col>13</xdr:col>
      <xdr:colOff>507975</xdr:colOff>
      <xdr:row>51</xdr:row>
      <xdr:rowOff>50427</xdr:rowOff>
    </xdr:to>
    <xdr:sp macro="" textlink="">
      <xdr:nvSpPr>
        <xdr:cNvPr id="1380" name="Text Box 50" hidden="1">
          <a:extLst>
            <a:ext uri="{FF2B5EF4-FFF2-40B4-BE49-F238E27FC236}">
              <a16:creationId xmlns:a16="http://schemas.microsoft.com/office/drawing/2014/main" id="{3E4C1124-377F-40FC-A79B-7F6014C4566C}"/>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133024</xdr:rowOff>
    </xdr:from>
    <xdr:to>
      <xdr:col>30</xdr:col>
      <xdr:colOff>296164</xdr:colOff>
      <xdr:row>34</xdr:row>
      <xdr:rowOff>160991</xdr:rowOff>
    </xdr:to>
    <xdr:sp macro="" textlink="">
      <xdr:nvSpPr>
        <xdr:cNvPr id="1381" name="Text Box 49" hidden="1">
          <a:extLst>
            <a:ext uri="{FF2B5EF4-FFF2-40B4-BE49-F238E27FC236}">
              <a16:creationId xmlns:a16="http://schemas.microsoft.com/office/drawing/2014/main" id="{D455C957-4520-4FF0-933B-D89B47539718}"/>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226472</xdr:rowOff>
    </xdr:from>
    <xdr:to>
      <xdr:col>14</xdr:col>
      <xdr:colOff>362839</xdr:colOff>
      <xdr:row>61</xdr:row>
      <xdr:rowOff>283767</xdr:rowOff>
    </xdr:to>
    <xdr:sp macro="" textlink="">
      <xdr:nvSpPr>
        <xdr:cNvPr id="1382" name="Text Box 48" hidden="1">
          <a:extLst>
            <a:ext uri="{FF2B5EF4-FFF2-40B4-BE49-F238E27FC236}">
              <a16:creationId xmlns:a16="http://schemas.microsoft.com/office/drawing/2014/main" id="{9BACE129-9EDC-4989-B7EE-E3199DF8FDE3}"/>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161984</xdr:rowOff>
    </xdr:from>
    <xdr:to>
      <xdr:col>14</xdr:col>
      <xdr:colOff>450825</xdr:colOff>
      <xdr:row>74</xdr:row>
      <xdr:rowOff>67634</xdr:rowOff>
    </xdr:to>
    <xdr:sp macro="" textlink="">
      <xdr:nvSpPr>
        <xdr:cNvPr id="1383" name="Text Box 47" hidden="1">
          <a:extLst>
            <a:ext uri="{FF2B5EF4-FFF2-40B4-BE49-F238E27FC236}">
              <a16:creationId xmlns:a16="http://schemas.microsoft.com/office/drawing/2014/main" id="{D9614D54-A2E8-4426-8CAA-3AC291F2FAAB}"/>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31377</xdr:rowOff>
    </xdr:from>
    <xdr:to>
      <xdr:col>14</xdr:col>
      <xdr:colOff>450825</xdr:colOff>
      <xdr:row>51</xdr:row>
      <xdr:rowOff>50427</xdr:rowOff>
    </xdr:to>
    <xdr:sp macro="" textlink="">
      <xdr:nvSpPr>
        <xdr:cNvPr id="1384" name="Text Box 46" hidden="1">
          <a:extLst>
            <a:ext uri="{FF2B5EF4-FFF2-40B4-BE49-F238E27FC236}">
              <a16:creationId xmlns:a16="http://schemas.microsoft.com/office/drawing/2014/main" id="{AA5E3AF5-A17B-46E8-919B-7705F09574BB}"/>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62</xdr:row>
      <xdr:rowOff>197876</xdr:rowOff>
    </xdr:from>
    <xdr:to>
      <xdr:col>5</xdr:col>
      <xdr:colOff>268754</xdr:colOff>
      <xdr:row>72</xdr:row>
      <xdr:rowOff>1105</xdr:rowOff>
    </xdr:to>
    <xdr:sp macro="" textlink="">
      <xdr:nvSpPr>
        <xdr:cNvPr id="1385" name="Text Box 45" hidden="1">
          <a:extLst>
            <a:ext uri="{FF2B5EF4-FFF2-40B4-BE49-F238E27FC236}">
              <a16:creationId xmlns:a16="http://schemas.microsoft.com/office/drawing/2014/main" id="{364093D5-CE7C-4AA8-A671-492FFA6173BA}"/>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26</xdr:col>
      <xdr:colOff>483123</xdr:colOff>
      <xdr:row>23</xdr:row>
      <xdr:rowOff>315259</xdr:rowOff>
    </xdr:to>
    <xdr:sp macro="" textlink="">
      <xdr:nvSpPr>
        <xdr:cNvPr id="1386" name="Text Box 44" hidden="1">
          <a:extLst>
            <a:ext uri="{FF2B5EF4-FFF2-40B4-BE49-F238E27FC236}">
              <a16:creationId xmlns:a16="http://schemas.microsoft.com/office/drawing/2014/main" id="{75232F2C-12A5-45BC-9677-34E1EA681750}"/>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26</xdr:col>
      <xdr:colOff>483123</xdr:colOff>
      <xdr:row>33</xdr:row>
      <xdr:rowOff>111873</xdr:rowOff>
    </xdr:to>
    <xdr:sp macro="" textlink="">
      <xdr:nvSpPr>
        <xdr:cNvPr id="1387" name="Text Box 43" hidden="1">
          <a:extLst>
            <a:ext uri="{FF2B5EF4-FFF2-40B4-BE49-F238E27FC236}">
              <a16:creationId xmlns:a16="http://schemas.microsoft.com/office/drawing/2014/main" id="{52D17F6C-426C-4896-A6DA-7CF1774C366F}"/>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483123</xdr:colOff>
      <xdr:row>139</xdr:row>
      <xdr:rowOff>31097</xdr:rowOff>
    </xdr:to>
    <xdr:sp macro="" textlink="">
      <xdr:nvSpPr>
        <xdr:cNvPr id="1388" name="Text Box 42" hidden="1">
          <a:extLst>
            <a:ext uri="{FF2B5EF4-FFF2-40B4-BE49-F238E27FC236}">
              <a16:creationId xmlns:a16="http://schemas.microsoft.com/office/drawing/2014/main" id="{F811C16F-3680-47CC-8E77-199E9FB75031}"/>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69476</xdr:rowOff>
    </xdr:from>
    <xdr:to>
      <xdr:col>27</xdr:col>
      <xdr:colOff>473596</xdr:colOff>
      <xdr:row>23</xdr:row>
      <xdr:rowOff>315259</xdr:rowOff>
    </xdr:to>
    <xdr:sp macro="" textlink="">
      <xdr:nvSpPr>
        <xdr:cNvPr id="1389" name="Text Box 41" hidden="1">
          <a:extLst>
            <a:ext uri="{FF2B5EF4-FFF2-40B4-BE49-F238E27FC236}">
              <a16:creationId xmlns:a16="http://schemas.microsoft.com/office/drawing/2014/main" id="{2B2F32AE-E9EE-4597-83FF-48F7A6B59C54}"/>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69477</xdr:rowOff>
    </xdr:from>
    <xdr:to>
      <xdr:col>27</xdr:col>
      <xdr:colOff>473596</xdr:colOff>
      <xdr:row>33</xdr:row>
      <xdr:rowOff>111873</xdr:rowOff>
    </xdr:to>
    <xdr:sp macro="" textlink="">
      <xdr:nvSpPr>
        <xdr:cNvPr id="1390" name="Text Box 40" hidden="1">
          <a:extLst>
            <a:ext uri="{FF2B5EF4-FFF2-40B4-BE49-F238E27FC236}">
              <a16:creationId xmlns:a16="http://schemas.microsoft.com/office/drawing/2014/main" id="{72AF134F-9E08-42EE-89B1-63FA2FB7DE08}"/>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987</xdr:rowOff>
    </xdr:from>
    <xdr:to>
      <xdr:col>27</xdr:col>
      <xdr:colOff>473596</xdr:colOff>
      <xdr:row>139</xdr:row>
      <xdr:rowOff>31097</xdr:rowOff>
    </xdr:to>
    <xdr:sp macro="" textlink="">
      <xdr:nvSpPr>
        <xdr:cNvPr id="1391" name="Text Box 39" hidden="1">
          <a:extLst>
            <a:ext uri="{FF2B5EF4-FFF2-40B4-BE49-F238E27FC236}">
              <a16:creationId xmlns:a16="http://schemas.microsoft.com/office/drawing/2014/main" id="{2ACCCCD7-4747-47FD-A503-46550A9E6C32}"/>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1392" name="Text Box 114" hidden="1">
          <a:extLst>
            <a:ext uri="{FF2B5EF4-FFF2-40B4-BE49-F238E27FC236}">
              <a16:creationId xmlns:a16="http://schemas.microsoft.com/office/drawing/2014/main" id="{F8E68109-D2BE-4082-BFB6-80D87A359A01}"/>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208155</xdr:rowOff>
    </xdr:from>
    <xdr:to>
      <xdr:col>5</xdr:col>
      <xdr:colOff>102160</xdr:colOff>
      <xdr:row>63</xdr:row>
      <xdr:rowOff>208155</xdr:rowOff>
    </xdr:to>
    <xdr:sp macro="" textlink="">
      <xdr:nvSpPr>
        <xdr:cNvPr id="1393" name="Text Box 113" hidden="1">
          <a:extLst>
            <a:ext uri="{FF2B5EF4-FFF2-40B4-BE49-F238E27FC236}">
              <a16:creationId xmlns:a16="http://schemas.microsoft.com/office/drawing/2014/main" id="{4EC37EAD-FA63-45A3-A1A9-249C0715994C}"/>
            </a:ext>
          </a:extLst>
        </xdr:cNvPr>
        <xdr:cNvSpPr txBox="1">
          <a:spLocks noChangeArrowheads="1"/>
        </xdr:cNvSpPr>
      </xdr:nvSpPr>
      <xdr:spPr bwMode="auto">
        <a:xfrm>
          <a:off x="3981263" y="14251180"/>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208155</xdr:rowOff>
    </xdr:from>
    <xdr:to>
      <xdr:col>5</xdr:col>
      <xdr:colOff>121210</xdr:colOff>
      <xdr:row>89</xdr:row>
      <xdr:rowOff>44626</xdr:rowOff>
    </xdr:to>
    <xdr:sp macro="" textlink="">
      <xdr:nvSpPr>
        <xdr:cNvPr id="1394" name="Text Box 112" hidden="1">
          <a:extLst>
            <a:ext uri="{FF2B5EF4-FFF2-40B4-BE49-F238E27FC236}">
              <a16:creationId xmlns:a16="http://schemas.microsoft.com/office/drawing/2014/main" id="{8E20016E-7D22-492E-B555-A3599BFD33B6}"/>
            </a:ext>
          </a:extLst>
        </xdr:cNvPr>
        <xdr:cNvSpPr txBox="1">
          <a:spLocks noChangeArrowheads="1"/>
        </xdr:cNvSpPr>
      </xdr:nvSpPr>
      <xdr:spPr bwMode="auto">
        <a:xfrm>
          <a:off x="4000313" y="14251180"/>
          <a:ext cx="1312022" cy="5151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208155</xdr:rowOff>
    </xdr:from>
    <xdr:to>
      <xdr:col>5</xdr:col>
      <xdr:colOff>102160</xdr:colOff>
      <xdr:row>88</xdr:row>
      <xdr:rowOff>29843</xdr:rowOff>
    </xdr:to>
    <xdr:sp macro="" textlink="">
      <xdr:nvSpPr>
        <xdr:cNvPr id="1395" name="Text Box 111" hidden="1">
          <a:extLst>
            <a:ext uri="{FF2B5EF4-FFF2-40B4-BE49-F238E27FC236}">
              <a16:creationId xmlns:a16="http://schemas.microsoft.com/office/drawing/2014/main" id="{0E6F388D-3C2A-4108-884A-EE4DF5939F1A}"/>
            </a:ext>
          </a:extLst>
        </xdr:cNvPr>
        <xdr:cNvSpPr txBox="1">
          <a:spLocks noChangeArrowheads="1"/>
        </xdr:cNvSpPr>
      </xdr:nvSpPr>
      <xdr:spPr bwMode="auto">
        <a:xfrm>
          <a:off x="3981263" y="14251180"/>
          <a:ext cx="1312022" cy="4952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208155</xdr:rowOff>
    </xdr:from>
    <xdr:to>
      <xdr:col>5</xdr:col>
      <xdr:colOff>102160</xdr:colOff>
      <xdr:row>88</xdr:row>
      <xdr:rowOff>75449</xdr:rowOff>
    </xdr:to>
    <xdr:sp macro="" textlink="">
      <xdr:nvSpPr>
        <xdr:cNvPr id="1396" name="Text Box 110" hidden="1">
          <a:extLst>
            <a:ext uri="{FF2B5EF4-FFF2-40B4-BE49-F238E27FC236}">
              <a16:creationId xmlns:a16="http://schemas.microsoft.com/office/drawing/2014/main" id="{D1363CAC-9193-4337-9074-9438F90F0DF9}"/>
            </a:ext>
          </a:extLst>
        </xdr:cNvPr>
        <xdr:cNvSpPr txBox="1">
          <a:spLocks noChangeArrowheads="1"/>
        </xdr:cNvSpPr>
      </xdr:nvSpPr>
      <xdr:spPr bwMode="auto">
        <a:xfrm>
          <a:off x="3981263" y="14251180"/>
          <a:ext cx="1312022" cy="4998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30842</xdr:rowOff>
    </xdr:from>
    <xdr:to>
      <xdr:col>5</xdr:col>
      <xdr:colOff>102160</xdr:colOff>
      <xdr:row>90</xdr:row>
      <xdr:rowOff>1349</xdr:rowOff>
    </xdr:to>
    <xdr:sp macro="" textlink="">
      <xdr:nvSpPr>
        <xdr:cNvPr id="1397" name="Text Box 109" hidden="1">
          <a:extLst>
            <a:ext uri="{FF2B5EF4-FFF2-40B4-BE49-F238E27FC236}">
              <a16:creationId xmlns:a16="http://schemas.microsoft.com/office/drawing/2014/main" id="{71921B64-1FA0-422E-85AE-E3E0C48A6D99}"/>
            </a:ext>
          </a:extLst>
        </xdr:cNvPr>
        <xdr:cNvSpPr txBox="1">
          <a:spLocks noChangeArrowheads="1"/>
        </xdr:cNvSpPr>
      </xdr:nvSpPr>
      <xdr:spPr bwMode="auto">
        <a:xfrm>
          <a:off x="3981263" y="15061292"/>
          <a:ext cx="1312022" cy="44758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163829</xdr:rowOff>
    </xdr:from>
    <xdr:to>
      <xdr:col>5</xdr:col>
      <xdr:colOff>102160</xdr:colOff>
      <xdr:row>99</xdr:row>
      <xdr:rowOff>47670</xdr:rowOff>
    </xdr:to>
    <xdr:sp macro="" textlink="">
      <xdr:nvSpPr>
        <xdr:cNvPr id="1398" name="Text Box 108" hidden="1">
          <a:extLst>
            <a:ext uri="{FF2B5EF4-FFF2-40B4-BE49-F238E27FC236}">
              <a16:creationId xmlns:a16="http://schemas.microsoft.com/office/drawing/2014/main" id="{7A019E10-B3CA-4E2D-830F-D772A5A6D35D}"/>
            </a:ext>
          </a:extLst>
        </xdr:cNvPr>
        <xdr:cNvSpPr txBox="1">
          <a:spLocks noChangeArrowheads="1"/>
        </xdr:cNvSpPr>
      </xdr:nvSpPr>
      <xdr:spPr bwMode="auto">
        <a:xfrm>
          <a:off x="3981263" y="18232754"/>
          <a:ext cx="1312022" cy="297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88728</xdr:rowOff>
    </xdr:from>
    <xdr:to>
      <xdr:col>5</xdr:col>
      <xdr:colOff>102160</xdr:colOff>
      <xdr:row>97</xdr:row>
      <xdr:rowOff>65326</xdr:rowOff>
    </xdr:to>
    <xdr:sp macro="" textlink="">
      <xdr:nvSpPr>
        <xdr:cNvPr id="1399" name="Text Box 107" hidden="1">
          <a:extLst>
            <a:ext uri="{FF2B5EF4-FFF2-40B4-BE49-F238E27FC236}">
              <a16:creationId xmlns:a16="http://schemas.microsoft.com/office/drawing/2014/main" id="{1700EB9B-C48B-435C-9A62-E3D5EF53577B}"/>
            </a:ext>
          </a:extLst>
        </xdr:cNvPr>
        <xdr:cNvSpPr txBox="1">
          <a:spLocks noChangeArrowheads="1"/>
        </xdr:cNvSpPr>
      </xdr:nvSpPr>
      <xdr:spPr bwMode="auto">
        <a:xfrm>
          <a:off x="3981263" y="18338628"/>
          <a:ext cx="1312022" cy="2529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17925</xdr:rowOff>
    </xdr:from>
    <xdr:to>
      <xdr:col>5</xdr:col>
      <xdr:colOff>102160</xdr:colOff>
      <xdr:row>97</xdr:row>
      <xdr:rowOff>152246</xdr:rowOff>
    </xdr:to>
    <xdr:sp macro="" textlink="">
      <xdr:nvSpPr>
        <xdr:cNvPr id="1400" name="Text Box 106" hidden="1">
          <a:extLst>
            <a:ext uri="{FF2B5EF4-FFF2-40B4-BE49-F238E27FC236}">
              <a16:creationId xmlns:a16="http://schemas.microsoft.com/office/drawing/2014/main" id="{5CF79F60-0EB5-4A8E-BF98-C857EA6967DE}"/>
            </a:ext>
          </a:extLst>
        </xdr:cNvPr>
        <xdr:cNvSpPr txBox="1">
          <a:spLocks noChangeArrowheads="1"/>
        </xdr:cNvSpPr>
      </xdr:nvSpPr>
      <xdr:spPr bwMode="auto">
        <a:xfrm>
          <a:off x="3981263" y="18448800"/>
          <a:ext cx="1312022" cy="25060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30064</xdr:rowOff>
    </xdr:from>
    <xdr:to>
      <xdr:col>5</xdr:col>
      <xdr:colOff>102160</xdr:colOff>
      <xdr:row>101</xdr:row>
      <xdr:rowOff>87194</xdr:rowOff>
    </xdr:to>
    <xdr:sp macro="" textlink="">
      <xdr:nvSpPr>
        <xdr:cNvPr id="1401" name="Text Box 105" hidden="1">
          <a:extLst>
            <a:ext uri="{FF2B5EF4-FFF2-40B4-BE49-F238E27FC236}">
              <a16:creationId xmlns:a16="http://schemas.microsoft.com/office/drawing/2014/main" id="{EBC62DA4-E689-4341-931B-75296C0EE457}"/>
            </a:ext>
          </a:extLst>
        </xdr:cNvPr>
        <xdr:cNvSpPr txBox="1">
          <a:spLocks noChangeArrowheads="1"/>
        </xdr:cNvSpPr>
      </xdr:nvSpPr>
      <xdr:spPr bwMode="auto">
        <a:xfrm>
          <a:off x="3981263" y="18641914"/>
          <a:ext cx="1312022" cy="2971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149924</xdr:rowOff>
    </xdr:from>
    <xdr:to>
      <xdr:col>5</xdr:col>
      <xdr:colOff>102160</xdr:colOff>
      <xdr:row>118</xdr:row>
      <xdr:rowOff>66888</xdr:rowOff>
    </xdr:to>
    <xdr:sp macro="" textlink="">
      <xdr:nvSpPr>
        <xdr:cNvPr id="1402" name="Text Box 104" hidden="1">
          <a:extLst>
            <a:ext uri="{FF2B5EF4-FFF2-40B4-BE49-F238E27FC236}">
              <a16:creationId xmlns:a16="http://schemas.microsoft.com/office/drawing/2014/main" id="{D3513623-1BD2-4A17-AE6D-F463F1A49869}"/>
            </a:ext>
          </a:extLst>
        </xdr:cNvPr>
        <xdr:cNvSpPr txBox="1">
          <a:spLocks noChangeArrowheads="1"/>
        </xdr:cNvSpPr>
      </xdr:nvSpPr>
      <xdr:spPr bwMode="auto">
        <a:xfrm>
          <a:off x="3981263" y="22590824"/>
          <a:ext cx="1312022" cy="23839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84742</xdr:rowOff>
    </xdr:from>
    <xdr:to>
      <xdr:col>5</xdr:col>
      <xdr:colOff>102160</xdr:colOff>
      <xdr:row>115</xdr:row>
      <xdr:rowOff>58443</xdr:rowOff>
    </xdr:to>
    <xdr:sp macro="" textlink="">
      <xdr:nvSpPr>
        <xdr:cNvPr id="1403" name="Text Box 103" hidden="1">
          <a:extLst>
            <a:ext uri="{FF2B5EF4-FFF2-40B4-BE49-F238E27FC236}">
              <a16:creationId xmlns:a16="http://schemas.microsoft.com/office/drawing/2014/main" id="{70E371E4-D9CA-4B2D-B39E-4ABEDDDD475C}"/>
            </a:ext>
          </a:extLst>
        </xdr:cNvPr>
        <xdr:cNvSpPr txBox="1">
          <a:spLocks noChangeArrowheads="1"/>
        </xdr:cNvSpPr>
      </xdr:nvSpPr>
      <xdr:spPr bwMode="auto">
        <a:xfrm>
          <a:off x="3981263" y="22763767"/>
          <a:ext cx="1312022" cy="16024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123402</xdr:rowOff>
    </xdr:from>
    <xdr:to>
      <xdr:col>5</xdr:col>
      <xdr:colOff>102160</xdr:colOff>
      <xdr:row>114</xdr:row>
      <xdr:rowOff>124820</xdr:rowOff>
    </xdr:to>
    <xdr:sp macro="" textlink="">
      <xdr:nvSpPr>
        <xdr:cNvPr id="1404" name="Text Box 102" hidden="1">
          <a:extLst>
            <a:ext uri="{FF2B5EF4-FFF2-40B4-BE49-F238E27FC236}">
              <a16:creationId xmlns:a16="http://schemas.microsoft.com/office/drawing/2014/main" id="{21EF2742-3D8D-44DC-A686-42D4E409A23A}"/>
            </a:ext>
          </a:extLst>
        </xdr:cNvPr>
        <xdr:cNvSpPr txBox="1">
          <a:spLocks noChangeArrowheads="1"/>
        </xdr:cNvSpPr>
      </xdr:nvSpPr>
      <xdr:spPr bwMode="auto">
        <a:xfrm>
          <a:off x="3981263" y="22983402"/>
          <a:ext cx="1312022" cy="1265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85302</xdr:rowOff>
    </xdr:from>
    <xdr:to>
      <xdr:col>5</xdr:col>
      <xdr:colOff>102160</xdr:colOff>
      <xdr:row>114</xdr:row>
      <xdr:rowOff>124820</xdr:rowOff>
    </xdr:to>
    <xdr:sp macro="" textlink="">
      <xdr:nvSpPr>
        <xdr:cNvPr id="1405" name="Text Box 101" hidden="1">
          <a:extLst>
            <a:ext uri="{FF2B5EF4-FFF2-40B4-BE49-F238E27FC236}">
              <a16:creationId xmlns:a16="http://schemas.microsoft.com/office/drawing/2014/main" id="{BE846038-F5D2-45A9-9169-B6D02BADCF6B}"/>
            </a:ext>
          </a:extLst>
        </xdr:cNvPr>
        <xdr:cNvSpPr txBox="1">
          <a:spLocks noChangeArrowheads="1"/>
        </xdr:cNvSpPr>
      </xdr:nvSpPr>
      <xdr:spPr bwMode="auto">
        <a:xfrm>
          <a:off x="3981263" y="22948477"/>
          <a:ext cx="1312022" cy="12999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131</xdr:row>
      <xdr:rowOff>59771</xdr:rowOff>
    </xdr:from>
    <xdr:to>
      <xdr:col>21</xdr:col>
      <xdr:colOff>254522</xdr:colOff>
      <xdr:row>135</xdr:row>
      <xdr:rowOff>82702</xdr:rowOff>
    </xdr:to>
    <xdr:sp macro="" textlink="">
      <xdr:nvSpPr>
        <xdr:cNvPr id="1406" name="Text Box 100" hidden="1">
          <a:extLst>
            <a:ext uri="{FF2B5EF4-FFF2-40B4-BE49-F238E27FC236}">
              <a16:creationId xmlns:a16="http://schemas.microsoft.com/office/drawing/2014/main" id="{15FC8187-7C64-4C9B-AE24-05CD245707CA}"/>
            </a:ext>
          </a:extLst>
        </xdr:cNvPr>
        <xdr:cNvSpPr txBox="1">
          <a:spLocks noChangeArrowheads="1"/>
        </xdr:cNvSpPr>
      </xdr:nvSpPr>
      <xdr:spPr bwMode="auto">
        <a:xfrm>
          <a:off x="17513821" y="27320321"/>
          <a:ext cx="1333501" cy="746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23</xdr:row>
      <xdr:rowOff>239059</xdr:rowOff>
    </xdr:to>
    <xdr:sp macro="" textlink="">
      <xdr:nvSpPr>
        <xdr:cNvPr id="1407" name="Text Box 99" hidden="1">
          <a:extLst>
            <a:ext uri="{FF2B5EF4-FFF2-40B4-BE49-F238E27FC236}">
              <a16:creationId xmlns:a16="http://schemas.microsoft.com/office/drawing/2014/main" id="{F9CC6407-43CD-4D42-BE4F-CE57BD9BA889}"/>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1408" name="Text Box 98" hidden="1">
          <a:extLst>
            <a:ext uri="{FF2B5EF4-FFF2-40B4-BE49-F238E27FC236}">
              <a16:creationId xmlns:a16="http://schemas.microsoft.com/office/drawing/2014/main" id="{0F709F7D-C1C9-4F39-8B2D-A852BF3D65C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135</xdr:row>
      <xdr:rowOff>82702</xdr:rowOff>
    </xdr:from>
    <xdr:to>
      <xdr:col>22</xdr:col>
      <xdr:colOff>425971</xdr:colOff>
      <xdr:row>139</xdr:row>
      <xdr:rowOff>65061</xdr:rowOff>
    </xdr:to>
    <xdr:sp macro="" textlink="">
      <xdr:nvSpPr>
        <xdr:cNvPr id="1409" name="Text Box 97" hidden="1">
          <a:extLst>
            <a:ext uri="{FF2B5EF4-FFF2-40B4-BE49-F238E27FC236}">
              <a16:creationId xmlns:a16="http://schemas.microsoft.com/office/drawing/2014/main" id="{159CB7FA-277C-41B1-B2CE-61DD476A1DD2}"/>
            </a:ext>
          </a:extLst>
        </xdr:cNvPr>
        <xdr:cNvSpPr txBox="1">
          <a:spLocks noChangeArrowheads="1"/>
        </xdr:cNvSpPr>
      </xdr:nvSpPr>
      <xdr:spPr bwMode="auto">
        <a:xfrm>
          <a:off x="18332971" y="28067152"/>
          <a:ext cx="1447800" cy="7062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50426</xdr:rowOff>
    </xdr:from>
    <xdr:to>
      <xdr:col>11</xdr:col>
      <xdr:colOff>639676</xdr:colOff>
      <xdr:row>50</xdr:row>
      <xdr:rowOff>160992</xdr:rowOff>
    </xdr:to>
    <xdr:sp macro="" textlink="">
      <xdr:nvSpPr>
        <xdr:cNvPr id="1410" name="Text Box 96" hidden="1">
          <a:extLst>
            <a:ext uri="{FF2B5EF4-FFF2-40B4-BE49-F238E27FC236}">
              <a16:creationId xmlns:a16="http://schemas.microsoft.com/office/drawing/2014/main" id="{921ED9DE-7BEB-40C9-BC3C-CD1DAF9F367B}"/>
            </a:ext>
          </a:extLst>
        </xdr:cNvPr>
        <xdr:cNvSpPr txBox="1">
          <a:spLocks noChangeArrowheads="1"/>
        </xdr:cNvSpPr>
      </xdr:nvSpPr>
      <xdr:spPr bwMode="auto">
        <a:xfrm>
          <a:off x="9314696" y="9623051"/>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23</xdr:row>
      <xdr:rowOff>334309</xdr:rowOff>
    </xdr:to>
    <xdr:sp macro="" textlink="">
      <xdr:nvSpPr>
        <xdr:cNvPr id="1411" name="Text Box 95" hidden="1">
          <a:extLst>
            <a:ext uri="{FF2B5EF4-FFF2-40B4-BE49-F238E27FC236}">
              <a16:creationId xmlns:a16="http://schemas.microsoft.com/office/drawing/2014/main" id="{4C3A3E81-79D4-466C-ACF4-1B11FAC1144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1412" name="Text Box 94" hidden="1">
          <a:extLst>
            <a:ext uri="{FF2B5EF4-FFF2-40B4-BE49-F238E27FC236}">
              <a16:creationId xmlns:a16="http://schemas.microsoft.com/office/drawing/2014/main" id="{138B0A9F-5920-49E5-9F3F-99A6C14729D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135</xdr:row>
      <xdr:rowOff>82702</xdr:rowOff>
    </xdr:from>
    <xdr:to>
      <xdr:col>24</xdr:col>
      <xdr:colOff>464072</xdr:colOff>
      <xdr:row>139</xdr:row>
      <xdr:rowOff>159918</xdr:rowOff>
    </xdr:to>
    <xdr:sp macro="" textlink="">
      <xdr:nvSpPr>
        <xdr:cNvPr id="1413" name="Text Box 93" hidden="1">
          <a:extLst>
            <a:ext uri="{FF2B5EF4-FFF2-40B4-BE49-F238E27FC236}">
              <a16:creationId xmlns:a16="http://schemas.microsoft.com/office/drawing/2014/main" id="{5735E16D-424E-45DA-B38F-1E72B447304C}"/>
            </a:ext>
          </a:extLst>
        </xdr:cNvPr>
        <xdr:cNvSpPr txBox="1">
          <a:spLocks noChangeArrowheads="1"/>
        </xdr:cNvSpPr>
      </xdr:nvSpPr>
      <xdr:spPr bwMode="auto">
        <a:xfrm>
          <a:off x="19985832" y="28067152"/>
          <a:ext cx="1357040" cy="801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23</xdr:row>
      <xdr:rowOff>296209</xdr:rowOff>
    </xdr:to>
    <xdr:sp macro="" textlink="">
      <xdr:nvSpPr>
        <xdr:cNvPr id="1414" name="Text Box 92" hidden="1">
          <a:extLst>
            <a:ext uri="{FF2B5EF4-FFF2-40B4-BE49-F238E27FC236}">
              <a16:creationId xmlns:a16="http://schemas.microsoft.com/office/drawing/2014/main" id="{721E5F9B-0EB6-4B44-86F9-D74D4AB791F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1415" name="Text Box 91" hidden="1">
          <a:extLst>
            <a:ext uri="{FF2B5EF4-FFF2-40B4-BE49-F238E27FC236}">
              <a16:creationId xmlns:a16="http://schemas.microsoft.com/office/drawing/2014/main" id="{67451C59-2CE6-4ED0-997A-88E4FD52C486}"/>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117088</xdr:rowOff>
    </xdr:from>
    <xdr:to>
      <xdr:col>25</xdr:col>
      <xdr:colOff>464072</xdr:colOff>
      <xdr:row>139</xdr:row>
      <xdr:rowOff>159918</xdr:rowOff>
    </xdr:to>
    <xdr:sp macro="" textlink="">
      <xdr:nvSpPr>
        <xdr:cNvPr id="1416" name="Text Box 90" hidden="1">
          <a:extLst>
            <a:ext uri="{FF2B5EF4-FFF2-40B4-BE49-F238E27FC236}">
              <a16:creationId xmlns:a16="http://schemas.microsoft.com/office/drawing/2014/main" id="{CD535088-76EC-44DD-BEC9-E87337924606}"/>
            </a:ext>
          </a:extLst>
        </xdr:cNvPr>
        <xdr:cNvSpPr txBox="1">
          <a:spLocks noChangeArrowheads="1"/>
        </xdr:cNvSpPr>
      </xdr:nvSpPr>
      <xdr:spPr bwMode="auto">
        <a:xfrm>
          <a:off x="20747833" y="28101538"/>
          <a:ext cx="1357039" cy="7667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50</xdr:row>
      <xdr:rowOff>31377</xdr:rowOff>
    </xdr:from>
    <xdr:to>
      <xdr:col>11</xdr:col>
      <xdr:colOff>715876</xdr:colOff>
      <xdr:row>54</xdr:row>
      <xdr:rowOff>50427</xdr:rowOff>
    </xdr:to>
    <xdr:sp macro="" textlink="">
      <xdr:nvSpPr>
        <xdr:cNvPr id="1417" name="Text Box 89" hidden="1">
          <a:extLst>
            <a:ext uri="{FF2B5EF4-FFF2-40B4-BE49-F238E27FC236}">
              <a16:creationId xmlns:a16="http://schemas.microsoft.com/office/drawing/2014/main" id="{F57D2543-2C09-4AB5-91F8-BA2FEE840153}"/>
            </a:ext>
          </a:extLst>
        </xdr:cNvPr>
        <xdr:cNvSpPr txBox="1">
          <a:spLocks noChangeArrowheads="1"/>
        </xdr:cNvSpPr>
      </xdr:nvSpPr>
      <xdr:spPr bwMode="auto">
        <a:xfrm>
          <a:off x="9352796" y="10327902"/>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50</xdr:row>
      <xdr:rowOff>31377</xdr:rowOff>
    </xdr:from>
    <xdr:to>
      <xdr:col>13</xdr:col>
      <xdr:colOff>507975</xdr:colOff>
      <xdr:row>54</xdr:row>
      <xdr:rowOff>50427</xdr:rowOff>
    </xdr:to>
    <xdr:sp macro="" textlink="">
      <xdr:nvSpPr>
        <xdr:cNvPr id="1418" name="Text Box 88" hidden="1">
          <a:extLst>
            <a:ext uri="{FF2B5EF4-FFF2-40B4-BE49-F238E27FC236}">
              <a16:creationId xmlns:a16="http://schemas.microsoft.com/office/drawing/2014/main" id="{C8099FDC-FF41-49D8-B9B8-1CCD7CCCF825}"/>
            </a:ext>
          </a:extLst>
        </xdr:cNvPr>
        <xdr:cNvSpPr txBox="1">
          <a:spLocks noChangeArrowheads="1"/>
        </xdr:cNvSpPr>
      </xdr:nvSpPr>
      <xdr:spPr bwMode="auto">
        <a:xfrm>
          <a:off x="11093966" y="10327902"/>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133024</xdr:rowOff>
    </xdr:from>
    <xdr:to>
      <xdr:col>30</xdr:col>
      <xdr:colOff>296164</xdr:colOff>
      <xdr:row>34</xdr:row>
      <xdr:rowOff>160991</xdr:rowOff>
    </xdr:to>
    <xdr:sp macro="" textlink="">
      <xdr:nvSpPr>
        <xdr:cNvPr id="1419" name="Text Box 87" hidden="1">
          <a:extLst>
            <a:ext uri="{FF2B5EF4-FFF2-40B4-BE49-F238E27FC236}">
              <a16:creationId xmlns:a16="http://schemas.microsoft.com/office/drawing/2014/main" id="{D6342BC9-84FD-4C17-914A-F96903D96060}"/>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63</xdr:row>
      <xdr:rowOff>208155</xdr:rowOff>
    </xdr:from>
    <xdr:to>
      <xdr:col>14</xdr:col>
      <xdr:colOff>362839</xdr:colOff>
      <xdr:row>64</xdr:row>
      <xdr:rowOff>6757</xdr:rowOff>
    </xdr:to>
    <xdr:sp macro="" textlink="">
      <xdr:nvSpPr>
        <xdr:cNvPr id="1420" name="Text Box 86" hidden="1">
          <a:extLst>
            <a:ext uri="{FF2B5EF4-FFF2-40B4-BE49-F238E27FC236}">
              <a16:creationId xmlns:a16="http://schemas.microsoft.com/office/drawing/2014/main" id="{DF8849D9-2145-4337-86DB-63E94F1D2DFF}"/>
            </a:ext>
          </a:extLst>
        </xdr:cNvPr>
        <xdr:cNvSpPr txBox="1">
          <a:spLocks noChangeArrowheads="1"/>
        </xdr:cNvSpPr>
      </xdr:nvSpPr>
      <xdr:spPr bwMode="auto">
        <a:xfrm>
          <a:off x="11915918" y="14251180"/>
          <a:ext cx="1429496" cy="81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67</xdr:row>
      <xdr:rowOff>180067</xdr:rowOff>
    </xdr:from>
    <xdr:to>
      <xdr:col>14</xdr:col>
      <xdr:colOff>450825</xdr:colOff>
      <xdr:row>78</xdr:row>
      <xdr:rowOff>45609</xdr:rowOff>
    </xdr:to>
    <xdr:sp macro="" textlink="">
      <xdr:nvSpPr>
        <xdr:cNvPr id="1421" name="Text Box 85" hidden="1">
          <a:extLst>
            <a:ext uri="{FF2B5EF4-FFF2-40B4-BE49-F238E27FC236}">
              <a16:creationId xmlns:a16="http://schemas.microsoft.com/office/drawing/2014/main" id="{9EF23886-21B0-4337-8057-82ACFB786214}"/>
            </a:ext>
          </a:extLst>
        </xdr:cNvPr>
        <xdr:cNvSpPr txBox="1">
          <a:spLocks noChangeArrowheads="1"/>
        </xdr:cNvSpPr>
      </xdr:nvSpPr>
      <xdr:spPr bwMode="auto">
        <a:xfrm>
          <a:off x="11954018" y="15004142"/>
          <a:ext cx="1479382" cy="20086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50</xdr:row>
      <xdr:rowOff>31377</xdr:rowOff>
    </xdr:from>
    <xdr:to>
      <xdr:col>14</xdr:col>
      <xdr:colOff>450825</xdr:colOff>
      <xdr:row>54</xdr:row>
      <xdr:rowOff>50427</xdr:rowOff>
    </xdr:to>
    <xdr:sp macro="" textlink="">
      <xdr:nvSpPr>
        <xdr:cNvPr id="1422" name="Text Box 84" hidden="1">
          <a:extLst>
            <a:ext uri="{FF2B5EF4-FFF2-40B4-BE49-F238E27FC236}">
              <a16:creationId xmlns:a16="http://schemas.microsoft.com/office/drawing/2014/main" id="{9004276D-FCF0-444F-844C-CDBFBBAC2439}"/>
            </a:ext>
          </a:extLst>
        </xdr:cNvPr>
        <xdr:cNvSpPr txBox="1">
          <a:spLocks noChangeArrowheads="1"/>
        </xdr:cNvSpPr>
      </xdr:nvSpPr>
      <xdr:spPr bwMode="auto">
        <a:xfrm>
          <a:off x="11954018" y="10327902"/>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65</xdr:row>
      <xdr:rowOff>59</xdr:rowOff>
    </xdr:from>
    <xdr:to>
      <xdr:col>5</xdr:col>
      <xdr:colOff>268754</xdr:colOff>
      <xdr:row>78</xdr:row>
      <xdr:rowOff>163752</xdr:rowOff>
    </xdr:to>
    <xdr:sp macro="" textlink="">
      <xdr:nvSpPr>
        <xdr:cNvPr id="1423" name="Text Box 83" hidden="1">
          <a:extLst>
            <a:ext uri="{FF2B5EF4-FFF2-40B4-BE49-F238E27FC236}">
              <a16:creationId xmlns:a16="http://schemas.microsoft.com/office/drawing/2014/main" id="{1B37B44B-B250-44CB-A71C-8F02F0B3C8EA}"/>
            </a:ext>
          </a:extLst>
        </xdr:cNvPr>
        <xdr:cNvSpPr txBox="1">
          <a:spLocks noChangeArrowheads="1"/>
        </xdr:cNvSpPr>
      </xdr:nvSpPr>
      <xdr:spPr bwMode="auto">
        <a:xfrm>
          <a:off x="4038413" y="14430434"/>
          <a:ext cx="1421466" cy="26941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26</xdr:col>
      <xdr:colOff>483123</xdr:colOff>
      <xdr:row>23</xdr:row>
      <xdr:rowOff>315259</xdr:rowOff>
    </xdr:to>
    <xdr:sp macro="" textlink="">
      <xdr:nvSpPr>
        <xdr:cNvPr id="1424" name="Text Box 82" hidden="1">
          <a:extLst>
            <a:ext uri="{FF2B5EF4-FFF2-40B4-BE49-F238E27FC236}">
              <a16:creationId xmlns:a16="http://schemas.microsoft.com/office/drawing/2014/main" id="{DA09379E-0A35-4AAB-9222-E79C88F5831E}"/>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26</xdr:col>
      <xdr:colOff>483123</xdr:colOff>
      <xdr:row>33</xdr:row>
      <xdr:rowOff>111873</xdr:rowOff>
    </xdr:to>
    <xdr:sp macro="" textlink="">
      <xdr:nvSpPr>
        <xdr:cNvPr id="1425" name="Text Box 81" hidden="1">
          <a:extLst>
            <a:ext uri="{FF2B5EF4-FFF2-40B4-BE49-F238E27FC236}">
              <a16:creationId xmlns:a16="http://schemas.microsoft.com/office/drawing/2014/main" id="{01CDA823-99C6-4A17-81D4-7EEB6AA3CDB0}"/>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138</xdr:row>
      <xdr:rowOff>532</xdr:rowOff>
    </xdr:from>
    <xdr:to>
      <xdr:col>26</xdr:col>
      <xdr:colOff>483123</xdr:colOff>
      <xdr:row>142</xdr:row>
      <xdr:rowOff>31097</xdr:rowOff>
    </xdr:to>
    <xdr:sp macro="" textlink="">
      <xdr:nvSpPr>
        <xdr:cNvPr id="1426" name="Text Box 80" hidden="1">
          <a:extLst>
            <a:ext uri="{FF2B5EF4-FFF2-40B4-BE49-F238E27FC236}">
              <a16:creationId xmlns:a16="http://schemas.microsoft.com/office/drawing/2014/main" id="{A732E0C9-F097-45AF-9C1D-6AB0B71AD6D2}"/>
            </a:ext>
          </a:extLst>
        </xdr:cNvPr>
        <xdr:cNvSpPr txBox="1">
          <a:spLocks noChangeArrowheads="1"/>
        </xdr:cNvSpPr>
      </xdr:nvSpPr>
      <xdr:spPr bwMode="auto">
        <a:xfrm>
          <a:off x="21509833" y="28527907"/>
          <a:ext cx="1376090"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69476</xdr:rowOff>
    </xdr:from>
    <xdr:to>
      <xdr:col>27</xdr:col>
      <xdr:colOff>473596</xdr:colOff>
      <xdr:row>23</xdr:row>
      <xdr:rowOff>315259</xdr:rowOff>
    </xdr:to>
    <xdr:sp macro="" textlink="">
      <xdr:nvSpPr>
        <xdr:cNvPr id="1427" name="Text Box 79" hidden="1">
          <a:extLst>
            <a:ext uri="{FF2B5EF4-FFF2-40B4-BE49-F238E27FC236}">
              <a16:creationId xmlns:a16="http://schemas.microsoft.com/office/drawing/2014/main" id="{83F75C5C-CA67-49A7-A38C-938571439A2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69477</xdr:rowOff>
    </xdr:from>
    <xdr:to>
      <xdr:col>27</xdr:col>
      <xdr:colOff>473596</xdr:colOff>
      <xdr:row>33</xdr:row>
      <xdr:rowOff>111873</xdr:rowOff>
    </xdr:to>
    <xdr:sp macro="" textlink="">
      <xdr:nvSpPr>
        <xdr:cNvPr id="1428" name="Text Box 78" hidden="1">
          <a:extLst>
            <a:ext uri="{FF2B5EF4-FFF2-40B4-BE49-F238E27FC236}">
              <a16:creationId xmlns:a16="http://schemas.microsoft.com/office/drawing/2014/main" id="{7313441D-A849-493E-A04F-1B02B1263D06}"/>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138</xdr:row>
      <xdr:rowOff>532</xdr:rowOff>
    </xdr:from>
    <xdr:to>
      <xdr:col>27</xdr:col>
      <xdr:colOff>473596</xdr:colOff>
      <xdr:row>142</xdr:row>
      <xdr:rowOff>31097</xdr:rowOff>
    </xdr:to>
    <xdr:sp macro="" textlink="">
      <xdr:nvSpPr>
        <xdr:cNvPr id="1429" name="Text Box 77" hidden="1">
          <a:extLst>
            <a:ext uri="{FF2B5EF4-FFF2-40B4-BE49-F238E27FC236}">
              <a16:creationId xmlns:a16="http://schemas.microsoft.com/office/drawing/2014/main" id="{98AC6788-D2BD-43D7-A926-E01CA5C0EAB0}"/>
            </a:ext>
          </a:extLst>
        </xdr:cNvPr>
        <xdr:cNvSpPr txBox="1">
          <a:spLocks noChangeArrowheads="1"/>
        </xdr:cNvSpPr>
      </xdr:nvSpPr>
      <xdr:spPr bwMode="auto">
        <a:xfrm>
          <a:off x="22271834" y="28527907"/>
          <a:ext cx="1376087"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20</xdr:row>
      <xdr:rowOff>50426</xdr:rowOff>
    </xdr:from>
    <xdr:to>
      <xdr:col>28</xdr:col>
      <xdr:colOff>592932</xdr:colOff>
      <xdr:row>23</xdr:row>
      <xdr:rowOff>258109</xdr:rowOff>
    </xdr:to>
    <xdr:sp macro="" textlink="">
      <xdr:nvSpPr>
        <xdr:cNvPr id="1430" name="Text Box 115" hidden="1">
          <a:extLst>
            <a:ext uri="{FF2B5EF4-FFF2-40B4-BE49-F238E27FC236}">
              <a16:creationId xmlns:a16="http://schemas.microsoft.com/office/drawing/2014/main" id="{DC0C638C-F318-4FAB-89A3-FBE55F738AF6}"/>
            </a:ext>
          </a:extLst>
        </xdr:cNvPr>
        <xdr:cNvSpPr txBox="1">
          <a:spLocks noChangeArrowheads="1"/>
        </xdr:cNvSpPr>
      </xdr:nvSpPr>
      <xdr:spPr bwMode="auto">
        <a:xfrm>
          <a:off x="23090984" y="4565276"/>
          <a:ext cx="1447798" cy="7474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29</xdr:row>
      <xdr:rowOff>50427</xdr:rowOff>
    </xdr:from>
    <xdr:to>
      <xdr:col>28</xdr:col>
      <xdr:colOff>592932</xdr:colOff>
      <xdr:row>33</xdr:row>
      <xdr:rowOff>73773</xdr:rowOff>
    </xdr:to>
    <xdr:sp macro="" textlink="">
      <xdr:nvSpPr>
        <xdr:cNvPr id="1431" name="Text Box 116" hidden="1">
          <a:extLst>
            <a:ext uri="{FF2B5EF4-FFF2-40B4-BE49-F238E27FC236}">
              <a16:creationId xmlns:a16="http://schemas.microsoft.com/office/drawing/2014/main" id="{DAB67BC7-507B-4758-934D-17BC389F1653}"/>
            </a:ext>
          </a:extLst>
        </xdr:cNvPr>
        <xdr:cNvSpPr txBox="1">
          <a:spLocks noChangeArrowheads="1"/>
        </xdr:cNvSpPr>
      </xdr:nvSpPr>
      <xdr:spPr bwMode="auto">
        <a:xfrm>
          <a:off x="23090984" y="6546477"/>
          <a:ext cx="1447798" cy="750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21</xdr:col>
      <xdr:colOff>254522</xdr:colOff>
      <xdr:row>32</xdr:row>
      <xdr:rowOff>111872</xdr:rowOff>
    </xdr:to>
    <xdr:sp macro="" textlink="">
      <xdr:nvSpPr>
        <xdr:cNvPr id="1432" name="Text Box 156" hidden="1">
          <a:extLst>
            <a:ext uri="{FF2B5EF4-FFF2-40B4-BE49-F238E27FC236}">
              <a16:creationId xmlns:a16="http://schemas.microsoft.com/office/drawing/2014/main" id="{9E0BBD62-FBE4-4700-9C86-576A4EEE1116}"/>
            </a:ext>
          </a:extLst>
        </xdr:cNvPr>
        <xdr:cNvSpPr txBox="1">
          <a:spLocks noChangeArrowheads="1"/>
        </xdr:cNvSpPr>
      </xdr:nvSpPr>
      <xdr:spPr bwMode="auto">
        <a:xfrm>
          <a:off x="15151623" y="3117477"/>
          <a:ext cx="3695699"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190347</xdr:rowOff>
    </xdr:from>
    <xdr:to>
      <xdr:col>9</xdr:col>
      <xdr:colOff>105335</xdr:colOff>
      <xdr:row>83</xdr:row>
      <xdr:rowOff>76381</xdr:rowOff>
    </xdr:to>
    <xdr:sp macro="" textlink="">
      <xdr:nvSpPr>
        <xdr:cNvPr id="1433" name="Text Box 155" hidden="1">
          <a:extLst>
            <a:ext uri="{FF2B5EF4-FFF2-40B4-BE49-F238E27FC236}">
              <a16:creationId xmlns:a16="http://schemas.microsoft.com/office/drawing/2014/main" id="{C26A7F9E-A17E-482F-B3AB-C31C3EA27B7A}"/>
            </a:ext>
          </a:extLst>
        </xdr:cNvPr>
        <xdr:cNvSpPr txBox="1">
          <a:spLocks noChangeArrowheads="1"/>
        </xdr:cNvSpPr>
      </xdr:nvSpPr>
      <xdr:spPr bwMode="auto">
        <a:xfrm>
          <a:off x="398126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190347</xdr:rowOff>
    </xdr:from>
    <xdr:to>
      <xdr:col>9</xdr:col>
      <xdr:colOff>124385</xdr:colOff>
      <xdr:row>83</xdr:row>
      <xdr:rowOff>76381</xdr:rowOff>
    </xdr:to>
    <xdr:sp macro="" textlink="">
      <xdr:nvSpPr>
        <xdr:cNvPr id="1434" name="Text Box 154" hidden="1">
          <a:extLst>
            <a:ext uri="{FF2B5EF4-FFF2-40B4-BE49-F238E27FC236}">
              <a16:creationId xmlns:a16="http://schemas.microsoft.com/office/drawing/2014/main" id="{C83495FC-A80B-4EDC-BDC5-E022CC46D978}"/>
            </a:ext>
          </a:extLst>
        </xdr:cNvPr>
        <xdr:cNvSpPr txBox="1">
          <a:spLocks noChangeArrowheads="1"/>
        </xdr:cNvSpPr>
      </xdr:nvSpPr>
      <xdr:spPr bwMode="auto">
        <a:xfrm>
          <a:off x="400031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190347</xdr:rowOff>
    </xdr:from>
    <xdr:to>
      <xdr:col>9</xdr:col>
      <xdr:colOff>105335</xdr:colOff>
      <xdr:row>84</xdr:row>
      <xdr:rowOff>39388</xdr:rowOff>
    </xdr:to>
    <xdr:sp macro="" textlink="">
      <xdr:nvSpPr>
        <xdr:cNvPr id="1435" name="Text Box 153" hidden="1">
          <a:extLst>
            <a:ext uri="{FF2B5EF4-FFF2-40B4-BE49-F238E27FC236}">
              <a16:creationId xmlns:a16="http://schemas.microsoft.com/office/drawing/2014/main" id="{FF22D3A6-8D83-4DBC-B97E-158BEDB8058B}"/>
            </a:ext>
          </a:extLst>
        </xdr:cNvPr>
        <xdr:cNvSpPr txBox="1">
          <a:spLocks noChangeArrowheads="1"/>
        </xdr:cNvSpPr>
      </xdr:nvSpPr>
      <xdr:spPr bwMode="auto">
        <a:xfrm>
          <a:off x="3981263" y="14233372"/>
          <a:ext cx="4363197" cy="40559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190347</xdr:rowOff>
    </xdr:from>
    <xdr:to>
      <xdr:col>9</xdr:col>
      <xdr:colOff>105335</xdr:colOff>
      <xdr:row>83</xdr:row>
      <xdr:rowOff>88189</xdr:rowOff>
    </xdr:to>
    <xdr:sp macro="" textlink="">
      <xdr:nvSpPr>
        <xdr:cNvPr id="1436" name="Text Box 152" hidden="1">
          <a:extLst>
            <a:ext uri="{FF2B5EF4-FFF2-40B4-BE49-F238E27FC236}">
              <a16:creationId xmlns:a16="http://schemas.microsoft.com/office/drawing/2014/main" id="{026CE2F6-D90C-4362-A059-25A0EE929D1B}"/>
            </a:ext>
          </a:extLst>
        </xdr:cNvPr>
        <xdr:cNvSpPr txBox="1">
          <a:spLocks noChangeArrowheads="1"/>
        </xdr:cNvSpPr>
      </xdr:nvSpPr>
      <xdr:spPr bwMode="auto">
        <a:xfrm>
          <a:off x="3981263" y="14233372"/>
          <a:ext cx="4363197" cy="39237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11792</xdr:rowOff>
    </xdr:from>
    <xdr:to>
      <xdr:col>9</xdr:col>
      <xdr:colOff>105335</xdr:colOff>
      <xdr:row>88</xdr:row>
      <xdr:rowOff>12117</xdr:rowOff>
    </xdr:to>
    <xdr:sp macro="" textlink="">
      <xdr:nvSpPr>
        <xdr:cNvPr id="1437" name="Text Box 151" hidden="1">
          <a:extLst>
            <a:ext uri="{FF2B5EF4-FFF2-40B4-BE49-F238E27FC236}">
              <a16:creationId xmlns:a16="http://schemas.microsoft.com/office/drawing/2014/main" id="{7C273B84-D5C7-41F5-BF01-9799109337D5}"/>
            </a:ext>
          </a:extLst>
        </xdr:cNvPr>
        <xdr:cNvSpPr txBox="1">
          <a:spLocks noChangeArrowheads="1"/>
        </xdr:cNvSpPr>
      </xdr:nvSpPr>
      <xdr:spPr bwMode="auto">
        <a:xfrm>
          <a:off x="3981263" y="15039067"/>
          <a:ext cx="4363197" cy="4146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170179</xdr:rowOff>
    </xdr:from>
    <xdr:to>
      <xdr:col>9</xdr:col>
      <xdr:colOff>105335</xdr:colOff>
      <xdr:row>103</xdr:row>
      <xdr:rowOff>199535</xdr:rowOff>
    </xdr:to>
    <xdr:sp macro="" textlink="">
      <xdr:nvSpPr>
        <xdr:cNvPr id="1438" name="Text Box 150" hidden="1">
          <a:extLst>
            <a:ext uri="{FF2B5EF4-FFF2-40B4-BE49-F238E27FC236}">
              <a16:creationId xmlns:a16="http://schemas.microsoft.com/office/drawing/2014/main" id="{A5E9E776-17C2-4745-8D18-B98D1CCFB591}"/>
            </a:ext>
          </a:extLst>
        </xdr:cNvPr>
        <xdr:cNvSpPr txBox="1">
          <a:spLocks noChangeArrowheads="1"/>
        </xdr:cNvSpPr>
      </xdr:nvSpPr>
      <xdr:spPr bwMode="auto">
        <a:xfrm>
          <a:off x="3981263" y="18239104"/>
          <a:ext cx="4363197" cy="39282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88190</xdr:rowOff>
    </xdr:from>
    <xdr:to>
      <xdr:col>9</xdr:col>
      <xdr:colOff>105335</xdr:colOff>
      <xdr:row>105</xdr:row>
      <xdr:rowOff>97445</xdr:rowOff>
    </xdr:to>
    <xdr:sp macro="" textlink="">
      <xdr:nvSpPr>
        <xdr:cNvPr id="1439" name="Text Box 149" hidden="1">
          <a:extLst>
            <a:ext uri="{FF2B5EF4-FFF2-40B4-BE49-F238E27FC236}">
              <a16:creationId xmlns:a16="http://schemas.microsoft.com/office/drawing/2014/main" id="{0E6B91BF-87FF-4707-BCCD-F943BD18A4AE}"/>
            </a:ext>
          </a:extLst>
        </xdr:cNvPr>
        <xdr:cNvSpPr txBox="1">
          <a:spLocks noChangeArrowheads="1"/>
        </xdr:cNvSpPr>
      </xdr:nvSpPr>
      <xdr:spPr bwMode="auto">
        <a:xfrm>
          <a:off x="3981263" y="18338090"/>
          <a:ext cx="4363197" cy="42002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17780</xdr:rowOff>
    </xdr:from>
    <xdr:to>
      <xdr:col>9</xdr:col>
      <xdr:colOff>105335</xdr:colOff>
      <xdr:row>105</xdr:row>
      <xdr:rowOff>22048</xdr:rowOff>
    </xdr:to>
    <xdr:sp macro="" textlink="">
      <xdr:nvSpPr>
        <xdr:cNvPr id="1440" name="Text Box 148" hidden="1">
          <a:extLst>
            <a:ext uri="{FF2B5EF4-FFF2-40B4-BE49-F238E27FC236}">
              <a16:creationId xmlns:a16="http://schemas.microsoft.com/office/drawing/2014/main" id="{C4A16BAE-6A46-451C-8392-621C7D0FD876}"/>
            </a:ext>
          </a:extLst>
        </xdr:cNvPr>
        <xdr:cNvSpPr txBox="1">
          <a:spLocks noChangeArrowheads="1"/>
        </xdr:cNvSpPr>
      </xdr:nvSpPr>
      <xdr:spPr bwMode="auto">
        <a:xfrm>
          <a:off x="3981263" y="18448655"/>
          <a:ext cx="4363197" cy="4011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11014</xdr:rowOff>
    </xdr:from>
    <xdr:to>
      <xdr:col>9</xdr:col>
      <xdr:colOff>105335</xdr:colOff>
      <xdr:row>105</xdr:row>
      <xdr:rowOff>104388</xdr:rowOff>
    </xdr:to>
    <xdr:sp macro="" textlink="">
      <xdr:nvSpPr>
        <xdr:cNvPr id="1441" name="Text Box 147" hidden="1">
          <a:extLst>
            <a:ext uri="{FF2B5EF4-FFF2-40B4-BE49-F238E27FC236}">
              <a16:creationId xmlns:a16="http://schemas.microsoft.com/office/drawing/2014/main" id="{8BEA6FF6-484B-4C2A-BF5B-267620E07187}"/>
            </a:ext>
          </a:extLst>
        </xdr:cNvPr>
        <xdr:cNvSpPr txBox="1">
          <a:spLocks noChangeArrowheads="1"/>
        </xdr:cNvSpPr>
      </xdr:nvSpPr>
      <xdr:spPr bwMode="auto">
        <a:xfrm>
          <a:off x="3981263" y="18622864"/>
          <a:ext cx="4363197" cy="392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159449</xdr:rowOff>
    </xdr:from>
    <xdr:to>
      <xdr:col>9</xdr:col>
      <xdr:colOff>105335</xdr:colOff>
      <xdr:row>125</xdr:row>
      <xdr:rowOff>66120</xdr:rowOff>
    </xdr:to>
    <xdr:sp macro="" textlink="">
      <xdr:nvSpPr>
        <xdr:cNvPr id="1442" name="Text Box 146" hidden="1">
          <a:extLst>
            <a:ext uri="{FF2B5EF4-FFF2-40B4-BE49-F238E27FC236}">
              <a16:creationId xmlns:a16="http://schemas.microsoft.com/office/drawing/2014/main" id="{EAC681CA-04A6-4CDE-9995-0BAF4DA75B8E}"/>
            </a:ext>
          </a:extLst>
        </xdr:cNvPr>
        <xdr:cNvSpPr txBox="1">
          <a:spLocks noChangeArrowheads="1"/>
        </xdr:cNvSpPr>
      </xdr:nvSpPr>
      <xdr:spPr bwMode="auto">
        <a:xfrm>
          <a:off x="3981263" y="22603524"/>
          <a:ext cx="4363197" cy="36372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97442</xdr:rowOff>
    </xdr:from>
    <xdr:to>
      <xdr:col>9</xdr:col>
      <xdr:colOff>105335</xdr:colOff>
      <xdr:row>127</xdr:row>
      <xdr:rowOff>986</xdr:rowOff>
    </xdr:to>
    <xdr:sp macro="" textlink="">
      <xdr:nvSpPr>
        <xdr:cNvPr id="1443" name="Text Box 145" hidden="1">
          <a:extLst>
            <a:ext uri="{FF2B5EF4-FFF2-40B4-BE49-F238E27FC236}">
              <a16:creationId xmlns:a16="http://schemas.microsoft.com/office/drawing/2014/main" id="{681F88E0-76CE-4365-B33F-6E8F49B76619}"/>
            </a:ext>
          </a:extLst>
        </xdr:cNvPr>
        <xdr:cNvSpPr txBox="1">
          <a:spLocks noChangeArrowheads="1"/>
        </xdr:cNvSpPr>
      </xdr:nvSpPr>
      <xdr:spPr bwMode="auto">
        <a:xfrm>
          <a:off x="3981263" y="22776467"/>
          <a:ext cx="4363197" cy="37611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123402</xdr:rowOff>
    </xdr:from>
    <xdr:to>
      <xdr:col>9</xdr:col>
      <xdr:colOff>105335</xdr:colOff>
      <xdr:row>127</xdr:row>
      <xdr:rowOff>78988</xdr:rowOff>
    </xdr:to>
    <xdr:sp macro="" textlink="">
      <xdr:nvSpPr>
        <xdr:cNvPr id="1444" name="Text Box 144" hidden="1">
          <a:extLst>
            <a:ext uri="{FF2B5EF4-FFF2-40B4-BE49-F238E27FC236}">
              <a16:creationId xmlns:a16="http://schemas.microsoft.com/office/drawing/2014/main" id="{BCC997D9-DF13-45FD-AF3D-4F65A4AEE091}"/>
            </a:ext>
          </a:extLst>
        </xdr:cNvPr>
        <xdr:cNvSpPr txBox="1">
          <a:spLocks noChangeArrowheads="1"/>
        </xdr:cNvSpPr>
      </xdr:nvSpPr>
      <xdr:spPr bwMode="auto">
        <a:xfrm>
          <a:off x="3981263" y="22983402"/>
          <a:ext cx="4363197" cy="36322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98002</xdr:rowOff>
    </xdr:from>
    <xdr:to>
      <xdr:col>9</xdr:col>
      <xdr:colOff>105335</xdr:colOff>
      <xdr:row>127</xdr:row>
      <xdr:rowOff>78988</xdr:rowOff>
    </xdr:to>
    <xdr:sp macro="" textlink="">
      <xdr:nvSpPr>
        <xdr:cNvPr id="1445" name="Text Box 143" hidden="1">
          <a:extLst>
            <a:ext uri="{FF2B5EF4-FFF2-40B4-BE49-F238E27FC236}">
              <a16:creationId xmlns:a16="http://schemas.microsoft.com/office/drawing/2014/main" id="{7CCE26A4-A2BF-4418-8BD5-646AE8933940}"/>
            </a:ext>
          </a:extLst>
        </xdr:cNvPr>
        <xdr:cNvSpPr txBox="1">
          <a:spLocks noChangeArrowheads="1"/>
        </xdr:cNvSpPr>
      </xdr:nvSpPr>
      <xdr:spPr bwMode="auto">
        <a:xfrm>
          <a:off x="3981263" y="22954827"/>
          <a:ext cx="4363197" cy="36608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131</xdr:row>
      <xdr:rowOff>66121</xdr:rowOff>
    </xdr:from>
    <xdr:to>
      <xdr:col>24</xdr:col>
      <xdr:colOff>254522</xdr:colOff>
      <xdr:row>151</xdr:row>
      <xdr:rowOff>78988</xdr:rowOff>
    </xdr:to>
    <xdr:sp macro="" textlink="">
      <xdr:nvSpPr>
        <xdr:cNvPr id="1446" name="Text Box 142" hidden="1">
          <a:extLst>
            <a:ext uri="{FF2B5EF4-FFF2-40B4-BE49-F238E27FC236}">
              <a16:creationId xmlns:a16="http://schemas.microsoft.com/office/drawing/2014/main" id="{31B89AEA-8C8B-42D3-A0B8-609C7ED77343}"/>
            </a:ext>
          </a:extLst>
        </xdr:cNvPr>
        <xdr:cNvSpPr txBox="1">
          <a:spLocks noChangeArrowheads="1"/>
        </xdr:cNvSpPr>
      </xdr:nvSpPr>
      <xdr:spPr bwMode="auto">
        <a:xfrm>
          <a:off x="17513821" y="27326671"/>
          <a:ext cx="3619501" cy="36323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25</xdr:col>
      <xdr:colOff>425972</xdr:colOff>
      <xdr:row>40</xdr:row>
      <xdr:rowOff>31377</xdr:rowOff>
    </xdr:to>
    <xdr:sp macro="" textlink="">
      <xdr:nvSpPr>
        <xdr:cNvPr id="1447" name="Text Box 141" hidden="1">
          <a:extLst>
            <a:ext uri="{FF2B5EF4-FFF2-40B4-BE49-F238E27FC236}">
              <a16:creationId xmlns:a16="http://schemas.microsoft.com/office/drawing/2014/main" id="{B0BF974D-6B1E-4BA4-97B4-0264D8E5DC30}"/>
            </a:ext>
          </a:extLst>
        </xdr:cNvPr>
        <xdr:cNvSpPr txBox="1">
          <a:spLocks noChangeArrowheads="1"/>
        </xdr:cNvSpPr>
      </xdr:nvSpPr>
      <xdr:spPr bwMode="auto">
        <a:xfrm>
          <a:off x="18332971" y="4565276"/>
          <a:ext cx="3733801"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25</xdr:col>
      <xdr:colOff>425972</xdr:colOff>
      <xdr:row>49</xdr:row>
      <xdr:rowOff>31376</xdr:rowOff>
    </xdr:to>
    <xdr:sp macro="" textlink="">
      <xdr:nvSpPr>
        <xdr:cNvPr id="1448" name="Text Box 140" hidden="1">
          <a:extLst>
            <a:ext uri="{FF2B5EF4-FFF2-40B4-BE49-F238E27FC236}">
              <a16:creationId xmlns:a16="http://schemas.microsoft.com/office/drawing/2014/main" id="{E3D9F449-04B4-4365-AB2F-EE50850E9477}"/>
            </a:ext>
          </a:extLst>
        </xdr:cNvPr>
        <xdr:cNvSpPr txBox="1">
          <a:spLocks noChangeArrowheads="1"/>
        </xdr:cNvSpPr>
      </xdr:nvSpPr>
      <xdr:spPr bwMode="auto">
        <a:xfrm>
          <a:off x="18332971" y="6546477"/>
          <a:ext cx="3733801"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135</xdr:row>
      <xdr:rowOff>78988</xdr:rowOff>
    </xdr:from>
    <xdr:to>
      <xdr:col>25</xdr:col>
      <xdr:colOff>425972</xdr:colOff>
      <xdr:row>155</xdr:row>
      <xdr:rowOff>66120</xdr:rowOff>
    </xdr:to>
    <xdr:sp macro="" textlink="">
      <xdr:nvSpPr>
        <xdr:cNvPr id="1449" name="Text Box 139" hidden="1">
          <a:extLst>
            <a:ext uri="{FF2B5EF4-FFF2-40B4-BE49-F238E27FC236}">
              <a16:creationId xmlns:a16="http://schemas.microsoft.com/office/drawing/2014/main" id="{09BE85E3-2517-465A-95E4-737B0B60EC58}"/>
            </a:ext>
          </a:extLst>
        </xdr:cNvPr>
        <xdr:cNvSpPr txBox="1">
          <a:spLocks noChangeArrowheads="1"/>
        </xdr:cNvSpPr>
      </xdr:nvSpPr>
      <xdr:spPr bwMode="auto">
        <a:xfrm>
          <a:off x="18332971" y="28063438"/>
          <a:ext cx="3733801" cy="36066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50426</xdr:rowOff>
    </xdr:from>
    <xdr:to>
      <xdr:col>16</xdr:col>
      <xdr:colOff>540273</xdr:colOff>
      <xdr:row>61</xdr:row>
      <xdr:rowOff>245522</xdr:rowOff>
    </xdr:to>
    <xdr:sp macro="" textlink="">
      <xdr:nvSpPr>
        <xdr:cNvPr id="1450" name="Text Box 138" hidden="1">
          <a:extLst>
            <a:ext uri="{FF2B5EF4-FFF2-40B4-BE49-F238E27FC236}">
              <a16:creationId xmlns:a16="http://schemas.microsoft.com/office/drawing/2014/main" id="{62CA06E1-AFB6-46A0-86B6-4A5A465E1230}"/>
            </a:ext>
          </a:extLst>
        </xdr:cNvPr>
        <xdr:cNvSpPr txBox="1">
          <a:spLocks noChangeArrowheads="1"/>
        </xdr:cNvSpPr>
      </xdr:nvSpPr>
      <xdr:spPr bwMode="auto">
        <a:xfrm>
          <a:off x="9314696" y="9623051"/>
          <a:ext cx="5932177" cy="38812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28</xdr:col>
      <xdr:colOff>445021</xdr:colOff>
      <xdr:row>40</xdr:row>
      <xdr:rowOff>126627</xdr:rowOff>
    </xdr:to>
    <xdr:sp macro="" textlink="">
      <xdr:nvSpPr>
        <xdr:cNvPr id="1451" name="Text Box 137" hidden="1">
          <a:extLst>
            <a:ext uri="{FF2B5EF4-FFF2-40B4-BE49-F238E27FC236}">
              <a16:creationId xmlns:a16="http://schemas.microsoft.com/office/drawing/2014/main" id="{7ABBF43C-2D86-41CE-A4D1-B571C4B23D0E}"/>
            </a:ext>
          </a:extLst>
        </xdr:cNvPr>
        <xdr:cNvSpPr txBox="1">
          <a:spLocks noChangeArrowheads="1"/>
        </xdr:cNvSpPr>
      </xdr:nvSpPr>
      <xdr:spPr bwMode="auto">
        <a:xfrm>
          <a:off x="19985832" y="4565276"/>
          <a:ext cx="4405039"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28</xdr:col>
      <xdr:colOff>445021</xdr:colOff>
      <xdr:row>49</xdr:row>
      <xdr:rowOff>107576</xdr:rowOff>
    </xdr:to>
    <xdr:sp macro="" textlink="">
      <xdr:nvSpPr>
        <xdr:cNvPr id="1452" name="Text Box 136" hidden="1">
          <a:extLst>
            <a:ext uri="{FF2B5EF4-FFF2-40B4-BE49-F238E27FC236}">
              <a16:creationId xmlns:a16="http://schemas.microsoft.com/office/drawing/2014/main" id="{7BC6FDA9-1E79-4E5F-BE45-42792B41D694}"/>
            </a:ext>
          </a:extLst>
        </xdr:cNvPr>
        <xdr:cNvSpPr txBox="1">
          <a:spLocks noChangeArrowheads="1"/>
        </xdr:cNvSpPr>
      </xdr:nvSpPr>
      <xdr:spPr bwMode="auto">
        <a:xfrm>
          <a:off x="19985832" y="6546477"/>
          <a:ext cx="4405039"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135</xdr:row>
      <xdr:rowOff>78988</xdr:rowOff>
    </xdr:from>
    <xdr:to>
      <xdr:col>28</xdr:col>
      <xdr:colOff>445021</xdr:colOff>
      <xdr:row>155</xdr:row>
      <xdr:rowOff>160976</xdr:rowOff>
    </xdr:to>
    <xdr:sp macro="" textlink="">
      <xdr:nvSpPr>
        <xdr:cNvPr id="1453" name="Text Box 135" hidden="1">
          <a:extLst>
            <a:ext uri="{FF2B5EF4-FFF2-40B4-BE49-F238E27FC236}">
              <a16:creationId xmlns:a16="http://schemas.microsoft.com/office/drawing/2014/main" id="{CD685520-51B2-4B2E-A709-0A96ABD13674}"/>
            </a:ext>
          </a:extLst>
        </xdr:cNvPr>
        <xdr:cNvSpPr txBox="1">
          <a:spLocks noChangeArrowheads="1"/>
        </xdr:cNvSpPr>
      </xdr:nvSpPr>
      <xdr:spPr bwMode="auto">
        <a:xfrm>
          <a:off x="19985832" y="28063438"/>
          <a:ext cx="4405039" cy="3701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29</xdr:col>
      <xdr:colOff>435496</xdr:colOff>
      <xdr:row>40</xdr:row>
      <xdr:rowOff>88527</xdr:rowOff>
    </xdr:to>
    <xdr:sp macro="" textlink="">
      <xdr:nvSpPr>
        <xdr:cNvPr id="1454" name="Text Box 134" hidden="1">
          <a:extLst>
            <a:ext uri="{FF2B5EF4-FFF2-40B4-BE49-F238E27FC236}">
              <a16:creationId xmlns:a16="http://schemas.microsoft.com/office/drawing/2014/main" id="{57E0742F-7551-44D3-A9FE-58436FD47F2D}"/>
            </a:ext>
          </a:extLst>
        </xdr:cNvPr>
        <xdr:cNvSpPr txBox="1">
          <a:spLocks noChangeArrowheads="1"/>
        </xdr:cNvSpPr>
      </xdr:nvSpPr>
      <xdr:spPr bwMode="auto">
        <a:xfrm>
          <a:off x="20747833" y="4565276"/>
          <a:ext cx="4405038"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29</xdr:col>
      <xdr:colOff>435496</xdr:colOff>
      <xdr:row>49</xdr:row>
      <xdr:rowOff>50426</xdr:rowOff>
    </xdr:to>
    <xdr:sp macro="" textlink="">
      <xdr:nvSpPr>
        <xdr:cNvPr id="1455" name="Text Box 133" hidden="1">
          <a:extLst>
            <a:ext uri="{FF2B5EF4-FFF2-40B4-BE49-F238E27FC236}">
              <a16:creationId xmlns:a16="http://schemas.microsoft.com/office/drawing/2014/main" id="{D61F8D2D-BD62-49B3-B637-97AFEE3F9D3C}"/>
            </a:ext>
          </a:extLst>
        </xdr:cNvPr>
        <xdr:cNvSpPr txBox="1">
          <a:spLocks noChangeArrowheads="1"/>
        </xdr:cNvSpPr>
      </xdr:nvSpPr>
      <xdr:spPr bwMode="auto">
        <a:xfrm>
          <a:off x="20747833" y="6546477"/>
          <a:ext cx="4405038"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126613</xdr:rowOff>
    </xdr:from>
    <xdr:to>
      <xdr:col>29</xdr:col>
      <xdr:colOff>435496</xdr:colOff>
      <xdr:row>155</xdr:row>
      <xdr:rowOff>160976</xdr:rowOff>
    </xdr:to>
    <xdr:sp macro="" textlink="">
      <xdr:nvSpPr>
        <xdr:cNvPr id="1456" name="Text Box 132" hidden="1">
          <a:extLst>
            <a:ext uri="{FF2B5EF4-FFF2-40B4-BE49-F238E27FC236}">
              <a16:creationId xmlns:a16="http://schemas.microsoft.com/office/drawing/2014/main" id="{4F34D9B3-8AAD-471C-BC40-92CBC416F79A}"/>
            </a:ext>
          </a:extLst>
        </xdr:cNvPr>
        <xdr:cNvSpPr txBox="1">
          <a:spLocks noChangeArrowheads="1"/>
        </xdr:cNvSpPr>
      </xdr:nvSpPr>
      <xdr:spPr bwMode="auto">
        <a:xfrm>
          <a:off x="20747833" y="28111063"/>
          <a:ext cx="4405038" cy="36538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50</xdr:row>
      <xdr:rowOff>31377</xdr:rowOff>
    </xdr:from>
    <xdr:to>
      <xdr:col>16</xdr:col>
      <xdr:colOff>540273</xdr:colOff>
      <xdr:row>66</xdr:row>
      <xdr:rowOff>64516</xdr:rowOff>
    </xdr:to>
    <xdr:sp macro="" textlink="">
      <xdr:nvSpPr>
        <xdr:cNvPr id="1457" name="Text Box 131" hidden="1">
          <a:extLst>
            <a:ext uri="{FF2B5EF4-FFF2-40B4-BE49-F238E27FC236}">
              <a16:creationId xmlns:a16="http://schemas.microsoft.com/office/drawing/2014/main" id="{A10F27B9-8619-4ED0-8122-17258D8044BD}"/>
            </a:ext>
          </a:extLst>
        </xdr:cNvPr>
        <xdr:cNvSpPr txBox="1">
          <a:spLocks noChangeArrowheads="1"/>
        </xdr:cNvSpPr>
      </xdr:nvSpPr>
      <xdr:spPr bwMode="auto">
        <a:xfrm>
          <a:off x="9352796" y="10327902"/>
          <a:ext cx="5894077"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50</xdr:row>
      <xdr:rowOff>31377</xdr:rowOff>
    </xdr:from>
    <xdr:to>
      <xdr:col>17</xdr:col>
      <xdr:colOff>483122</xdr:colOff>
      <xdr:row>66</xdr:row>
      <xdr:rowOff>64516</xdr:rowOff>
    </xdr:to>
    <xdr:sp macro="" textlink="">
      <xdr:nvSpPr>
        <xdr:cNvPr id="1458" name="Text Box 130" hidden="1">
          <a:extLst>
            <a:ext uri="{FF2B5EF4-FFF2-40B4-BE49-F238E27FC236}">
              <a16:creationId xmlns:a16="http://schemas.microsoft.com/office/drawing/2014/main" id="{3C522D37-E2FF-4182-B657-235EA9214A42}"/>
            </a:ext>
          </a:extLst>
        </xdr:cNvPr>
        <xdr:cNvSpPr txBox="1">
          <a:spLocks noChangeArrowheads="1"/>
        </xdr:cNvSpPr>
      </xdr:nvSpPr>
      <xdr:spPr bwMode="auto">
        <a:xfrm>
          <a:off x="11093966" y="10327902"/>
          <a:ext cx="4857756"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25</xdr:row>
      <xdr:rowOff>133024</xdr:rowOff>
    </xdr:from>
    <xdr:to>
      <xdr:col>33</xdr:col>
      <xdr:colOff>854597</xdr:colOff>
      <xdr:row>45</xdr:row>
      <xdr:rowOff>160991</xdr:rowOff>
    </xdr:to>
    <xdr:sp macro="" textlink="">
      <xdr:nvSpPr>
        <xdr:cNvPr id="1459" name="Text Box 129" hidden="1">
          <a:extLst>
            <a:ext uri="{FF2B5EF4-FFF2-40B4-BE49-F238E27FC236}">
              <a16:creationId xmlns:a16="http://schemas.microsoft.com/office/drawing/2014/main" id="{AD0120B2-2D1A-42A6-B4A8-57C4077AC12C}"/>
            </a:ext>
          </a:extLst>
        </xdr:cNvPr>
        <xdr:cNvSpPr txBox="1">
          <a:spLocks noChangeArrowheads="1"/>
        </xdr:cNvSpPr>
      </xdr:nvSpPr>
      <xdr:spPr bwMode="auto">
        <a:xfrm>
          <a:off x="24557832" y="5908349"/>
          <a:ext cx="4890815" cy="36442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63</xdr:row>
      <xdr:rowOff>190347</xdr:rowOff>
    </xdr:from>
    <xdr:to>
      <xdr:col>18</xdr:col>
      <xdr:colOff>407231</xdr:colOff>
      <xdr:row>83</xdr:row>
      <xdr:rowOff>104064</xdr:rowOff>
    </xdr:to>
    <xdr:sp macro="" textlink="">
      <xdr:nvSpPr>
        <xdr:cNvPr id="1460" name="Text Box 128" hidden="1">
          <a:extLst>
            <a:ext uri="{FF2B5EF4-FFF2-40B4-BE49-F238E27FC236}">
              <a16:creationId xmlns:a16="http://schemas.microsoft.com/office/drawing/2014/main" id="{C587E83C-A7BE-41F2-9E15-0F35729385F8}"/>
            </a:ext>
          </a:extLst>
        </xdr:cNvPr>
        <xdr:cNvSpPr txBox="1">
          <a:spLocks noChangeArrowheads="1"/>
        </xdr:cNvSpPr>
      </xdr:nvSpPr>
      <xdr:spPr bwMode="auto">
        <a:xfrm>
          <a:off x="11915918" y="14233372"/>
          <a:ext cx="4721913" cy="3939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67</xdr:row>
      <xdr:rowOff>149278</xdr:rowOff>
    </xdr:from>
    <xdr:to>
      <xdr:col>18</xdr:col>
      <xdr:colOff>445331</xdr:colOff>
      <xdr:row>88</xdr:row>
      <xdr:rowOff>36932</xdr:rowOff>
    </xdr:to>
    <xdr:sp macro="" textlink="">
      <xdr:nvSpPr>
        <xdr:cNvPr id="1461" name="Text Box 127" hidden="1">
          <a:extLst>
            <a:ext uri="{FF2B5EF4-FFF2-40B4-BE49-F238E27FC236}">
              <a16:creationId xmlns:a16="http://schemas.microsoft.com/office/drawing/2014/main" id="{A00FC264-337C-4B18-8CDD-D87F20666DDE}"/>
            </a:ext>
          </a:extLst>
        </xdr:cNvPr>
        <xdr:cNvSpPr txBox="1">
          <a:spLocks noChangeArrowheads="1"/>
        </xdr:cNvSpPr>
      </xdr:nvSpPr>
      <xdr:spPr bwMode="auto">
        <a:xfrm>
          <a:off x="11954018" y="14970178"/>
          <a:ext cx="4721913" cy="42405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50</xdr:row>
      <xdr:rowOff>31377</xdr:rowOff>
    </xdr:from>
    <xdr:to>
      <xdr:col>18</xdr:col>
      <xdr:colOff>445331</xdr:colOff>
      <xdr:row>66</xdr:row>
      <xdr:rowOff>64516</xdr:rowOff>
    </xdr:to>
    <xdr:sp macro="" textlink="">
      <xdr:nvSpPr>
        <xdr:cNvPr id="1462" name="Text Box 126" hidden="1">
          <a:extLst>
            <a:ext uri="{FF2B5EF4-FFF2-40B4-BE49-F238E27FC236}">
              <a16:creationId xmlns:a16="http://schemas.microsoft.com/office/drawing/2014/main" id="{5711D1C8-1ACA-490E-9091-9691F65EBB6B}"/>
            </a:ext>
          </a:extLst>
        </xdr:cNvPr>
        <xdr:cNvSpPr txBox="1">
          <a:spLocks noChangeArrowheads="1"/>
        </xdr:cNvSpPr>
      </xdr:nvSpPr>
      <xdr:spPr bwMode="auto">
        <a:xfrm>
          <a:off x="11954018" y="10327902"/>
          <a:ext cx="4721913"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64</xdr:row>
      <xdr:rowOff>161983</xdr:rowOff>
    </xdr:from>
    <xdr:to>
      <xdr:col>8</xdr:col>
      <xdr:colOff>268754</xdr:colOff>
      <xdr:row>83</xdr:row>
      <xdr:rowOff>123114</xdr:rowOff>
    </xdr:to>
    <xdr:sp macro="" textlink="">
      <xdr:nvSpPr>
        <xdr:cNvPr id="1463" name="Text Box 125" hidden="1">
          <a:extLst>
            <a:ext uri="{FF2B5EF4-FFF2-40B4-BE49-F238E27FC236}">
              <a16:creationId xmlns:a16="http://schemas.microsoft.com/office/drawing/2014/main" id="{D99125CA-70A2-4410-9738-63D17546A363}"/>
            </a:ext>
          </a:extLst>
        </xdr:cNvPr>
        <xdr:cNvSpPr txBox="1">
          <a:spLocks noChangeArrowheads="1"/>
        </xdr:cNvSpPr>
      </xdr:nvSpPr>
      <xdr:spPr bwMode="auto">
        <a:xfrm>
          <a:off x="4038413" y="14408208"/>
          <a:ext cx="3707466" cy="3783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30</xdr:col>
      <xdr:colOff>315214</xdr:colOff>
      <xdr:row>40</xdr:row>
      <xdr:rowOff>107577</xdr:rowOff>
    </xdr:to>
    <xdr:sp macro="" textlink="">
      <xdr:nvSpPr>
        <xdr:cNvPr id="1464" name="Text Box 124" hidden="1">
          <a:extLst>
            <a:ext uri="{FF2B5EF4-FFF2-40B4-BE49-F238E27FC236}">
              <a16:creationId xmlns:a16="http://schemas.microsoft.com/office/drawing/2014/main" id="{B225C441-22A9-4681-91C3-8015A8337FE9}"/>
            </a:ext>
          </a:extLst>
        </xdr:cNvPr>
        <xdr:cNvSpPr txBox="1">
          <a:spLocks noChangeArrowheads="1"/>
        </xdr:cNvSpPr>
      </xdr:nvSpPr>
      <xdr:spPr bwMode="auto">
        <a:xfrm>
          <a:off x="21509833" y="4565276"/>
          <a:ext cx="4399056"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30</xdr:col>
      <xdr:colOff>315214</xdr:colOff>
      <xdr:row>49</xdr:row>
      <xdr:rowOff>107576</xdr:rowOff>
    </xdr:to>
    <xdr:sp macro="" textlink="">
      <xdr:nvSpPr>
        <xdr:cNvPr id="1465" name="Text Box 123" hidden="1">
          <a:extLst>
            <a:ext uri="{FF2B5EF4-FFF2-40B4-BE49-F238E27FC236}">
              <a16:creationId xmlns:a16="http://schemas.microsoft.com/office/drawing/2014/main" id="{BFA6F715-7F3D-4815-A091-11634CBF5740}"/>
            </a:ext>
          </a:extLst>
        </xdr:cNvPr>
        <xdr:cNvSpPr txBox="1">
          <a:spLocks noChangeArrowheads="1"/>
        </xdr:cNvSpPr>
      </xdr:nvSpPr>
      <xdr:spPr bwMode="auto">
        <a:xfrm>
          <a:off x="21509833" y="6546477"/>
          <a:ext cx="4399056"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138</xdr:row>
      <xdr:rowOff>986</xdr:rowOff>
    </xdr:from>
    <xdr:to>
      <xdr:col>30</xdr:col>
      <xdr:colOff>315214</xdr:colOff>
      <xdr:row>158</xdr:row>
      <xdr:rowOff>28981</xdr:rowOff>
    </xdr:to>
    <xdr:sp macro="" textlink="">
      <xdr:nvSpPr>
        <xdr:cNvPr id="1466" name="Text Box 122" hidden="1">
          <a:extLst>
            <a:ext uri="{FF2B5EF4-FFF2-40B4-BE49-F238E27FC236}">
              <a16:creationId xmlns:a16="http://schemas.microsoft.com/office/drawing/2014/main" id="{F700A4B3-0C3F-418D-B33E-8E376D8DCB9C}"/>
            </a:ext>
          </a:extLst>
        </xdr:cNvPr>
        <xdr:cNvSpPr txBox="1">
          <a:spLocks noChangeArrowheads="1"/>
        </xdr:cNvSpPr>
      </xdr:nvSpPr>
      <xdr:spPr bwMode="auto">
        <a:xfrm>
          <a:off x="21509833" y="28528361"/>
          <a:ext cx="4399056"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69476</xdr:rowOff>
    </xdr:from>
    <xdr:to>
      <xdr:col>31</xdr:col>
      <xdr:colOff>340247</xdr:colOff>
      <xdr:row>40</xdr:row>
      <xdr:rowOff>107577</xdr:rowOff>
    </xdr:to>
    <xdr:sp macro="" textlink="">
      <xdr:nvSpPr>
        <xdr:cNvPr id="1467" name="Text Box 121" hidden="1">
          <a:extLst>
            <a:ext uri="{FF2B5EF4-FFF2-40B4-BE49-F238E27FC236}">
              <a16:creationId xmlns:a16="http://schemas.microsoft.com/office/drawing/2014/main" id="{BF68A612-D8DC-4490-9731-AA79AB8E3961}"/>
            </a:ext>
          </a:extLst>
        </xdr:cNvPr>
        <xdr:cNvSpPr txBox="1">
          <a:spLocks noChangeArrowheads="1"/>
        </xdr:cNvSpPr>
      </xdr:nvSpPr>
      <xdr:spPr bwMode="auto">
        <a:xfrm>
          <a:off x="22271834" y="4584326"/>
          <a:ext cx="4909863"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69477</xdr:rowOff>
    </xdr:from>
    <xdr:to>
      <xdr:col>31</xdr:col>
      <xdr:colOff>340247</xdr:colOff>
      <xdr:row>49</xdr:row>
      <xdr:rowOff>107576</xdr:rowOff>
    </xdr:to>
    <xdr:sp macro="" textlink="">
      <xdr:nvSpPr>
        <xdr:cNvPr id="1468" name="Text Box 120" hidden="1">
          <a:extLst>
            <a:ext uri="{FF2B5EF4-FFF2-40B4-BE49-F238E27FC236}">
              <a16:creationId xmlns:a16="http://schemas.microsoft.com/office/drawing/2014/main" id="{0608537E-F9F9-45AD-9071-7A86FC0A6BDA}"/>
            </a:ext>
          </a:extLst>
        </xdr:cNvPr>
        <xdr:cNvSpPr txBox="1">
          <a:spLocks noChangeArrowheads="1"/>
        </xdr:cNvSpPr>
      </xdr:nvSpPr>
      <xdr:spPr bwMode="auto">
        <a:xfrm>
          <a:off x="22271834" y="6565527"/>
          <a:ext cx="4909863"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138</xdr:row>
      <xdr:rowOff>986</xdr:rowOff>
    </xdr:from>
    <xdr:to>
      <xdr:col>31</xdr:col>
      <xdr:colOff>340247</xdr:colOff>
      <xdr:row>158</xdr:row>
      <xdr:rowOff>28981</xdr:rowOff>
    </xdr:to>
    <xdr:sp macro="" textlink="">
      <xdr:nvSpPr>
        <xdr:cNvPr id="1469" name="Text Box 119" hidden="1">
          <a:extLst>
            <a:ext uri="{FF2B5EF4-FFF2-40B4-BE49-F238E27FC236}">
              <a16:creationId xmlns:a16="http://schemas.microsoft.com/office/drawing/2014/main" id="{6FEE06C0-C146-4261-A872-1275F8B404E2}"/>
            </a:ext>
          </a:extLst>
        </xdr:cNvPr>
        <xdr:cNvSpPr txBox="1">
          <a:spLocks noChangeArrowheads="1"/>
        </xdr:cNvSpPr>
      </xdr:nvSpPr>
      <xdr:spPr bwMode="auto">
        <a:xfrm>
          <a:off x="22271834" y="28528361"/>
          <a:ext cx="4909863"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20</xdr:row>
      <xdr:rowOff>50426</xdr:rowOff>
    </xdr:from>
    <xdr:to>
      <xdr:col>31</xdr:col>
      <xdr:colOff>450058</xdr:colOff>
      <xdr:row>40</xdr:row>
      <xdr:rowOff>50427</xdr:rowOff>
    </xdr:to>
    <xdr:sp macro="" textlink="">
      <xdr:nvSpPr>
        <xdr:cNvPr id="1470" name="Text Box 118" hidden="1">
          <a:extLst>
            <a:ext uri="{FF2B5EF4-FFF2-40B4-BE49-F238E27FC236}">
              <a16:creationId xmlns:a16="http://schemas.microsoft.com/office/drawing/2014/main" id="{99E6BA14-5F4B-441A-ACC2-997A2CC03DFA}"/>
            </a:ext>
          </a:extLst>
        </xdr:cNvPr>
        <xdr:cNvSpPr txBox="1">
          <a:spLocks noChangeArrowheads="1"/>
        </xdr:cNvSpPr>
      </xdr:nvSpPr>
      <xdr:spPr bwMode="auto">
        <a:xfrm>
          <a:off x="23071934"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29</xdr:row>
      <xdr:rowOff>50427</xdr:rowOff>
    </xdr:from>
    <xdr:to>
      <xdr:col>31</xdr:col>
      <xdr:colOff>450058</xdr:colOff>
      <xdr:row>49</xdr:row>
      <xdr:rowOff>69476</xdr:rowOff>
    </xdr:to>
    <xdr:sp macro="" textlink="">
      <xdr:nvSpPr>
        <xdr:cNvPr id="1471" name="Text Box 117" hidden="1">
          <a:extLst>
            <a:ext uri="{FF2B5EF4-FFF2-40B4-BE49-F238E27FC236}">
              <a16:creationId xmlns:a16="http://schemas.microsoft.com/office/drawing/2014/main" id="{07758B1C-5E7B-456A-9EC7-FCC8E6358A52}"/>
            </a:ext>
          </a:extLst>
        </xdr:cNvPr>
        <xdr:cNvSpPr txBox="1">
          <a:spLocks noChangeArrowheads="1"/>
        </xdr:cNvSpPr>
      </xdr:nvSpPr>
      <xdr:spPr bwMode="auto">
        <a:xfrm>
          <a:off x="23071934"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669134</xdr:colOff>
      <xdr:row>14</xdr:row>
      <xdr:rowOff>31376</xdr:rowOff>
    </xdr:from>
    <xdr:to>
      <xdr:col>40</xdr:col>
      <xdr:colOff>211933</xdr:colOff>
      <xdr:row>34</xdr:row>
      <xdr:rowOff>57897</xdr:rowOff>
    </xdr:to>
    <xdr:sp macro="" textlink="">
      <xdr:nvSpPr>
        <xdr:cNvPr id="1472" name="Text Box 157" hidden="1">
          <a:extLst>
            <a:ext uri="{FF2B5EF4-FFF2-40B4-BE49-F238E27FC236}">
              <a16:creationId xmlns:a16="http://schemas.microsoft.com/office/drawing/2014/main" id="{B375A36F-126B-406D-A263-1FAF9DD0A0B0}"/>
            </a:ext>
          </a:extLst>
        </xdr:cNvPr>
        <xdr:cNvSpPr txBox="1">
          <a:spLocks noChangeArrowheads="1"/>
        </xdr:cNvSpPr>
      </xdr:nvSpPr>
      <xdr:spPr bwMode="auto">
        <a:xfrm>
          <a:off x="31177709"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12</xdr:row>
      <xdr:rowOff>50427</xdr:rowOff>
    </xdr:from>
    <xdr:to>
      <xdr:col>20</xdr:col>
      <xdr:colOff>687854</xdr:colOff>
      <xdr:row>32</xdr:row>
      <xdr:rowOff>111872</xdr:rowOff>
    </xdr:to>
    <xdr:sp macro="" textlink="">
      <xdr:nvSpPr>
        <xdr:cNvPr id="1473" name="Text Box 1065" hidden="1">
          <a:extLst>
            <a:ext uri="{FF2B5EF4-FFF2-40B4-BE49-F238E27FC236}">
              <a16:creationId xmlns:a16="http://schemas.microsoft.com/office/drawing/2014/main" id="{43DC85DE-AA49-4F03-95FF-38C584CDF9B9}"/>
            </a:ext>
          </a:extLst>
        </xdr:cNvPr>
        <xdr:cNvSpPr txBox="1">
          <a:spLocks noChangeArrowheads="1"/>
        </xdr:cNvSpPr>
      </xdr:nvSpPr>
      <xdr:spPr bwMode="auto">
        <a:xfrm>
          <a:off x="14827811" y="3117477"/>
          <a:ext cx="3690843" cy="4036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135637</xdr:rowOff>
    </xdr:from>
    <xdr:to>
      <xdr:col>9</xdr:col>
      <xdr:colOff>105335</xdr:colOff>
      <xdr:row>79</xdr:row>
      <xdr:rowOff>25744</xdr:rowOff>
    </xdr:to>
    <xdr:sp macro="" textlink="">
      <xdr:nvSpPr>
        <xdr:cNvPr id="1474" name="Text Box 1064" hidden="1">
          <a:extLst>
            <a:ext uri="{FF2B5EF4-FFF2-40B4-BE49-F238E27FC236}">
              <a16:creationId xmlns:a16="http://schemas.microsoft.com/office/drawing/2014/main" id="{57C7F401-3777-4E17-B4D7-160792A7E010}"/>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135637</xdr:rowOff>
    </xdr:from>
    <xdr:to>
      <xdr:col>9</xdr:col>
      <xdr:colOff>124385</xdr:colOff>
      <xdr:row>79</xdr:row>
      <xdr:rowOff>25744</xdr:rowOff>
    </xdr:to>
    <xdr:sp macro="" textlink="">
      <xdr:nvSpPr>
        <xdr:cNvPr id="1475" name="Text Box 1063" hidden="1">
          <a:extLst>
            <a:ext uri="{FF2B5EF4-FFF2-40B4-BE49-F238E27FC236}">
              <a16:creationId xmlns:a16="http://schemas.microsoft.com/office/drawing/2014/main" id="{EB224216-11D6-4865-AC0F-59FCAA7B1680}"/>
            </a:ext>
          </a:extLst>
        </xdr:cNvPr>
        <xdr:cNvSpPr txBox="1">
          <a:spLocks noChangeArrowheads="1"/>
        </xdr:cNvSpPr>
      </xdr:nvSpPr>
      <xdr:spPr bwMode="auto">
        <a:xfrm>
          <a:off x="400031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135637</xdr:rowOff>
    </xdr:from>
    <xdr:to>
      <xdr:col>9</xdr:col>
      <xdr:colOff>105335</xdr:colOff>
      <xdr:row>79</xdr:row>
      <xdr:rowOff>25744</xdr:rowOff>
    </xdr:to>
    <xdr:sp macro="" textlink="">
      <xdr:nvSpPr>
        <xdr:cNvPr id="1476" name="Text Box 1062" hidden="1">
          <a:extLst>
            <a:ext uri="{FF2B5EF4-FFF2-40B4-BE49-F238E27FC236}">
              <a16:creationId xmlns:a16="http://schemas.microsoft.com/office/drawing/2014/main" id="{354ED8E1-502C-401B-99D3-D737E1AA334E}"/>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135637</xdr:rowOff>
    </xdr:from>
    <xdr:to>
      <xdr:col>9</xdr:col>
      <xdr:colOff>105335</xdr:colOff>
      <xdr:row>79</xdr:row>
      <xdr:rowOff>25744</xdr:rowOff>
    </xdr:to>
    <xdr:sp macro="" textlink="">
      <xdr:nvSpPr>
        <xdr:cNvPr id="1477" name="Text Box 1061" hidden="1">
          <a:extLst>
            <a:ext uri="{FF2B5EF4-FFF2-40B4-BE49-F238E27FC236}">
              <a16:creationId xmlns:a16="http://schemas.microsoft.com/office/drawing/2014/main" id="{4306BED2-750F-4E11-97F6-8DC9BC05ADB9}"/>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7451</xdr:rowOff>
    </xdr:from>
    <xdr:to>
      <xdr:col>9</xdr:col>
      <xdr:colOff>105335</xdr:colOff>
      <xdr:row>84</xdr:row>
      <xdr:rowOff>96256</xdr:rowOff>
    </xdr:to>
    <xdr:sp macro="" textlink="">
      <xdr:nvSpPr>
        <xdr:cNvPr id="1478" name="Text Box 1060" hidden="1">
          <a:extLst>
            <a:ext uri="{FF2B5EF4-FFF2-40B4-BE49-F238E27FC236}">
              <a16:creationId xmlns:a16="http://schemas.microsoft.com/office/drawing/2014/main" id="{D04C2FB5-DC35-43E4-971F-35B8D88DB8B9}"/>
            </a:ext>
          </a:extLst>
        </xdr:cNvPr>
        <xdr:cNvSpPr txBox="1">
          <a:spLocks noChangeArrowheads="1"/>
        </xdr:cNvSpPr>
      </xdr:nvSpPr>
      <xdr:spPr bwMode="auto">
        <a:xfrm>
          <a:off x="3981263" y="14260026"/>
          <a:ext cx="4363197" cy="4086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123375</xdr:rowOff>
    </xdr:from>
    <xdr:to>
      <xdr:col>9</xdr:col>
      <xdr:colOff>105335</xdr:colOff>
      <xdr:row>100</xdr:row>
      <xdr:rowOff>173441</xdr:rowOff>
    </xdr:to>
    <xdr:sp macro="" textlink="">
      <xdr:nvSpPr>
        <xdr:cNvPr id="1479" name="Text Box 1059" hidden="1">
          <a:extLst>
            <a:ext uri="{FF2B5EF4-FFF2-40B4-BE49-F238E27FC236}">
              <a16:creationId xmlns:a16="http://schemas.microsoft.com/office/drawing/2014/main" id="{F3952F3F-3FAD-42AE-AB8B-F8DFBF1B266E}"/>
            </a:ext>
          </a:extLst>
        </xdr:cNvPr>
        <xdr:cNvSpPr txBox="1">
          <a:spLocks noChangeArrowheads="1"/>
        </xdr:cNvSpPr>
      </xdr:nvSpPr>
      <xdr:spPr bwMode="auto">
        <a:xfrm>
          <a:off x="3981263" y="17471575"/>
          <a:ext cx="4363197" cy="40473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39005</xdr:rowOff>
    </xdr:from>
    <xdr:to>
      <xdr:col>9</xdr:col>
      <xdr:colOff>105335</xdr:colOff>
      <xdr:row>101</xdr:row>
      <xdr:rowOff>87215</xdr:rowOff>
    </xdr:to>
    <xdr:sp macro="" textlink="">
      <xdr:nvSpPr>
        <xdr:cNvPr id="1480" name="Text Box 1058" hidden="1">
          <a:extLst>
            <a:ext uri="{FF2B5EF4-FFF2-40B4-BE49-F238E27FC236}">
              <a16:creationId xmlns:a16="http://schemas.microsoft.com/office/drawing/2014/main" id="{9F448391-E6AD-446F-A36F-5646E5068B44}"/>
            </a:ext>
          </a:extLst>
        </xdr:cNvPr>
        <xdr:cNvSpPr txBox="1">
          <a:spLocks noChangeArrowheads="1"/>
        </xdr:cNvSpPr>
      </xdr:nvSpPr>
      <xdr:spPr bwMode="auto">
        <a:xfrm>
          <a:off x="3981263" y="17565005"/>
          <a:ext cx="4363197" cy="40487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149337</xdr:rowOff>
    </xdr:from>
    <xdr:to>
      <xdr:col>9</xdr:col>
      <xdr:colOff>105335</xdr:colOff>
      <xdr:row>101</xdr:row>
      <xdr:rowOff>87048</xdr:rowOff>
    </xdr:to>
    <xdr:sp macro="" textlink="">
      <xdr:nvSpPr>
        <xdr:cNvPr id="1481" name="Text Box 1057" hidden="1">
          <a:extLst>
            <a:ext uri="{FF2B5EF4-FFF2-40B4-BE49-F238E27FC236}">
              <a16:creationId xmlns:a16="http://schemas.microsoft.com/office/drawing/2014/main" id="{BDBED6D9-C387-42D2-8647-3981E07B6DAC}"/>
            </a:ext>
          </a:extLst>
        </xdr:cNvPr>
        <xdr:cNvSpPr txBox="1">
          <a:spLocks noChangeArrowheads="1"/>
        </xdr:cNvSpPr>
      </xdr:nvSpPr>
      <xdr:spPr bwMode="auto">
        <a:xfrm>
          <a:off x="3981263" y="17675337"/>
          <a:ext cx="4363197" cy="39382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164416</xdr:rowOff>
    </xdr:from>
    <xdr:to>
      <xdr:col>9</xdr:col>
      <xdr:colOff>105335</xdr:colOff>
      <xdr:row>101</xdr:row>
      <xdr:rowOff>122140</xdr:rowOff>
    </xdr:to>
    <xdr:sp macro="" textlink="">
      <xdr:nvSpPr>
        <xdr:cNvPr id="1482" name="Text Box 1056" hidden="1">
          <a:extLst>
            <a:ext uri="{FF2B5EF4-FFF2-40B4-BE49-F238E27FC236}">
              <a16:creationId xmlns:a16="http://schemas.microsoft.com/office/drawing/2014/main" id="{9C86D728-D9F1-4235-9520-CE10F08EDDD7}"/>
            </a:ext>
          </a:extLst>
        </xdr:cNvPr>
        <xdr:cNvSpPr txBox="1">
          <a:spLocks noChangeArrowheads="1"/>
        </xdr:cNvSpPr>
      </xdr:nvSpPr>
      <xdr:spPr bwMode="auto">
        <a:xfrm>
          <a:off x="3981263" y="17871391"/>
          <a:ext cx="4363197" cy="3777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112180</xdr:rowOff>
    </xdr:from>
    <xdr:to>
      <xdr:col>9</xdr:col>
      <xdr:colOff>105335</xdr:colOff>
      <xdr:row>121</xdr:row>
      <xdr:rowOff>102271</xdr:rowOff>
    </xdr:to>
    <xdr:sp macro="" textlink="">
      <xdr:nvSpPr>
        <xdr:cNvPr id="1483" name="Text Box 1055" hidden="1">
          <a:extLst>
            <a:ext uri="{FF2B5EF4-FFF2-40B4-BE49-F238E27FC236}">
              <a16:creationId xmlns:a16="http://schemas.microsoft.com/office/drawing/2014/main" id="{E1D7C18E-2777-4E94-8E79-21A978EF587F}"/>
            </a:ext>
          </a:extLst>
        </xdr:cNvPr>
        <xdr:cNvSpPr txBox="1">
          <a:spLocks noChangeArrowheads="1"/>
        </xdr:cNvSpPr>
      </xdr:nvSpPr>
      <xdr:spPr bwMode="auto">
        <a:xfrm>
          <a:off x="3981263" y="21819655"/>
          <a:ext cx="4363197" cy="37334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48138</xdr:rowOff>
    </xdr:from>
    <xdr:to>
      <xdr:col>9</xdr:col>
      <xdr:colOff>105335</xdr:colOff>
      <xdr:row>122</xdr:row>
      <xdr:rowOff>86396</xdr:rowOff>
    </xdr:to>
    <xdr:sp macro="" textlink="">
      <xdr:nvSpPr>
        <xdr:cNvPr id="1484" name="Text Box 1054" hidden="1">
          <a:extLst>
            <a:ext uri="{FF2B5EF4-FFF2-40B4-BE49-F238E27FC236}">
              <a16:creationId xmlns:a16="http://schemas.microsoft.com/office/drawing/2014/main" id="{C46CCE09-7EDE-4007-B709-6B41BD24FA43}"/>
            </a:ext>
          </a:extLst>
        </xdr:cNvPr>
        <xdr:cNvSpPr txBox="1">
          <a:spLocks noChangeArrowheads="1"/>
        </xdr:cNvSpPr>
      </xdr:nvSpPr>
      <xdr:spPr bwMode="auto">
        <a:xfrm>
          <a:off x="3981263" y="22012788"/>
          <a:ext cx="4363197" cy="3705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47479</xdr:rowOff>
    </xdr:from>
    <xdr:to>
      <xdr:col>9</xdr:col>
      <xdr:colOff>105335</xdr:colOff>
      <xdr:row>123</xdr:row>
      <xdr:rowOff>86396</xdr:rowOff>
    </xdr:to>
    <xdr:sp macro="" textlink="">
      <xdr:nvSpPr>
        <xdr:cNvPr id="1485" name="Text Box 1053" hidden="1">
          <a:extLst>
            <a:ext uri="{FF2B5EF4-FFF2-40B4-BE49-F238E27FC236}">
              <a16:creationId xmlns:a16="http://schemas.microsoft.com/office/drawing/2014/main" id="{DC72D849-226C-41F2-9ADC-09BC4CACB92A}"/>
            </a:ext>
          </a:extLst>
        </xdr:cNvPr>
        <xdr:cNvSpPr txBox="1">
          <a:spLocks noChangeArrowheads="1"/>
        </xdr:cNvSpPr>
      </xdr:nvSpPr>
      <xdr:spPr bwMode="auto">
        <a:xfrm>
          <a:off x="3981263" y="22253429"/>
          <a:ext cx="4363197" cy="3645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12554</xdr:rowOff>
    </xdr:from>
    <xdr:to>
      <xdr:col>9</xdr:col>
      <xdr:colOff>105335</xdr:colOff>
      <xdr:row>123</xdr:row>
      <xdr:rowOff>86396</xdr:rowOff>
    </xdr:to>
    <xdr:sp macro="" textlink="">
      <xdr:nvSpPr>
        <xdr:cNvPr id="1486" name="Text Box 1052" hidden="1">
          <a:extLst>
            <a:ext uri="{FF2B5EF4-FFF2-40B4-BE49-F238E27FC236}">
              <a16:creationId xmlns:a16="http://schemas.microsoft.com/office/drawing/2014/main" id="{41A3E7B0-9ED4-4541-8215-8CAF06570521}"/>
            </a:ext>
          </a:extLst>
        </xdr:cNvPr>
        <xdr:cNvSpPr txBox="1">
          <a:spLocks noChangeArrowheads="1"/>
        </xdr:cNvSpPr>
      </xdr:nvSpPr>
      <xdr:spPr bwMode="auto">
        <a:xfrm>
          <a:off x="3981263" y="22215329"/>
          <a:ext cx="4363197" cy="3683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127</xdr:row>
      <xdr:rowOff>30040</xdr:rowOff>
    </xdr:from>
    <xdr:to>
      <xdr:col>23</xdr:col>
      <xdr:colOff>687855</xdr:colOff>
      <xdr:row>147</xdr:row>
      <xdr:rowOff>10989</xdr:rowOff>
    </xdr:to>
    <xdr:sp macro="" textlink="">
      <xdr:nvSpPr>
        <xdr:cNvPr id="1487" name="Text Box 1051" hidden="1">
          <a:extLst>
            <a:ext uri="{FF2B5EF4-FFF2-40B4-BE49-F238E27FC236}">
              <a16:creationId xmlns:a16="http://schemas.microsoft.com/office/drawing/2014/main" id="{B5FA1357-94DF-477B-B095-ABA0E1B1EB7A}"/>
            </a:ext>
          </a:extLst>
        </xdr:cNvPr>
        <xdr:cNvSpPr txBox="1">
          <a:spLocks noChangeArrowheads="1"/>
        </xdr:cNvSpPr>
      </xdr:nvSpPr>
      <xdr:spPr bwMode="auto">
        <a:xfrm>
          <a:off x="17190010" y="26566690"/>
          <a:ext cx="3614645" cy="36004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21</xdr:row>
      <xdr:rowOff>50426</xdr:rowOff>
    </xdr:from>
    <xdr:to>
      <xdr:col>25</xdr:col>
      <xdr:colOff>105336</xdr:colOff>
      <xdr:row>41</xdr:row>
      <xdr:rowOff>31377</xdr:rowOff>
    </xdr:to>
    <xdr:sp macro="" textlink="">
      <xdr:nvSpPr>
        <xdr:cNvPr id="1488" name="Text Box 1050" hidden="1">
          <a:extLst>
            <a:ext uri="{FF2B5EF4-FFF2-40B4-BE49-F238E27FC236}">
              <a16:creationId xmlns:a16="http://schemas.microsoft.com/office/drawing/2014/main" id="{10855625-7384-49B6-8A4B-60EB85BD6F56}"/>
            </a:ext>
          </a:extLst>
        </xdr:cNvPr>
        <xdr:cNvSpPr txBox="1">
          <a:spLocks noChangeArrowheads="1"/>
        </xdr:cNvSpPr>
      </xdr:nvSpPr>
      <xdr:spPr bwMode="auto">
        <a:xfrm>
          <a:off x="18009160" y="4746251"/>
          <a:ext cx="3736976" cy="39528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30</xdr:row>
      <xdr:rowOff>50426</xdr:rowOff>
    </xdr:from>
    <xdr:to>
      <xdr:col>25</xdr:col>
      <xdr:colOff>105336</xdr:colOff>
      <xdr:row>50</xdr:row>
      <xdr:rowOff>31377</xdr:rowOff>
    </xdr:to>
    <xdr:sp macro="" textlink="">
      <xdr:nvSpPr>
        <xdr:cNvPr id="1489" name="Text Box 1049" hidden="1">
          <a:extLst>
            <a:ext uri="{FF2B5EF4-FFF2-40B4-BE49-F238E27FC236}">
              <a16:creationId xmlns:a16="http://schemas.microsoft.com/office/drawing/2014/main" id="{C3DE13A9-EF6B-421D-85A5-30943624D005}"/>
            </a:ext>
          </a:extLst>
        </xdr:cNvPr>
        <xdr:cNvSpPr txBox="1">
          <a:spLocks noChangeArrowheads="1"/>
        </xdr:cNvSpPr>
      </xdr:nvSpPr>
      <xdr:spPr bwMode="auto">
        <a:xfrm>
          <a:off x="18009160" y="6727451"/>
          <a:ext cx="3736976" cy="36004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131</xdr:row>
      <xdr:rowOff>67179</xdr:rowOff>
    </xdr:from>
    <xdr:to>
      <xdr:col>25</xdr:col>
      <xdr:colOff>105336</xdr:colOff>
      <xdr:row>151</xdr:row>
      <xdr:rowOff>30040</xdr:rowOff>
    </xdr:to>
    <xdr:sp macro="" textlink="">
      <xdr:nvSpPr>
        <xdr:cNvPr id="1490" name="Text Box 1048" hidden="1">
          <a:extLst>
            <a:ext uri="{FF2B5EF4-FFF2-40B4-BE49-F238E27FC236}">
              <a16:creationId xmlns:a16="http://schemas.microsoft.com/office/drawing/2014/main" id="{40EBB3E8-E53B-48C8-AC7D-8B5999A4D52A}"/>
            </a:ext>
          </a:extLst>
        </xdr:cNvPr>
        <xdr:cNvSpPr txBox="1">
          <a:spLocks noChangeArrowheads="1"/>
        </xdr:cNvSpPr>
      </xdr:nvSpPr>
      <xdr:spPr bwMode="auto">
        <a:xfrm>
          <a:off x="18009160" y="27327729"/>
          <a:ext cx="3736976" cy="35823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41</xdr:row>
      <xdr:rowOff>50427</xdr:rowOff>
    </xdr:from>
    <xdr:to>
      <xdr:col>15</xdr:col>
      <xdr:colOff>276973</xdr:colOff>
      <xdr:row>59</xdr:row>
      <xdr:rowOff>369328</xdr:rowOff>
    </xdr:to>
    <xdr:sp macro="" textlink="">
      <xdr:nvSpPr>
        <xdr:cNvPr id="1491" name="Text Box 1047" hidden="1">
          <a:extLst>
            <a:ext uri="{FF2B5EF4-FFF2-40B4-BE49-F238E27FC236}">
              <a16:creationId xmlns:a16="http://schemas.microsoft.com/office/drawing/2014/main" id="{4502ED26-98B5-40BE-9423-4A779E66211D}"/>
            </a:ext>
          </a:extLst>
        </xdr:cNvPr>
        <xdr:cNvSpPr txBox="1">
          <a:spLocks noChangeArrowheads="1"/>
        </xdr:cNvSpPr>
      </xdr:nvSpPr>
      <xdr:spPr bwMode="auto">
        <a:xfrm>
          <a:off x="9674225" y="8718177"/>
          <a:ext cx="4528298" cy="41289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21</xdr:row>
      <xdr:rowOff>50426</xdr:rowOff>
    </xdr:from>
    <xdr:to>
      <xdr:col>28</xdr:col>
      <xdr:colOff>124385</xdr:colOff>
      <xdr:row>41</xdr:row>
      <xdr:rowOff>126627</xdr:rowOff>
    </xdr:to>
    <xdr:sp macro="" textlink="">
      <xdr:nvSpPr>
        <xdr:cNvPr id="1492" name="Text Box 1046" hidden="1">
          <a:extLst>
            <a:ext uri="{FF2B5EF4-FFF2-40B4-BE49-F238E27FC236}">
              <a16:creationId xmlns:a16="http://schemas.microsoft.com/office/drawing/2014/main" id="{1FAA26A2-196C-4544-B259-B4988665259F}"/>
            </a:ext>
          </a:extLst>
        </xdr:cNvPr>
        <xdr:cNvSpPr txBox="1">
          <a:spLocks noChangeArrowheads="1"/>
        </xdr:cNvSpPr>
      </xdr:nvSpPr>
      <xdr:spPr bwMode="auto">
        <a:xfrm>
          <a:off x="19699754" y="4746251"/>
          <a:ext cx="4370481" cy="40481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30</xdr:row>
      <xdr:rowOff>50426</xdr:rowOff>
    </xdr:from>
    <xdr:to>
      <xdr:col>28</xdr:col>
      <xdr:colOff>124385</xdr:colOff>
      <xdr:row>50</xdr:row>
      <xdr:rowOff>107577</xdr:rowOff>
    </xdr:to>
    <xdr:sp macro="" textlink="">
      <xdr:nvSpPr>
        <xdr:cNvPr id="1493" name="Text Box 1045" hidden="1">
          <a:extLst>
            <a:ext uri="{FF2B5EF4-FFF2-40B4-BE49-F238E27FC236}">
              <a16:creationId xmlns:a16="http://schemas.microsoft.com/office/drawing/2014/main" id="{F3C86963-DEA9-4D16-9160-9A4B1B07DADE}"/>
            </a:ext>
          </a:extLst>
        </xdr:cNvPr>
        <xdr:cNvSpPr txBox="1">
          <a:spLocks noChangeArrowheads="1"/>
        </xdr:cNvSpPr>
      </xdr:nvSpPr>
      <xdr:spPr bwMode="auto">
        <a:xfrm>
          <a:off x="19699754" y="6727451"/>
          <a:ext cx="4370481"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131</xdr:row>
      <xdr:rowOff>67179</xdr:rowOff>
    </xdr:from>
    <xdr:to>
      <xdr:col>28</xdr:col>
      <xdr:colOff>124385</xdr:colOff>
      <xdr:row>151</xdr:row>
      <xdr:rowOff>102272</xdr:rowOff>
    </xdr:to>
    <xdr:sp macro="" textlink="">
      <xdr:nvSpPr>
        <xdr:cNvPr id="1494" name="Text Box 1044" hidden="1">
          <a:extLst>
            <a:ext uri="{FF2B5EF4-FFF2-40B4-BE49-F238E27FC236}">
              <a16:creationId xmlns:a16="http://schemas.microsoft.com/office/drawing/2014/main" id="{B3A99D3B-D4E6-4FE2-99C3-E1A80A4D99A9}"/>
            </a:ext>
          </a:extLst>
        </xdr:cNvPr>
        <xdr:cNvSpPr txBox="1">
          <a:spLocks noChangeArrowheads="1"/>
        </xdr:cNvSpPr>
      </xdr:nvSpPr>
      <xdr:spPr bwMode="auto">
        <a:xfrm>
          <a:off x="19699754" y="27327729"/>
          <a:ext cx="4370481" cy="36545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21</xdr:row>
      <xdr:rowOff>50426</xdr:rowOff>
    </xdr:from>
    <xdr:to>
      <xdr:col>29</xdr:col>
      <xdr:colOff>114860</xdr:colOff>
      <xdr:row>41</xdr:row>
      <xdr:rowOff>88527</xdr:rowOff>
    </xdr:to>
    <xdr:sp macro="" textlink="">
      <xdr:nvSpPr>
        <xdr:cNvPr id="1495" name="Text Box 1043" hidden="1">
          <a:extLst>
            <a:ext uri="{FF2B5EF4-FFF2-40B4-BE49-F238E27FC236}">
              <a16:creationId xmlns:a16="http://schemas.microsoft.com/office/drawing/2014/main" id="{91185B94-C054-4EA2-8736-DC0838A6D12A}"/>
            </a:ext>
          </a:extLst>
        </xdr:cNvPr>
        <xdr:cNvSpPr txBox="1">
          <a:spLocks noChangeArrowheads="1"/>
        </xdr:cNvSpPr>
      </xdr:nvSpPr>
      <xdr:spPr bwMode="auto">
        <a:xfrm>
          <a:off x="20461755" y="4746251"/>
          <a:ext cx="437048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30</xdr:row>
      <xdr:rowOff>50426</xdr:rowOff>
    </xdr:from>
    <xdr:to>
      <xdr:col>29</xdr:col>
      <xdr:colOff>114860</xdr:colOff>
      <xdr:row>50</xdr:row>
      <xdr:rowOff>50427</xdr:rowOff>
    </xdr:to>
    <xdr:sp macro="" textlink="">
      <xdr:nvSpPr>
        <xdr:cNvPr id="1496" name="Text Box 1042" hidden="1">
          <a:extLst>
            <a:ext uri="{FF2B5EF4-FFF2-40B4-BE49-F238E27FC236}">
              <a16:creationId xmlns:a16="http://schemas.microsoft.com/office/drawing/2014/main" id="{1172B9C3-6A7A-4110-814A-790D70CB14D9}"/>
            </a:ext>
          </a:extLst>
        </xdr:cNvPr>
        <xdr:cNvSpPr txBox="1">
          <a:spLocks noChangeArrowheads="1"/>
        </xdr:cNvSpPr>
      </xdr:nvSpPr>
      <xdr:spPr bwMode="auto">
        <a:xfrm>
          <a:off x="20461755" y="6727451"/>
          <a:ext cx="4370480" cy="3619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131</xdr:row>
      <xdr:rowOff>86396</xdr:rowOff>
    </xdr:from>
    <xdr:to>
      <xdr:col>29</xdr:col>
      <xdr:colOff>114860</xdr:colOff>
      <xdr:row>151</xdr:row>
      <xdr:rowOff>102272</xdr:rowOff>
    </xdr:to>
    <xdr:sp macro="" textlink="">
      <xdr:nvSpPr>
        <xdr:cNvPr id="1497" name="Text Box 1041" hidden="1">
          <a:extLst>
            <a:ext uri="{FF2B5EF4-FFF2-40B4-BE49-F238E27FC236}">
              <a16:creationId xmlns:a16="http://schemas.microsoft.com/office/drawing/2014/main" id="{79CD0506-8DB6-4B21-9ED2-11916CC7BEFA}"/>
            </a:ext>
          </a:extLst>
        </xdr:cNvPr>
        <xdr:cNvSpPr txBox="1">
          <a:spLocks noChangeArrowheads="1"/>
        </xdr:cNvSpPr>
      </xdr:nvSpPr>
      <xdr:spPr bwMode="auto">
        <a:xfrm>
          <a:off x="20461755" y="27346946"/>
          <a:ext cx="4370480" cy="36353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45</xdr:row>
      <xdr:rowOff>31376</xdr:rowOff>
    </xdr:from>
    <xdr:to>
      <xdr:col>15</xdr:col>
      <xdr:colOff>276973</xdr:colOff>
      <xdr:row>62</xdr:row>
      <xdr:rowOff>198387</xdr:rowOff>
    </xdr:to>
    <xdr:sp macro="" textlink="">
      <xdr:nvSpPr>
        <xdr:cNvPr id="1498" name="Text Box 1040" hidden="1">
          <a:extLst>
            <a:ext uri="{FF2B5EF4-FFF2-40B4-BE49-F238E27FC236}">
              <a16:creationId xmlns:a16="http://schemas.microsoft.com/office/drawing/2014/main" id="{B7176647-CC4B-4989-81F2-DEFB1CAE6AC8}"/>
            </a:ext>
          </a:extLst>
        </xdr:cNvPr>
        <xdr:cNvSpPr txBox="1">
          <a:spLocks noChangeArrowheads="1"/>
        </xdr:cNvSpPr>
      </xdr:nvSpPr>
      <xdr:spPr bwMode="auto">
        <a:xfrm>
          <a:off x="9712325" y="9423026"/>
          <a:ext cx="4490198"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45</xdr:row>
      <xdr:rowOff>31376</xdr:rowOff>
    </xdr:from>
    <xdr:to>
      <xdr:col>17</xdr:col>
      <xdr:colOff>159311</xdr:colOff>
      <xdr:row>62</xdr:row>
      <xdr:rowOff>198387</xdr:rowOff>
    </xdr:to>
    <xdr:sp macro="" textlink="">
      <xdr:nvSpPr>
        <xdr:cNvPr id="1499" name="Text Box 1039" hidden="1">
          <a:extLst>
            <a:ext uri="{FF2B5EF4-FFF2-40B4-BE49-F238E27FC236}">
              <a16:creationId xmlns:a16="http://schemas.microsoft.com/office/drawing/2014/main" id="{751F0CD4-AC20-4BA7-9E59-4DD75E9202D2}"/>
            </a:ext>
          </a:extLst>
        </xdr:cNvPr>
        <xdr:cNvSpPr txBox="1">
          <a:spLocks noChangeArrowheads="1"/>
        </xdr:cNvSpPr>
      </xdr:nvSpPr>
      <xdr:spPr bwMode="auto">
        <a:xfrm>
          <a:off x="10801537" y="9423026"/>
          <a:ext cx="4826374"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26</xdr:row>
      <xdr:rowOff>145116</xdr:rowOff>
    </xdr:from>
    <xdr:to>
      <xdr:col>33</xdr:col>
      <xdr:colOff>533961</xdr:colOff>
      <xdr:row>46</xdr:row>
      <xdr:rowOff>141941</xdr:rowOff>
    </xdr:to>
    <xdr:sp macro="" textlink="">
      <xdr:nvSpPr>
        <xdr:cNvPr id="1500" name="Text Box 1038" hidden="1">
          <a:extLst>
            <a:ext uri="{FF2B5EF4-FFF2-40B4-BE49-F238E27FC236}">
              <a16:creationId xmlns:a16="http://schemas.microsoft.com/office/drawing/2014/main" id="{C2E2B330-E160-447B-A5D2-D433DA14AEF6}"/>
            </a:ext>
          </a:extLst>
        </xdr:cNvPr>
        <xdr:cNvSpPr txBox="1">
          <a:spLocks noChangeArrowheads="1"/>
        </xdr:cNvSpPr>
      </xdr:nvSpPr>
      <xdr:spPr bwMode="auto">
        <a:xfrm>
          <a:off x="24271754" y="6095066"/>
          <a:ext cx="4856257" cy="361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61</xdr:row>
      <xdr:rowOff>135637</xdr:rowOff>
    </xdr:from>
    <xdr:to>
      <xdr:col>18</xdr:col>
      <xdr:colOff>67236</xdr:colOff>
      <xdr:row>79</xdr:row>
      <xdr:rowOff>25744</xdr:rowOff>
    </xdr:to>
    <xdr:sp macro="" textlink="">
      <xdr:nvSpPr>
        <xdr:cNvPr id="1501" name="Text Box 1037" hidden="1">
          <a:extLst>
            <a:ext uri="{FF2B5EF4-FFF2-40B4-BE49-F238E27FC236}">
              <a16:creationId xmlns:a16="http://schemas.microsoft.com/office/drawing/2014/main" id="{51DE4291-4B70-4ABE-858A-0F0C19688C69}"/>
            </a:ext>
          </a:extLst>
        </xdr:cNvPr>
        <xdr:cNvSpPr txBox="1">
          <a:spLocks noChangeArrowheads="1"/>
        </xdr:cNvSpPr>
      </xdr:nvSpPr>
      <xdr:spPr bwMode="auto">
        <a:xfrm>
          <a:off x="11629839" y="13394437"/>
          <a:ext cx="46679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63</xdr:row>
      <xdr:rowOff>162466</xdr:rowOff>
    </xdr:from>
    <xdr:to>
      <xdr:col>18</xdr:col>
      <xdr:colOff>105336</xdr:colOff>
      <xdr:row>85</xdr:row>
      <xdr:rowOff>445</xdr:rowOff>
    </xdr:to>
    <xdr:sp macro="" textlink="">
      <xdr:nvSpPr>
        <xdr:cNvPr id="1502" name="Text Box 1036" hidden="1">
          <a:extLst>
            <a:ext uri="{FF2B5EF4-FFF2-40B4-BE49-F238E27FC236}">
              <a16:creationId xmlns:a16="http://schemas.microsoft.com/office/drawing/2014/main" id="{0421BCDB-A509-4AB0-8190-817972E727C3}"/>
            </a:ext>
          </a:extLst>
        </xdr:cNvPr>
        <xdr:cNvSpPr txBox="1">
          <a:spLocks noChangeArrowheads="1"/>
        </xdr:cNvSpPr>
      </xdr:nvSpPr>
      <xdr:spPr bwMode="auto">
        <a:xfrm>
          <a:off x="11667939" y="14202316"/>
          <a:ext cx="4667997" cy="422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45</xdr:row>
      <xdr:rowOff>31376</xdr:rowOff>
    </xdr:from>
    <xdr:to>
      <xdr:col>18</xdr:col>
      <xdr:colOff>105336</xdr:colOff>
      <xdr:row>62</xdr:row>
      <xdr:rowOff>198387</xdr:rowOff>
    </xdr:to>
    <xdr:sp macro="" textlink="">
      <xdr:nvSpPr>
        <xdr:cNvPr id="1503" name="Text Box 1035" hidden="1">
          <a:extLst>
            <a:ext uri="{FF2B5EF4-FFF2-40B4-BE49-F238E27FC236}">
              <a16:creationId xmlns:a16="http://schemas.microsoft.com/office/drawing/2014/main" id="{8134AB80-F63E-48C1-A12D-6D2C4990F98C}"/>
            </a:ext>
          </a:extLst>
        </xdr:cNvPr>
        <xdr:cNvSpPr txBox="1">
          <a:spLocks noChangeArrowheads="1"/>
        </xdr:cNvSpPr>
      </xdr:nvSpPr>
      <xdr:spPr bwMode="auto">
        <a:xfrm>
          <a:off x="11667939" y="9423026"/>
          <a:ext cx="4667997"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21</xdr:row>
      <xdr:rowOff>50426</xdr:rowOff>
    </xdr:from>
    <xdr:to>
      <xdr:col>30</xdr:col>
      <xdr:colOff>16435</xdr:colOff>
      <xdr:row>41</xdr:row>
      <xdr:rowOff>107577</xdr:rowOff>
    </xdr:to>
    <xdr:sp macro="" textlink="">
      <xdr:nvSpPr>
        <xdr:cNvPr id="1504" name="Text Box 1034" hidden="1">
          <a:extLst>
            <a:ext uri="{FF2B5EF4-FFF2-40B4-BE49-F238E27FC236}">
              <a16:creationId xmlns:a16="http://schemas.microsoft.com/office/drawing/2014/main" id="{FB5F8300-6CAC-4BC8-9D4E-B2BBF636C056}"/>
            </a:ext>
          </a:extLst>
        </xdr:cNvPr>
        <xdr:cNvSpPr txBox="1">
          <a:spLocks noChangeArrowheads="1"/>
        </xdr:cNvSpPr>
      </xdr:nvSpPr>
      <xdr:spPr bwMode="auto">
        <a:xfrm>
          <a:off x="21223755" y="4746251"/>
          <a:ext cx="4386355" cy="40290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30</xdr:row>
      <xdr:rowOff>50426</xdr:rowOff>
    </xdr:from>
    <xdr:to>
      <xdr:col>30</xdr:col>
      <xdr:colOff>16435</xdr:colOff>
      <xdr:row>50</xdr:row>
      <xdr:rowOff>107577</xdr:rowOff>
    </xdr:to>
    <xdr:sp macro="" textlink="">
      <xdr:nvSpPr>
        <xdr:cNvPr id="1505" name="Text Box 1033" hidden="1">
          <a:extLst>
            <a:ext uri="{FF2B5EF4-FFF2-40B4-BE49-F238E27FC236}">
              <a16:creationId xmlns:a16="http://schemas.microsoft.com/office/drawing/2014/main" id="{1C5ACEE7-515D-4B61-873D-47982D92C5C0}"/>
            </a:ext>
          </a:extLst>
        </xdr:cNvPr>
        <xdr:cNvSpPr txBox="1">
          <a:spLocks noChangeArrowheads="1"/>
        </xdr:cNvSpPr>
      </xdr:nvSpPr>
      <xdr:spPr bwMode="auto">
        <a:xfrm>
          <a:off x="21223755" y="6727451"/>
          <a:ext cx="4386355"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133</xdr:row>
      <xdr:rowOff>149336</xdr:rowOff>
    </xdr:from>
    <xdr:to>
      <xdr:col>30</xdr:col>
      <xdr:colOff>16435</xdr:colOff>
      <xdr:row>154</xdr:row>
      <xdr:rowOff>671</xdr:rowOff>
    </xdr:to>
    <xdr:sp macro="" textlink="">
      <xdr:nvSpPr>
        <xdr:cNvPr id="1506" name="Text Box 1032" hidden="1">
          <a:extLst>
            <a:ext uri="{FF2B5EF4-FFF2-40B4-BE49-F238E27FC236}">
              <a16:creationId xmlns:a16="http://schemas.microsoft.com/office/drawing/2014/main" id="{60E5D154-0595-4E02-8EB9-45C3000DD11F}"/>
            </a:ext>
          </a:extLst>
        </xdr:cNvPr>
        <xdr:cNvSpPr txBox="1">
          <a:spLocks noChangeArrowheads="1"/>
        </xdr:cNvSpPr>
      </xdr:nvSpPr>
      <xdr:spPr bwMode="auto">
        <a:xfrm>
          <a:off x="21223755" y="27771836"/>
          <a:ext cx="4386355"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21</xdr:row>
      <xdr:rowOff>69476</xdr:rowOff>
    </xdr:from>
    <xdr:to>
      <xdr:col>31</xdr:col>
      <xdr:colOff>16435</xdr:colOff>
      <xdr:row>41</xdr:row>
      <xdr:rowOff>107577</xdr:rowOff>
    </xdr:to>
    <xdr:sp macro="" textlink="">
      <xdr:nvSpPr>
        <xdr:cNvPr id="1507" name="Text Box 1031" hidden="1">
          <a:extLst>
            <a:ext uri="{FF2B5EF4-FFF2-40B4-BE49-F238E27FC236}">
              <a16:creationId xmlns:a16="http://schemas.microsoft.com/office/drawing/2014/main" id="{02AA9434-7335-4071-9302-DB0E28F30A02}"/>
            </a:ext>
          </a:extLst>
        </xdr:cNvPr>
        <xdr:cNvSpPr txBox="1">
          <a:spLocks noChangeArrowheads="1"/>
        </xdr:cNvSpPr>
      </xdr:nvSpPr>
      <xdr:spPr bwMode="auto">
        <a:xfrm>
          <a:off x="21985755" y="4765301"/>
          <a:ext cx="487213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30</xdr:row>
      <xdr:rowOff>69476</xdr:rowOff>
    </xdr:from>
    <xdr:to>
      <xdr:col>31</xdr:col>
      <xdr:colOff>16435</xdr:colOff>
      <xdr:row>50</xdr:row>
      <xdr:rowOff>107577</xdr:rowOff>
    </xdr:to>
    <xdr:sp macro="" textlink="">
      <xdr:nvSpPr>
        <xdr:cNvPr id="1508" name="Text Box 1030" hidden="1">
          <a:extLst>
            <a:ext uri="{FF2B5EF4-FFF2-40B4-BE49-F238E27FC236}">
              <a16:creationId xmlns:a16="http://schemas.microsoft.com/office/drawing/2014/main" id="{3183882D-3D03-47AD-BED3-2F6CD95BD17A}"/>
            </a:ext>
          </a:extLst>
        </xdr:cNvPr>
        <xdr:cNvSpPr txBox="1">
          <a:spLocks noChangeArrowheads="1"/>
        </xdr:cNvSpPr>
      </xdr:nvSpPr>
      <xdr:spPr bwMode="auto">
        <a:xfrm>
          <a:off x="21985755" y="6746501"/>
          <a:ext cx="4872130" cy="3657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133</xdr:row>
      <xdr:rowOff>149336</xdr:rowOff>
    </xdr:from>
    <xdr:to>
      <xdr:col>31</xdr:col>
      <xdr:colOff>16435</xdr:colOff>
      <xdr:row>154</xdr:row>
      <xdr:rowOff>671</xdr:rowOff>
    </xdr:to>
    <xdr:sp macro="" textlink="">
      <xdr:nvSpPr>
        <xdr:cNvPr id="1509" name="Text Box 1029" hidden="1">
          <a:extLst>
            <a:ext uri="{FF2B5EF4-FFF2-40B4-BE49-F238E27FC236}">
              <a16:creationId xmlns:a16="http://schemas.microsoft.com/office/drawing/2014/main" id="{7AA41CDE-44AB-45F2-9674-3E5A0879C39F}"/>
            </a:ext>
          </a:extLst>
        </xdr:cNvPr>
        <xdr:cNvSpPr txBox="1">
          <a:spLocks noChangeArrowheads="1"/>
        </xdr:cNvSpPr>
      </xdr:nvSpPr>
      <xdr:spPr bwMode="auto">
        <a:xfrm>
          <a:off x="21985755" y="27771836"/>
          <a:ext cx="4872130"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21</xdr:row>
      <xdr:rowOff>50426</xdr:rowOff>
    </xdr:from>
    <xdr:to>
      <xdr:col>31</xdr:col>
      <xdr:colOff>163979</xdr:colOff>
      <xdr:row>41</xdr:row>
      <xdr:rowOff>50427</xdr:rowOff>
    </xdr:to>
    <xdr:sp macro="" textlink="">
      <xdr:nvSpPr>
        <xdr:cNvPr id="1510" name="Text Box 1028" hidden="1">
          <a:extLst>
            <a:ext uri="{FF2B5EF4-FFF2-40B4-BE49-F238E27FC236}">
              <a16:creationId xmlns:a16="http://schemas.microsoft.com/office/drawing/2014/main" id="{F35A8C4F-2FA6-4DCB-A79E-287678570BF1}"/>
            </a:ext>
          </a:extLst>
        </xdr:cNvPr>
        <xdr:cNvSpPr txBox="1">
          <a:spLocks noChangeArrowheads="1"/>
        </xdr:cNvSpPr>
      </xdr:nvSpPr>
      <xdr:spPr bwMode="auto">
        <a:xfrm>
          <a:off x="22785855" y="4746251"/>
          <a:ext cx="4219574"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30</xdr:row>
      <xdr:rowOff>50426</xdr:rowOff>
    </xdr:from>
    <xdr:to>
      <xdr:col>31</xdr:col>
      <xdr:colOff>163979</xdr:colOff>
      <xdr:row>50</xdr:row>
      <xdr:rowOff>69477</xdr:rowOff>
    </xdr:to>
    <xdr:sp macro="" textlink="">
      <xdr:nvSpPr>
        <xdr:cNvPr id="1511" name="Text Box 1027" hidden="1">
          <a:extLst>
            <a:ext uri="{FF2B5EF4-FFF2-40B4-BE49-F238E27FC236}">
              <a16:creationId xmlns:a16="http://schemas.microsoft.com/office/drawing/2014/main" id="{7066B6FA-42B3-431B-9A19-6A7E5369CAD6}"/>
            </a:ext>
          </a:extLst>
        </xdr:cNvPr>
        <xdr:cNvSpPr txBox="1">
          <a:spLocks noChangeArrowheads="1"/>
        </xdr:cNvSpPr>
      </xdr:nvSpPr>
      <xdr:spPr bwMode="auto">
        <a:xfrm>
          <a:off x="22785855" y="6727451"/>
          <a:ext cx="4219574" cy="3638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15</xdr:row>
      <xdr:rowOff>31377</xdr:rowOff>
    </xdr:from>
    <xdr:to>
      <xdr:col>39</xdr:col>
      <xdr:colOff>697379</xdr:colOff>
      <xdr:row>35</xdr:row>
      <xdr:rowOff>50426</xdr:rowOff>
    </xdr:to>
    <xdr:sp macro="" textlink="">
      <xdr:nvSpPr>
        <xdr:cNvPr id="1512" name="Text Box 1026" hidden="1">
          <a:extLst>
            <a:ext uri="{FF2B5EF4-FFF2-40B4-BE49-F238E27FC236}">
              <a16:creationId xmlns:a16="http://schemas.microsoft.com/office/drawing/2014/main" id="{595D515E-D094-42A3-8066-0FE8B8DB42EC}"/>
            </a:ext>
          </a:extLst>
        </xdr:cNvPr>
        <xdr:cNvSpPr txBox="1">
          <a:spLocks noChangeArrowheads="1"/>
        </xdr:cNvSpPr>
      </xdr:nvSpPr>
      <xdr:spPr bwMode="auto">
        <a:xfrm>
          <a:off x="30891630" y="3641352"/>
          <a:ext cx="3733799" cy="3990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133</xdr:row>
      <xdr:rowOff>124496</xdr:rowOff>
    </xdr:from>
    <xdr:to>
      <xdr:col>28</xdr:col>
      <xdr:colOff>140260</xdr:colOff>
      <xdr:row>138</xdr:row>
      <xdr:rowOff>10990</xdr:rowOff>
    </xdr:to>
    <xdr:sp macro="" textlink="">
      <xdr:nvSpPr>
        <xdr:cNvPr id="1513" name="Text Box 1025" hidden="1">
          <a:extLst>
            <a:ext uri="{FF2B5EF4-FFF2-40B4-BE49-F238E27FC236}">
              <a16:creationId xmlns:a16="http://schemas.microsoft.com/office/drawing/2014/main" id="{AEFED459-1961-4F3B-A60C-F5C6D9298B31}"/>
            </a:ext>
          </a:extLst>
        </xdr:cNvPr>
        <xdr:cNvSpPr txBox="1">
          <a:spLocks noChangeArrowheads="1"/>
        </xdr:cNvSpPr>
      </xdr:nvSpPr>
      <xdr:spPr bwMode="auto">
        <a:xfrm>
          <a:off x="22747755" y="27746996"/>
          <a:ext cx="1338355" cy="7913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12</xdr:row>
      <xdr:rowOff>50427</xdr:rowOff>
    </xdr:from>
    <xdr:to>
      <xdr:col>20</xdr:col>
      <xdr:colOff>687854</xdr:colOff>
      <xdr:row>32</xdr:row>
      <xdr:rowOff>111872</xdr:rowOff>
    </xdr:to>
    <xdr:sp macro="" textlink="">
      <xdr:nvSpPr>
        <xdr:cNvPr id="1514" name="Text Box 198" hidden="1">
          <a:extLst>
            <a:ext uri="{FF2B5EF4-FFF2-40B4-BE49-F238E27FC236}">
              <a16:creationId xmlns:a16="http://schemas.microsoft.com/office/drawing/2014/main" id="{F31E84CE-6D6A-4921-8E73-778B0EC3F8D9}"/>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135637</xdr:rowOff>
    </xdr:from>
    <xdr:to>
      <xdr:col>9</xdr:col>
      <xdr:colOff>105335</xdr:colOff>
      <xdr:row>79</xdr:row>
      <xdr:rowOff>25744</xdr:rowOff>
    </xdr:to>
    <xdr:sp macro="" textlink="">
      <xdr:nvSpPr>
        <xdr:cNvPr id="1515" name="Text Box 197" hidden="1">
          <a:extLst>
            <a:ext uri="{FF2B5EF4-FFF2-40B4-BE49-F238E27FC236}">
              <a16:creationId xmlns:a16="http://schemas.microsoft.com/office/drawing/2014/main" id="{DFDBCE04-4403-4497-B65A-4175FF964DE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135637</xdr:rowOff>
    </xdr:from>
    <xdr:to>
      <xdr:col>9</xdr:col>
      <xdr:colOff>124385</xdr:colOff>
      <xdr:row>79</xdr:row>
      <xdr:rowOff>25744</xdr:rowOff>
    </xdr:to>
    <xdr:sp macro="" textlink="">
      <xdr:nvSpPr>
        <xdr:cNvPr id="1516" name="Text Box 196" hidden="1">
          <a:extLst>
            <a:ext uri="{FF2B5EF4-FFF2-40B4-BE49-F238E27FC236}">
              <a16:creationId xmlns:a16="http://schemas.microsoft.com/office/drawing/2014/main" id="{AD4DC8A5-4745-4721-BD1A-821890476AB8}"/>
            </a:ext>
          </a:extLst>
        </xdr:cNvPr>
        <xdr:cNvSpPr txBox="1">
          <a:spLocks noChangeArrowheads="1"/>
        </xdr:cNvSpPr>
      </xdr:nvSpPr>
      <xdr:spPr bwMode="auto">
        <a:xfrm>
          <a:off x="400031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135637</xdr:rowOff>
    </xdr:from>
    <xdr:to>
      <xdr:col>9</xdr:col>
      <xdr:colOff>105335</xdr:colOff>
      <xdr:row>79</xdr:row>
      <xdr:rowOff>25744</xdr:rowOff>
    </xdr:to>
    <xdr:sp macro="" textlink="">
      <xdr:nvSpPr>
        <xdr:cNvPr id="1517" name="Text Box 195" hidden="1">
          <a:extLst>
            <a:ext uri="{FF2B5EF4-FFF2-40B4-BE49-F238E27FC236}">
              <a16:creationId xmlns:a16="http://schemas.microsoft.com/office/drawing/2014/main" id="{8BC5520F-B9F1-4BDE-8CEF-FB8306E219F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135637</xdr:rowOff>
    </xdr:from>
    <xdr:to>
      <xdr:col>9</xdr:col>
      <xdr:colOff>105335</xdr:colOff>
      <xdr:row>79</xdr:row>
      <xdr:rowOff>25744</xdr:rowOff>
    </xdr:to>
    <xdr:sp macro="" textlink="">
      <xdr:nvSpPr>
        <xdr:cNvPr id="1518" name="Text Box 194" hidden="1">
          <a:extLst>
            <a:ext uri="{FF2B5EF4-FFF2-40B4-BE49-F238E27FC236}">
              <a16:creationId xmlns:a16="http://schemas.microsoft.com/office/drawing/2014/main" id="{D55DECC2-2345-4E3F-9598-5AE72C6B79D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7451</xdr:rowOff>
    </xdr:from>
    <xdr:to>
      <xdr:col>9</xdr:col>
      <xdr:colOff>105335</xdr:colOff>
      <xdr:row>84</xdr:row>
      <xdr:rowOff>96256</xdr:rowOff>
    </xdr:to>
    <xdr:sp macro="" textlink="">
      <xdr:nvSpPr>
        <xdr:cNvPr id="1519" name="Text Box 193" hidden="1">
          <a:extLst>
            <a:ext uri="{FF2B5EF4-FFF2-40B4-BE49-F238E27FC236}">
              <a16:creationId xmlns:a16="http://schemas.microsoft.com/office/drawing/2014/main" id="{9851FCB9-520E-46D3-8934-C160B7271C8C}"/>
            </a:ext>
          </a:extLst>
        </xdr:cNvPr>
        <xdr:cNvSpPr txBox="1">
          <a:spLocks noChangeArrowheads="1"/>
        </xdr:cNvSpPr>
      </xdr:nvSpPr>
      <xdr:spPr bwMode="auto">
        <a:xfrm>
          <a:off x="3981263" y="14260026"/>
          <a:ext cx="4363197" cy="40861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123375</xdr:rowOff>
    </xdr:from>
    <xdr:to>
      <xdr:col>9</xdr:col>
      <xdr:colOff>105335</xdr:colOff>
      <xdr:row>100</xdr:row>
      <xdr:rowOff>173441</xdr:rowOff>
    </xdr:to>
    <xdr:sp macro="" textlink="">
      <xdr:nvSpPr>
        <xdr:cNvPr id="1520" name="Text Box 192" hidden="1">
          <a:extLst>
            <a:ext uri="{FF2B5EF4-FFF2-40B4-BE49-F238E27FC236}">
              <a16:creationId xmlns:a16="http://schemas.microsoft.com/office/drawing/2014/main" id="{B60E5DFA-D501-4973-942B-B3643921A042}"/>
            </a:ext>
          </a:extLst>
        </xdr:cNvPr>
        <xdr:cNvSpPr txBox="1">
          <a:spLocks noChangeArrowheads="1"/>
        </xdr:cNvSpPr>
      </xdr:nvSpPr>
      <xdr:spPr bwMode="auto">
        <a:xfrm>
          <a:off x="3981263" y="17471575"/>
          <a:ext cx="4363197" cy="40473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39005</xdr:rowOff>
    </xdr:from>
    <xdr:to>
      <xdr:col>9</xdr:col>
      <xdr:colOff>105335</xdr:colOff>
      <xdr:row>101</xdr:row>
      <xdr:rowOff>87215</xdr:rowOff>
    </xdr:to>
    <xdr:sp macro="" textlink="">
      <xdr:nvSpPr>
        <xdr:cNvPr id="1521" name="Text Box 191" hidden="1">
          <a:extLst>
            <a:ext uri="{FF2B5EF4-FFF2-40B4-BE49-F238E27FC236}">
              <a16:creationId xmlns:a16="http://schemas.microsoft.com/office/drawing/2014/main" id="{92799D2B-42A4-43C9-B1DB-777E46A27D48}"/>
            </a:ext>
          </a:extLst>
        </xdr:cNvPr>
        <xdr:cNvSpPr txBox="1">
          <a:spLocks noChangeArrowheads="1"/>
        </xdr:cNvSpPr>
      </xdr:nvSpPr>
      <xdr:spPr bwMode="auto">
        <a:xfrm>
          <a:off x="3981263" y="17565005"/>
          <a:ext cx="4363197" cy="40487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149337</xdr:rowOff>
    </xdr:from>
    <xdr:to>
      <xdr:col>9</xdr:col>
      <xdr:colOff>105335</xdr:colOff>
      <xdr:row>101</xdr:row>
      <xdr:rowOff>87048</xdr:rowOff>
    </xdr:to>
    <xdr:sp macro="" textlink="">
      <xdr:nvSpPr>
        <xdr:cNvPr id="1522" name="Text Box 190" hidden="1">
          <a:extLst>
            <a:ext uri="{FF2B5EF4-FFF2-40B4-BE49-F238E27FC236}">
              <a16:creationId xmlns:a16="http://schemas.microsoft.com/office/drawing/2014/main" id="{84AE4C42-2B2F-40DF-B61E-442F4E9E0E0E}"/>
            </a:ext>
          </a:extLst>
        </xdr:cNvPr>
        <xdr:cNvSpPr txBox="1">
          <a:spLocks noChangeArrowheads="1"/>
        </xdr:cNvSpPr>
      </xdr:nvSpPr>
      <xdr:spPr bwMode="auto">
        <a:xfrm>
          <a:off x="3981263" y="17675337"/>
          <a:ext cx="4363197" cy="39382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164416</xdr:rowOff>
    </xdr:from>
    <xdr:to>
      <xdr:col>9</xdr:col>
      <xdr:colOff>105335</xdr:colOff>
      <xdr:row>101</xdr:row>
      <xdr:rowOff>122140</xdr:rowOff>
    </xdr:to>
    <xdr:sp macro="" textlink="">
      <xdr:nvSpPr>
        <xdr:cNvPr id="1523" name="Text Box 189" hidden="1">
          <a:extLst>
            <a:ext uri="{FF2B5EF4-FFF2-40B4-BE49-F238E27FC236}">
              <a16:creationId xmlns:a16="http://schemas.microsoft.com/office/drawing/2014/main" id="{3ED4D356-FA57-43C8-8AC0-92D4523B9D2E}"/>
            </a:ext>
          </a:extLst>
        </xdr:cNvPr>
        <xdr:cNvSpPr txBox="1">
          <a:spLocks noChangeArrowheads="1"/>
        </xdr:cNvSpPr>
      </xdr:nvSpPr>
      <xdr:spPr bwMode="auto">
        <a:xfrm>
          <a:off x="3981263" y="17871391"/>
          <a:ext cx="4363197" cy="3777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112180</xdr:rowOff>
    </xdr:from>
    <xdr:to>
      <xdr:col>9</xdr:col>
      <xdr:colOff>105335</xdr:colOff>
      <xdr:row>121</xdr:row>
      <xdr:rowOff>102271</xdr:rowOff>
    </xdr:to>
    <xdr:sp macro="" textlink="">
      <xdr:nvSpPr>
        <xdr:cNvPr id="1524" name="Text Box 188" hidden="1">
          <a:extLst>
            <a:ext uri="{FF2B5EF4-FFF2-40B4-BE49-F238E27FC236}">
              <a16:creationId xmlns:a16="http://schemas.microsoft.com/office/drawing/2014/main" id="{6C713CE5-8E5F-4EAC-82B7-A538C31ECCA7}"/>
            </a:ext>
          </a:extLst>
        </xdr:cNvPr>
        <xdr:cNvSpPr txBox="1">
          <a:spLocks noChangeArrowheads="1"/>
        </xdr:cNvSpPr>
      </xdr:nvSpPr>
      <xdr:spPr bwMode="auto">
        <a:xfrm>
          <a:off x="3981263" y="21819655"/>
          <a:ext cx="4363197" cy="37334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48138</xdr:rowOff>
    </xdr:from>
    <xdr:to>
      <xdr:col>9</xdr:col>
      <xdr:colOff>105335</xdr:colOff>
      <xdr:row>122</xdr:row>
      <xdr:rowOff>86396</xdr:rowOff>
    </xdr:to>
    <xdr:sp macro="" textlink="">
      <xdr:nvSpPr>
        <xdr:cNvPr id="1525" name="Text Box 187" hidden="1">
          <a:extLst>
            <a:ext uri="{FF2B5EF4-FFF2-40B4-BE49-F238E27FC236}">
              <a16:creationId xmlns:a16="http://schemas.microsoft.com/office/drawing/2014/main" id="{5907D215-2A5B-4654-97F2-81520FADA373}"/>
            </a:ext>
          </a:extLst>
        </xdr:cNvPr>
        <xdr:cNvSpPr txBox="1">
          <a:spLocks noChangeArrowheads="1"/>
        </xdr:cNvSpPr>
      </xdr:nvSpPr>
      <xdr:spPr bwMode="auto">
        <a:xfrm>
          <a:off x="3981263" y="22012788"/>
          <a:ext cx="4363197" cy="3705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47479</xdr:rowOff>
    </xdr:from>
    <xdr:to>
      <xdr:col>9</xdr:col>
      <xdr:colOff>105335</xdr:colOff>
      <xdr:row>123</xdr:row>
      <xdr:rowOff>86396</xdr:rowOff>
    </xdr:to>
    <xdr:sp macro="" textlink="">
      <xdr:nvSpPr>
        <xdr:cNvPr id="1526" name="Text Box 186" hidden="1">
          <a:extLst>
            <a:ext uri="{FF2B5EF4-FFF2-40B4-BE49-F238E27FC236}">
              <a16:creationId xmlns:a16="http://schemas.microsoft.com/office/drawing/2014/main" id="{8386EF98-7E5A-4A46-B3CD-B37BC1A3E48B}"/>
            </a:ext>
          </a:extLst>
        </xdr:cNvPr>
        <xdr:cNvSpPr txBox="1">
          <a:spLocks noChangeArrowheads="1"/>
        </xdr:cNvSpPr>
      </xdr:nvSpPr>
      <xdr:spPr bwMode="auto">
        <a:xfrm>
          <a:off x="3981263" y="22253429"/>
          <a:ext cx="4363197" cy="36457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12554</xdr:rowOff>
    </xdr:from>
    <xdr:to>
      <xdr:col>9</xdr:col>
      <xdr:colOff>105335</xdr:colOff>
      <xdr:row>123</xdr:row>
      <xdr:rowOff>86396</xdr:rowOff>
    </xdr:to>
    <xdr:sp macro="" textlink="">
      <xdr:nvSpPr>
        <xdr:cNvPr id="1527" name="Text Box 185" hidden="1">
          <a:extLst>
            <a:ext uri="{FF2B5EF4-FFF2-40B4-BE49-F238E27FC236}">
              <a16:creationId xmlns:a16="http://schemas.microsoft.com/office/drawing/2014/main" id="{6FDE8A92-A3C8-41B8-97A5-7CFCED0A2019}"/>
            </a:ext>
          </a:extLst>
        </xdr:cNvPr>
        <xdr:cNvSpPr txBox="1">
          <a:spLocks noChangeArrowheads="1"/>
        </xdr:cNvSpPr>
      </xdr:nvSpPr>
      <xdr:spPr bwMode="auto">
        <a:xfrm>
          <a:off x="3981263" y="22215329"/>
          <a:ext cx="4363197" cy="36838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127</xdr:row>
      <xdr:rowOff>30040</xdr:rowOff>
    </xdr:from>
    <xdr:to>
      <xdr:col>23</xdr:col>
      <xdr:colOff>687855</xdr:colOff>
      <xdr:row>147</xdr:row>
      <xdr:rowOff>10989</xdr:rowOff>
    </xdr:to>
    <xdr:sp macro="" textlink="">
      <xdr:nvSpPr>
        <xdr:cNvPr id="1528" name="Text Box 184" hidden="1">
          <a:extLst>
            <a:ext uri="{FF2B5EF4-FFF2-40B4-BE49-F238E27FC236}">
              <a16:creationId xmlns:a16="http://schemas.microsoft.com/office/drawing/2014/main" id="{5CFE078C-94DE-4E86-9B6D-9BA2F6983789}"/>
            </a:ext>
          </a:extLst>
        </xdr:cNvPr>
        <xdr:cNvSpPr txBox="1">
          <a:spLocks noChangeArrowheads="1"/>
        </xdr:cNvSpPr>
      </xdr:nvSpPr>
      <xdr:spPr bwMode="auto">
        <a:xfrm>
          <a:off x="17190010" y="26566690"/>
          <a:ext cx="3614645"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21</xdr:row>
      <xdr:rowOff>50426</xdr:rowOff>
    </xdr:from>
    <xdr:to>
      <xdr:col>25</xdr:col>
      <xdr:colOff>105336</xdr:colOff>
      <xdr:row>41</xdr:row>
      <xdr:rowOff>31377</xdr:rowOff>
    </xdr:to>
    <xdr:sp macro="" textlink="">
      <xdr:nvSpPr>
        <xdr:cNvPr id="1529" name="Text Box 183" hidden="1">
          <a:extLst>
            <a:ext uri="{FF2B5EF4-FFF2-40B4-BE49-F238E27FC236}">
              <a16:creationId xmlns:a16="http://schemas.microsoft.com/office/drawing/2014/main" id="{E7D12DC8-9350-4F22-9359-02D6C05C9B70}"/>
            </a:ext>
          </a:extLst>
        </xdr:cNvPr>
        <xdr:cNvSpPr txBox="1">
          <a:spLocks noChangeArrowheads="1"/>
        </xdr:cNvSpPr>
      </xdr:nvSpPr>
      <xdr:spPr bwMode="auto">
        <a:xfrm>
          <a:off x="18009160" y="4746251"/>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30</xdr:row>
      <xdr:rowOff>50426</xdr:rowOff>
    </xdr:from>
    <xdr:to>
      <xdr:col>25</xdr:col>
      <xdr:colOff>105336</xdr:colOff>
      <xdr:row>50</xdr:row>
      <xdr:rowOff>31377</xdr:rowOff>
    </xdr:to>
    <xdr:sp macro="" textlink="">
      <xdr:nvSpPr>
        <xdr:cNvPr id="1530" name="Text Box 182" hidden="1">
          <a:extLst>
            <a:ext uri="{FF2B5EF4-FFF2-40B4-BE49-F238E27FC236}">
              <a16:creationId xmlns:a16="http://schemas.microsoft.com/office/drawing/2014/main" id="{10425339-F355-4A01-BAF8-6AEDFAB73F86}"/>
            </a:ext>
          </a:extLst>
        </xdr:cNvPr>
        <xdr:cNvSpPr txBox="1">
          <a:spLocks noChangeArrowheads="1"/>
        </xdr:cNvSpPr>
      </xdr:nvSpPr>
      <xdr:spPr bwMode="auto">
        <a:xfrm>
          <a:off x="18009160" y="6727451"/>
          <a:ext cx="3736976"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131</xdr:row>
      <xdr:rowOff>67179</xdr:rowOff>
    </xdr:from>
    <xdr:to>
      <xdr:col>25</xdr:col>
      <xdr:colOff>105336</xdr:colOff>
      <xdr:row>151</xdr:row>
      <xdr:rowOff>30040</xdr:rowOff>
    </xdr:to>
    <xdr:sp macro="" textlink="">
      <xdr:nvSpPr>
        <xdr:cNvPr id="1531" name="Text Box 181" hidden="1">
          <a:extLst>
            <a:ext uri="{FF2B5EF4-FFF2-40B4-BE49-F238E27FC236}">
              <a16:creationId xmlns:a16="http://schemas.microsoft.com/office/drawing/2014/main" id="{4448883A-8684-4F29-9750-7148D25D3BFB}"/>
            </a:ext>
          </a:extLst>
        </xdr:cNvPr>
        <xdr:cNvSpPr txBox="1">
          <a:spLocks noChangeArrowheads="1"/>
        </xdr:cNvSpPr>
      </xdr:nvSpPr>
      <xdr:spPr bwMode="auto">
        <a:xfrm>
          <a:off x="18009160" y="27327729"/>
          <a:ext cx="3736976" cy="35823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41</xdr:row>
      <xdr:rowOff>50427</xdr:rowOff>
    </xdr:from>
    <xdr:to>
      <xdr:col>15</xdr:col>
      <xdr:colOff>276973</xdr:colOff>
      <xdr:row>59</xdr:row>
      <xdr:rowOff>369328</xdr:rowOff>
    </xdr:to>
    <xdr:sp macro="" textlink="">
      <xdr:nvSpPr>
        <xdr:cNvPr id="1532" name="Text Box 180" hidden="1">
          <a:extLst>
            <a:ext uri="{FF2B5EF4-FFF2-40B4-BE49-F238E27FC236}">
              <a16:creationId xmlns:a16="http://schemas.microsoft.com/office/drawing/2014/main" id="{12F450F0-85D2-4048-A4BC-070393463854}"/>
            </a:ext>
          </a:extLst>
        </xdr:cNvPr>
        <xdr:cNvSpPr txBox="1">
          <a:spLocks noChangeArrowheads="1"/>
        </xdr:cNvSpPr>
      </xdr:nvSpPr>
      <xdr:spPr bwMode="auto">
        <a:xfrm>
          <a:off x="9674225" y="8718177"/>
          <a:ext cx="4528298" cy="41289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21</xdr:row>
      <xdr:rowOff>50426</xdr:rowOff>
    </xdr:from>
    <xdr:to>
      <xdr:col>28</xdr:col>
      <xdr:colOff>124385</xdr:colOff>
      <xdr:row>41</xdr:row>
      <xdr:rowOff>126627</xdr:rowOff>
    </xdr:to>
    <xdr:sp macro="" textlink="">
      <xdr:nvSpPr>
        <xdr:cNvPr id="1533" name="Text Box 179" hidden="1">
          <a:extLst>
            <a:ext uri="{FF2B5EF4-FFF2-40B4-BE49-F238E27FC236}">
              <a16:creationId xmlns:a16="http://schemas.microsoft.com/office/drawing/2014/main" id="{CDC9C782-F04A-4847-90BF-C838CB287137}"/>
            </a:ext>
          </a:extLst>
        </xdr:cNvPr>
        <xdr:cNvSpPr txBox="1">
          <a:spLocks noChangeArrowheads="1"/>
        </xdr:cNvSpPr>
      </xdr:nvSpPr>
      <xdr:spPr bwMode="auto">
        <a:xfrm>
          <a:off x="19699754" y="4746251"/>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30</xdr:row>
      <xdr:rowOff>50426</xdr:rowOff>
    </xdr:from>
    <xdr:to>
      <xdr:col>28</xdr:col>
      <xdr:colOff>124385</xdr:colOff>
      <xdr:row>50</xdr:row>
      <xdr:rowOff>107577</xdr:rowOff>
    </xdr:to>
    <xdr:sp macro="" textlink="">
      <xdr:nvSpPr>
        <xdr:cNvPr id="1534" name="Text Box 178" hidden="1">
          <a:extLst>
            <a:ext uri="{FF2B5EF4-FFF2-40B4-BE49-F238E27FC236}">
              <a16:creationId xmlns:a16="http://schemas.microsoft.com/office/drawing/2014/main" id="{459EDBE8-33B7-4C89-8C29-6B99152E922D}"/>
            </a:ext>
          </a:extLst>
        </xdr:cNvPr>
        <xdr:cNvSpPr txBox="1">
          <a:spLocks noChangeArrowheads="1"/>
        </xdr:cNvSpPr>
      </xdr:nvSpPr>
      <xdr:spPr bwMode="auto">
        <a:xfrm>
          <a:off x="19699754" y="6727451"/>
          <a:ext cx="4370481"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131</xdr:row>
      <xdr:rowOff>67179</xdr:rowOff>
    </xdr:from>
    <xdr:to>
      <xdr:col>28</xdr:col>
      <xdr:colOff>124385</xdr:colOff>
      <xdr:row>151</xdr:row>
      <xdr:rowOff>102272</xdr:rowOff>
    </xdr:to>
    <xdr:sp macro="" textlink="">
      <xdr:nvSpPr>
        <xdr:cNvPr id="1535" name="Text Box 177" hidden="1">
          <a:extLst>
            <a:ext uri="{FF2B5EF4-FFF2-40B4-BE49-F238E27FC236}">
              <a16:creationId xmlns:a16="http://schemas.microsoft.com/office/drawing/2014/main" id="{7E23FB25-6A64-4C6A-93C6-B5BF94675FEB}"/>
            </a:ext>
          </a:extLst>
        </xdr:cNvPr>
        <xdr:cNvSpPr txBox="1">
          <a:spLocks noChangeArrowheads="1"/>
        </xdr:cNvSpPr>
      </xdr:nvSpPr>
      <xdr:spPr bwMode="auto">
        <a:xfrm>
          <a:off x="19699754" y="27327729"/>
          <a:ext cx="4370481" cy="3654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21</xdr:row>
      <xdr:rowOff>50426</xdr:rowOff>
    </xdr:from>
    <xdr:to>
      <xdr:col>29</xdr:col>
      <xdr:colOff>114860</xdr:colOff>
      <xdr:row>41</xdr:row>
      <xdr:rowOff>88527</xdr:rowOff>
    </xdr:to>
    <xdr:sp macro="" textlink="">
      <xdr:nvSpPr>
        <xdr:cNvPr id="1536" name="Text Box 176" hidden="1">
          <a:extLst>
            <a:ext uri="{FF2B5EF4-FFF2-40B4-BE49-F238E27FC236}">
              <a16:creationId xmlns:a16="http://schemas.microsoft.com/office/drawing/2014/main" id="{64D24F90-B1B7-4BA7-B76D-A05D7BF3BCB1}"/>
            </a:ext>
          </a:extLst>
        </xdr:cNvPr>
        <xdr:cNvSpPr txBox="1">
          <a:spLocks noChangeArrowheads="1"/>
        </xdr:cNvSpPr>
      </xdr:nvSpPr>
      <xdr:spPr bwMode="auto">
        <a:xfrm>
          <a:off x="20461755" y="4746251"/>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30</xdr:row>
      <xdr:rowOff>50426</xdr:rowOff>
    </xdr:from>
    <xdr:to>
      <xdr:col>29</xdr:col>
      <xdr:colOff>114860</xdr:colOff>
      <xdr:row>50</xdr:row>
      <xdr:rowOff>50427</xdr:rowOff>
    </xdr:to>
    <xdr:sp macro="" textlink="">
      <xdr:nvSpPr>
        <xdr:cNvPr id="1537" name="Text Box 175" hidden="1">
          <a:extLst>
            <a:ext uri="{FF2B5EF4-FFF2-40B4-BE49-F238E27FC236}">
              <a16:creationId xmlns:a16="http://schemas.microsoft.com/office/drawing/2014/main" id="{12771DD7-0B69-493E-85C0-818B3BF6F84B}"/>
            </a:ext>
          </a:extLst>
        </xdr:cNvPr>
        <xdr:cNvSpPr txBox="1">
          <a:spLocks noChangeArrowheads="1"/>
        </xdr:cNvSpPr>
      </xdr:nvSpPr>
      <xdr:spPr bwMode="auto">
        <a:xfrm>
          <a:off x="20461755" y="6727451"/>
          <a:ext cx="4370480" cy="3619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131</xdr:row>
      <xdr:rowOff>86396</xdr:rowOff>
    </xdr:from>
    <xdr:to>
      <xdr:col>29</xdr:col>
      <xdr:colOff>114860</xdr:colOff>
      <xdr:row>151</xdr:row>
      <xdr:rowOff>102272</xdr:rowOff>
    </xdr:to>
    <xdr:sp macro="" textlink="">
      <xdr:nvSpPr>
        <xdr:cNvPr id="1538" name="Text Box 174" hidden="1">
          <a:extLst>
            <a:ext uri="{FF2B5EF4-FFF2-40B4-BE49-F238E27FC236}">
              <a16:creationId xmlns:a16="http://schemas.microsoft.com/office/drawing/2014/main" id="{90386D20-7EFF-4F00-80EA-204EBA0C6FAD}"/>
            </a:ext>
          </a:extLst>
        </xdr:cNvPr>
        <xdr:cNvSpPr txBox="1">
          <a:spLocks noChangeArrowheads="1"/>
        </xdr:cNvSpPr>
      </xdr:nvSpPr>
      <xdr:spPr bwMode="auto">
        <a:xfrm>
          <a:off x="20461755" y="27346946"/>
          <a:ext cx="4370480" cy="36353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45</xdr:row>
      <xdr:rowOff>31376</xdr:rowOff>
    </xdr:from>
    <xdr:to>
      <xdr:col>15</xdr:col>
      <xdr:colOff>276973</xdr:colOff>
      <xdr:row>62</xdr:row>
      <xdr:rowOff>198387</xdr:rowOff>
    </xdr:to>
    <xdr:sp macro="" textlink="">
      <xdr:nvSpPr>
        <xdr:cNvPr id="1539" name="Text Box 173" hidden="1">
          <a:extLst>
            <a:ext uri="{FF2B5EF4-FFF2-40B4-BE49-F238E27FC236}">
              <a16:creationId xmlns:a16="http://schemas.microsoft.com/office/drawing/2014/main" id="{9EC8307B-75EC-4104-88B4-F1B25398210C}"/>
            </a:ext>
          </a:extLst>
        </xdr:cNvPr>
        <xdr:cNvSpPr txBox="1">
          <a:spLocks noChangeArrowheads="1"/>
        </xdr:cNvSpPr>
      </xdr:nvSpPr>
      <xdr:spPr bwMode="auto">
        <a:xfrm>
          <a:off x="9712325" y="9423026"/>
          <a:ext cx="4490198"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45</xdr:row>
      <xdr:rowOff>31376</xdr:rowOff>
    </xdr:from>
    <xdr:to>
      <xdr:col>17</xdr:col>
      <xdr:colOff>159311</xdr:colOff>
      <xdr:row>62</xdr:row>
      <xdr:rowOff>198387</xdr:rowOff>
    </xdr:to>
    <xdr:sp macro="" textlink="">
      <xdr:nvSpPr>
        <xdr:cNvPr id="1540" name="Text Box 172" hidden="1">
          <a:extLst>
            <a:ext uri="{FF2B5EF4-FFF2-40B4-BE49-F238E27FC236}">
              <a16:creationId xmlns:a16="http://schemas.microsoft.com/office/drawing/2014/main" id="{306089C4-B50B-4C05-9206-E9B3E4BE8728}"/>
            </a:ext>
          </a:extLst>
        </xdr:cNvPr>
        <xdr:cNvSpPr txBox="1">
          <a:spLocks noChangeArrowheads="1"/>
        </xdr:cNvSpPr>
      </xdr:nvSpPr>
      <xdr:spPr bwMode="auto">
        <a:xfrm>
          <a:off x="10801537" y="9423026"/>
          <a:ext cx="4826374"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26</xdr:row>
      <xdr:rowOff>145116</xdr:rowOff>
    </xdr:from>
    <xdr:to>
      <xdr:col>33</xdr:col>
      <xdr:colOff>533961</xdr:colOff>
      <xdr:row>46</xdr:row>
      <xdr:rowOff>141941</xdr:rowOff>
    </xdr:to>
    <xdr:sp macro="" textlink="">
      <xdr:nvSpPr>
        <xdr:cNvPr id="1541" name="Text Box 171" hidden="1">
          <a:extLst>
            <a:ext uri="{FF2B5EF4-FFF2-40B4-BE49-F238E27FC236}">
              <a16:creationId xmlns:a16="http://schemas.microsoft.com/office/drawing/2014/main" id="{312E2CCC-9165-47E3-A4FF-2783AAB7E3F6}"/>
            </a:ext>
          </a:extLst>
        </xdr:cNvPr>
        <xdr:cNvSpPr txBox="1">
          <a:spLocks noChangeArrowheads="1"/>
        </xdr:cNvSpPr>
      </xdr:nvSpPr>
      <xdr:spPr bwMode="auto">
        <a:xfrm>
          <a:off x="24271754" y="6095066"/>
          <a:ext cx="4856257"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61</xdr:row>
      <xdr:rowOff>135637</xdr:rowOff>
    </xdr:from>
    <xdr:to>
      <xdr:col>18</xdr:col>
      <xdr:colOff>67236</xdr:colOff>
      <xdr:row>79</xdr:row>
      <xdr:rowOff>25744</xdr:rowOff>
    </xdr:to>
    <xdr:sp macro="" textlink="">
      <xdr:nvSpPr>
        <xdr:cNvPr id="1542" name="Text Box 170" hidden="1">
          <a:extLst>
            <a:ext uri="{FF2B5EF4-FFF2-40B4-BE49-F238E27FC236}">
              <a16:creationId xmlns:a16="http://schemas.microsoft.com/office/drawing/2014/main" id="{8FE8B23B-FC14-42C6-869A-84E31750BF33}"/>
            </a:ext>
          </a:extLst>
        </xdr:cNvPr>
        <xdr:cNvSpPr txBox="1">
          <a:spLocks noChangeArrowheads="1"/>
        </xdr:cNvSpPr>
      </xdr:nvSpPr>
      <xdr:spPr bwMode="auto">
        <a:xfrm>
          <a:off x="11629839" y="13394437"/>
          <a:ext cx="46679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63</xdr:row>
      <xdr:rowOff>162466</xdr:rowOff>
    </xdr:from>
    <xdr:to>
      <xdr:col>18</xdr:col>
      <xdr:colOff>105336</xdr:colOff>
      <xdr:row>85</xdr:row>
      <xdr:rowOff>445</xdr:rowOff>
    </xdr:to>
    <xdr:sp macro="" textlink="">
      <xdr:nvSpPr>
        <xdr:cNvPr id="1543" name="Text Box 169" hidden="1">
          <a:extLst>
            <a:ext uri="{FF2B5EF4-FFF2-40B4-BE49-F238E27FC236}">
              <a16:creationId xmlns:a16="http://schemas.microsoft.com/office/drawing/2014/main" id="{B096270D-3A6C-4A52-8F3B-5BDFE4EA8887}"/>
            </a:ext>
          </a:extLst>
        </xdr:cNvPr>
        <xdr:cNvSpPr txBox="1">
          <a:spLocks noChangeArrowheads="1"/>
        </xdr:cNvSpPr>
      </xdr:nvSpPr>
      <xdr:spPr bwMode="auto">
        <a:xfrm>
          <a:off x="11667939" y="14202316"/>
          <a:ext cx="4667997" cy="42290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45</xdr:row>
      <xdr:rowOff>31376</xdr:rowOff>
    </xdr:from>
    <xdr:to>
      <xdr:col>18</xdr:col>
      <xdr:colOff>105336</xdr:colOff>
      <xdr:row>62</xdr:row>
      <xdr:rowOff>198387</xdr:rowOff>
    </xdr:to>
    <xdr:sp macro="" textlink="">
      <xdr:nvSpPr>
        <xdr:cNvPr id="1544" name="Text Box 168" hidden="1">
          <a:extLst>
            <a:ext uri="{FF2B5EF4-FFF2-40B4-BE49-F238E27FC236}">
              <a16:creationId xmlns:a16="http://schemas.microsoft.com/office/drawing/2014/main" id="{B0459791-BA52-4824-8F2C-EDFA8E29D457}"/>
            </a:ext>
          </a:extLst>
        </xdr:cNvPr>
        <xdr:cNvSpPr txBox="1">
          <a:spLocks noChangeArrowheads="1"/>
        </xdr:cNvSpPr>
      </xdr:nvSpPr>
      <xdr:spPr bwMode="auto">
        <a:xfrm>
          <a:off x="11667939" y="9423026"/>
          <a:ext cx="4667997"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21</xdr:row>
      <xdr:rowOff>50426</xdr:rowOff>
    </xdr:from>
    <xdr:to>
      <xdr:col>30</xdr:col>
      <xdr:colOff>16435</xdr:colOff>
      <xdr:row>41</xdr:row>
      <xdr:rowOff>107577</xdr:rowOff>
    </xdr:to>
    <xdr:sp macro="" textlink="">
      <xdr:nvSpPr>
        <xdr:cNvPr id="1545" name="Text Box 166" hidden="1">
          <a:extLst>
            <a:ext uri="{FF2B5EF4-FFF2-40B4-BE49-F238E27FC236}">
              <a16:creationId xmlns:a16="http://schemas.microsoft.com/office/drawing/2014/main" id="{3DABE518-D6C7-4FA8-AFC8-6DE7AE44F82B}"/>
            </a:ext>
          </a:extLst>
        </xdr:cNvPr>
        <xdr:cNvSpPr txBox="1">
          <a:spLocks noChangeArrowheads="1"/>
        </xdr:cNvSpPr>
      </xdr:nvSpPr>
      <xdr:spPr bwMode="auto">
        <a:xfrm>
          <a:off x="21223755" y="4746251"/>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30</xdr:row>
      <xdr:rowOff>50426</xdr:rowOff>
    </xdr:from>
    <xdr:to>
      <xdr:col>30</xdr:col>
      <xdr:colOff>16435</xdr:colOff>
      <xdr:row>50</xdr:row>
      <xdr:rowOff>107577</xdr:rowOff>
    </xdr:to>
    <xdr:sp macro="" textlink="">
      <xdr:nvSpPr>
        <xdr:cNvPr id="1546" name="Text Box 165" hidden="1">
          <a:extLst>
            <a:ext uri="{FF2B5EF4-FFF2-40B4-BE49-F238E27FC236}">
              <a16:creationId xmlns:a16="http://schemas.microsoft.com/office/drawing/2014/main" id="{C1C58CB0-F869-4757-B071-2F5583ED104A}"/>
            </a:ext>
          </a:extLst>
        </xdr:cNvPr>
        <xdr:cNvSpPr txBox="1">
          <a:spLocks noChangeArrowheads="1"/>
        </xdr:cNvSpPr>
      </xdr:nvSpPr>
      <xdr:spPr bwMode="auto">
        <a:xfrm>
          <a:off x="21223755" y="6727451"/>
          <a:ext cx="4386355"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133</xdr:row>
      <xdr:rowOff>149336</xdr:rowOff>
    </xdr:from>
    <xdr:to>
      <xdr:col>30</xdr:col>
      <xdr:colOff>16435</xdr:colOff>
      <xdr:row>154</xdr:row>
      <xdr:rowOff>671</xdr:rowOff>
    </xdr:to>
    <xdr:sp macro="" textlink="">
      <xdr:nvSpPr>
        <xdr:cNvPr id="1547" name="Text Box 164" hidden="1">
          <a:extLst>
            <a:ext uri="{FF2B5EF4-FFF2-40B4-BE49-F238E27FC236}">
              <a16:creationId xmlns:a16="http://schemas.microsoft.com/office/drawing/2014/main" id="{E954DEDF-79F1-42EB-9B56-212A2DAB548E}"/>
            </a:ext>
          </a:extLst>
        </xdr:cNvPr>
        <xdr:cNvSpPr txBox="1">
          <a:spLocks noChangeArrowheads="1"/>
        </xdr:cNvSpPr>
      </xdr:nvSpPr>
      <xdr:spPr bwMode="auto">
        <a:xfrm>
          <a:off x="21223755" y="27771836"/>
          <a:ext cx="4386355"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21</xdr:row>
      <xdr:rowOff>69476</xdr:rowOff>
    </xdr:from>
    <xdr:to>
      <xdr:col>31</xdr:col>
      <xdr:colOff>16435</xdr:colOff>
      <xdr:row>41</xdr:row>
      <xdr:rowOff>107577</xdr:rowOff>
    </xdr:to>
    <xdr:sp macro="" textlink="">
      <xdr:nvSpPr>
        <xdr:cNvPr id="1548" name="Text Box 163" hidden="1">
          <a:extLst>
            <a:ext uri="{FF2B5EF4-FFF2-40B4-BE49-F238E27FC236}">
              <a16:creationId xmlns:a16="http://schemas.microsoft.com/office/drawing/2014/main" id="{FBCB6F90-BC04-46C2-BB02-33607546ED26}"/>
            </a:ext>
          </a:extLst>
        </xdr:cNvPr>
        <xdr:cNvSpPr txBox="1">
          <a:spLocks noChangeArrowheads="1"/>
        </xdr:cNvSpPr>
      </xdr:nvSpPr>
      <xdr:spPr bwMode="auto">
        <a:xfrm>
          <a:off x="21985755" y="4765301"/>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30</xdr:row>
      <xdr:rowOff>69476</xdr:rowOff>
    </xdr:from>
    <xdr:to>
      <xdr:col>31</xdr:col>
      <xdr:colOff>16435</xdr:colOff>
      <xdr:row>50</xdr:row>
      <xdr:rowOff>107577</xdr:rowOff>
    </xdr:to>
    <xdr:sp macro="" textlink="">
      <xdr:nvSpPr>
        <xdr:cNvPr id="1549" name="Text Box 162" hidden="1">
          <a:extLst>
            <a:ext uri="{FF2B5EF4-FFF2-40B4-BE49-F238E27FC236}">
              <a16:creationId xmlns:a16="http://schemas.microsoft.com/office/drawing/2014/main" id="{243091CE-A483-4FBF-9395-C3A72C97BD45}"/>
            </a:ext>
          </a:extLst>
        </xdr:cNvPr>
        <xdr:cNvSpPr txBox="1">
          <a:spLocks noChangeArrowheads="1"/>
        </xdr:cNvSpPr>
      </xdr:nvSpPr>
      <xdr:spPr bwMode="auto">
        <a:xfrm>
          <a:off x="21985755" y="6746501"/>
          <a:ext cx="487213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133</xdr:row>
      <xdr:rowOff>149336</xdr:rowOff>
    </xdr:from>
    <xdr:to>
      <xdr:col>31</xdr:col>
      <xdr:colOff>16435</xdr:colOff>
      <xdr:row>154</xdr:row>
      <xdr:rowOff>671</xdr:rowOff>
    </xdr:to>
    <xdr:sp macro="" textlink="">
      <xdr:nvSpPr>
        <xdr:cNvPr id="1550" name="Text Box 161" hidden="1">
          <a:extLst>
            <a:ext uri="{FF2B5EF4-FFF2-40B4-BE49-F238E27FC236}">
              <a16:creationId xmlns:a16="http://schemas.microsoft.com/office/drawing/2014/main" id="{945548E2-9FBE-4CB9-9ACD-66FB41744F52}"/>
            </a:ext>
          </a:extLst>
        </xdr:cNvPr>
        <xdr:cNvSpPr txBox="1">
          <a:spLocks noChangeArrowheads="1"/>
        </xdr:cNvSpPr>
      </xdr:nvSpPr>
      <xdr:spPr bwMode="auto">
        <a:xfrm>
          <a:off x="21985755" y="27771836"/>
          <a:ext cx="4872130"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21</xdr:row>
      <xdr:rowOff>50426</xdr:rowOff>
    </xdr:from>
    <xdr:to>
      <xdr:col>31</xdr:col>
      <xdr:colOff>163979</xdr:colOff>
      <xdr:row>41</xdr:row>
      <xdr:rowOff>50427</xdr:rowOff>
    </xdr:to>
    <xdr:sp macro="" textlink="">
      <xdr:nvSpPr>
        <xdr:cNvPr id="1551" name="Text Box 160" hidden="1">
          <a:extLst>
            <a:ext uri="{FF2B5EF4-FFF2-40B4-BE49-F238E27FC236}">
              <a16:creationId xmlns:a16="http://schemas.microsoft.com/office/drawing/2014/main" id="{C9D67E57-0BA1-49B1-B69E-FAACD7E5C06B}"/>
            </a:ext>
          </a:extLst>
        </xdr:cNvPr>
        <xdr:cNvSpPr txBox="1">
          <a:spLocks noChangeArrowheads="1"/>
        </xdr:cNvSpPr>
      </xdr:nvSpPr>
      <xdr:spPr bwMode="auto">
        <a:xfrm>
          <a:off x="22785855" y="4746251"/>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30</xdr:row>
      <xdr:rowOff>50426</xdr:rowOff>
    </xdr:from>
    <xdr:to>
      <xdr:col>31</xdr:col>
      <xdr:colOff>163979</xdr:colOff>
      <xdr:row>50</xdr:row>
      <xdr:rowOff>69477</xdr:rowOff>
    </xdr:to>
    <xdr:sp macro="" textlink="">
      <xdr:nvSpPr>
        <xdr:cNvPr id="1552" name="Text Box 159" hidden="1">
          <a:extLst>
            <a:ext uri="{FF2B5EF4-FFF2-40B4-BE49-F238E27FC236}">
              <a16:creationId xmlns:a16="http://schemas.microsoft.com/office/drawing/2014/main" id="{45EE20E6-01ED-4B64-A78F-8C8352E92E6B}"/>
            </a:ext>
          </a:extLst>
        </xdr:cNvPr>
        <xdr:cNvSpPr txBox="1">
          <a:spLocks noChangeArrowheads="1"/>
        </xdr:cNvSpPr>
      </xdr:nvSpPr>
      <xdr:spPr bwMode="auto">
        <a:xfrm>
          <a:off x="22785855" y="6727451"/>
          <a:ext cx="4219574" cy="3638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15</xdr:row>
      <xdr:rowOff>31377</xdr:rowOff>
    </xdr:from>
    <xdr:to>
      <xdr:col>39</xdr:col>
      <xdr:colOff>697379</xdr:colOff>
      <xdr:row>35</xdr:row>
      <xdr:rowOff>50426</xdr:rowOff>
    </xdr:to>
    <xdr:sp macro="" textlink="">
      <xdr:nvSpPr>
        <xdr:cNvPr id="1553" name="Text Box 158" hidden="1">
          <a:extLst>
            <a:ext uri="{FF2B5EF4-FFF2-40B4-BE49-F238E27FC236}">
              <a16:creationId xmlns:a16="http://schemas.microsoft.com/office/drawing/2014/main" id="{BCF35415-7351-466A-91D9-B230BF711261}"/>
            </a:ext>
          </a:extLst>
        </xdr:cNvPr>
        <xdr:cNvSpPr txBox="1">
          <a:spLocks noChangeArrowheads="1"/>
        </xdr:cNvSpPr>
      </xdr:nvSpPr>
      <xdr:spPr bwMode="auto">
        <a:xfrm>
          <a:off x="30891630" y="3641352"/>
          <a:ext cx="3733799" cy="39909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133</xdr:row>
      <xdr:rowOff>124496</xdr:rowOff>
    </xdr:from>
    <xdr:to>
      <xdr:col>28</xdr:col>
      <xdr:colOff>140260</xdr:colOff>
      <xdr:row>138</xdr:row>
      <xdr:rowOff>10990</xdr:rowOff>
    </xdr:to>
    <xdr:sp macro="" textlink="">
      <xdr:nvSpPr>
        <xdr:cNvPr id="1554" name="Text Box 199" hidden="1">
          <a:extLst>
            <a:ext uri="{FF2B5EF4-FFF2-40B4-BE49-F238E27FC236}">
              <a16:creationId xmlns:a16="http://schemas.microsoft.com/office/drawing/2014/main" id="{EE36F124-AEF7-4420-8F44-DA2665542507}"/>
            </a:ext>
          </a:extLst>
        </xdr:cNvPr>
        <xdr:cNvSpPr txBox="1">
          <a:spLocks noChangeArrowheads="1"/>
        </xdr:cNvSpPr>
      </xdr:nvSpPr>
      <xdr:spPr bwMode="auto">
        <a:xfrm>
          <a:off x="22747755" y="27746996"/>
          <a:ext cx="1338355" cy="7913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12</xdr:row>
      <xdr:rowOff>50427</xdr:rowOff>
    </xdr:from>
    <xdr:to>
      <xdr:col>20</xdr:col>
      <xdr:colOff>687854</xdr:colOff>
      <xdr:row>32</xdr:row>
      <xdr:rowOff>111872</xdr:rowOff>
    </xdr:to>
    <xdr:sp macro="" textlink="">
      <xdr:nvSpPr>
        <xdr:cNvPr id="1555" name="Text Box 82" hidden="1">
          <a:extLst>
            <a:ext uri="{FF2B5EF4-FFF2-40B4-BE49-F238E27FC236}">
              <a16:creationId xmlns:a16="http://schemas.microsoft.com/office/drawing/2014/main" id="{B2ED8E0C-21D5-4670-8182-0B5A56964433}"/>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345514</xdr:rowOff>
    </xdr:from>
    <xdr:to>
      <xdr:col>9</xdr:col>
      <xdr:colOff>105335</xdr:colOff>
      <xdr:row>80</xdr:row>
      <xdr:rowOff>7255</xdr:rowOff>
    </xdr:to>
    <xdr:sp macro="" textlink="">
      <xdr:nvSpPr>
        <xdr:cNvPr id="1556" name="Text Box 81" hidden="1">
          <a:extLst>
            <a:ext uri="{FF2B5EF4-FFF2-40B4-BE49-F238E27FC236}">
              <a16:creationId xmlns:a16="http://schemas.microsoft.com/office/drawing/2014/main" id="{C90102A7-DE88-4E81-957B-AEC83F3D11E6}"/>
            </a:ext>
          </a:extLst>
        </xdr:cNvPr>
        <xdr:cNvSpPr txBox="1">
          <a:spLocks noChangeArrowheads="1"/>
        </xdr:cNvSpPr>
      </xdr:nvSpPr>
      <xdr:spPr bwMode="auto">
        <a:xfrm>
          <a:off x="3981263" y="13213789"/>
          <a:ext cx="43631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342340</xdr:rowOff>
    </xdr:from>
    <xdr:to>
      <xdr:col>9</xdr:col>
      <xdr:colOff>124385</xdr:colOff>
      <xdr:row>80</xdr:row>
      <xdr:rowOff>67413</xdr:rowOff>
    </xdr:to>
    <xdr:sp macro="" textlink="">
      <xdr:nvSpPr>
        <xdr:cNvPr id="1557" name="Text Box 80" hidden="1">
          <a:extLst>
            <a:ext uri="{FF2B5EF4-FFF2-40B4-BE49-F238E27FC236}">
              <a16:creationId xmlns:a16="http://schemas.microsoft.com/office/drawing/2014/main" id="{8B8C63BF-A467-4DC9-9FD4-5683E2C3B0F1}"/>
            </a:ext>
          </a:extLst>
        </xdr:cNvPr>
        <xdr:cNvSpPr txBox="1">
          <a:spLocks noChangeArrowheads="1"/>
        </xdr:cNvSpPr>
      </xdr:nvSpPr>
      <xdr:spPr bwMode="auto">
        <a:xfrm>
          <a:off x="400031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342340</xdr:rowOff>
    </xdr:from>
    <xdr:to>
      <xdr:col>9</xdr:col>
      <xdr:colOff>105335</xdr:colOff>
      <xdr:row>80</xdr:row>
      <xdr:rowOff>67413</xdr:rowOff>
    </xdr:to>
    <xdr:sp macro="" textlink="">
      <xdr:nvSpPr>
        <xdr:cNvPr id="1558" name="Text Box 79" hidden="1">
          <a:extLst>
            <a:ext uri="{FF2B5EF4-FFF2-40B4-BE49-F238E27FC236}">
              <a16:creationId xmlns:a16="http://schemas.microsoft.com/office/drawing/2014/main" id="{6D1EE0B8-21E7-4952-AACF-D68A45C24903}"/>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342340</xdr:rowOff>
    </xdr:from>
    <xdr:to>
      <xdr:col>9</xdr:col>
      <xdr:colOff>105335</xdr:colOff>
      <xdr:row>80</xdr:row>
      <xdr:rowOff>67413</xdr:rowOff>
    </xdr:to>
    <xdr:sp macro="" textlink="">
      <xdr:nvSpPr>
        <xdr:cNvPr id="1559" name="Text Box 78" hidden="1">
          <a:extLst>
            <a:ext uri="{FF2B5EF4-FFF2-40B4-BE49-F238E27FC236}">
              <a16:creationId xmlns:a16="http://schemas.microsoft.com/office/drawing/2014/main" id="{DD8088C1-C8D2-40AB-9C85-99DA9B63262E}"/>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21772</xdr:rowOff>
    </xdr:from>
    <xdr:to>
      <xdr:col>9</xdr:col>
      <xdr:colOff>105335</xdr:colOff>
      <xdr:row>85</xdr:row>
      <xdr:rowOff>149903</xdr:rowOff>
    </xdr:to>
    <xdr:sp macro="" textlink="">
      <xdr:nvSpPr>
        <xdr:cNvPr id="1560" name="Text Box 77" hidden="1">
          <a:extLst>
            <a:ext uri="{FF2B5EF4-FFF2-40B4-BE49-F238E27FC236}">
              <a16:creationId xmlns:a16="http://schemas.microsoft.com/office/drawing/2014/main" id="{818543FC-7B6F-4800-9E79-0816174CFE14}"/>
            </a:ext>
          </a:extLst>
        </xdr:cNvPr>
        <xdr:cNvSpPr txBox="1">
          <a:spLocks noChangeArrowheads="1"/>
        </xdr:cNvSpPr>
      </xdr:nvSpPr>
      <xdr:spPr bwMode="auto">
        <a:xfrm>
          <a:off x="3981263" y="14452147"/>
          <a:ext cx="4363197"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153306</xdr:rowOff>
    </xdr:from>
    <xdr:to>
      <xdr:col>9</xdr:col>
      <xdr:colOff>105335</xdr:colOff>
      <xdr:row>102</xdr:row>
      <xdr:rowOff>18392</xdr:rowOff>
    </xdr:to>
    <xdr:sp macro="" textlink="">
      <xdr:nvSpPr>
        <xdr:cNvPr id="1561" name="Text Box 76" hidden="1">
          <a:extLst>
            <a:ext uri="{FF2B5EF4-FFF2-40B4-BE49-F238E27FC236}">
              <a16:creationId xmlns:a16="http://schemas.microsoft.com/office/drawing/2014/main" id="{977A0A95-C21D-4CDC-A58A-DB853EA3ED38}"/>
            </a:ext>
          </a:extLst>
        </xdr:cNvPr>
        <xdr:cNvSpPr txBox="1">
          <a:spLocks noChangeArrowheads="1"/>
        </xdr:cNvSpPr>
      </xdr:nvSpPr>
      <xdr:spPr bwMode="auto">
        <a:xfrm>
          <a:off x="3981263" y="17679306"/>
          <a:ext cx="4363197"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75381</xdr:rowOff>
    </xdr:from>
    <xdr:to>
      <xdr:col>9</xdr:col>
      <xdr:colOff>105335</xdr:colOff>
      <xdr:row>102</xdr:row>
      <xdr:rowOff>116148</xdr:rowOff>
    </xdr:to>
    <xdr:sp macro="" textlink="">
      <xdr:nvSpPr>
        <xdr:cNvPr id="1562" name="Text Box 75" hidden="1">
          <a:extLst>
            <a:ext uri="{FF2B5EF4-FFF2-40B4-BE49-F238E27FC236}">
              <a16:creationId xmlns:a16="http://schemas.microsoft.com/office/drawing/2014/main" id="{C6A28C34-827F-4419-B50A-7C3C1CB124C5}"/>
            </a:ext>
          </a:extLst>
        </xdr:cNvPr>
        <xdr:cNvSpPr txBox="1">
          <a:spLocks noChangeArrowheads="1"/>
        </xdr:cNvSpPr>
      </xdr:nvSpPr>
      <xdr:spPr bwMode="auto">
        <a:xfrm>
          <a:off x="3981263" y="17785531"/>
          <a:ext cx="4363197"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7814</xdr:rowOff>
    </xdr:from>
    <xdr:to>
      <xdr:col>9</xdr:col>
      <xdr:colOff>105335</xdr:colOff>
      <xdr:row>103</xdr:row>
      <xdr:rowOff>47438</xdr:rowOff>
    </xdr:to>
    <xdr:sp macro="" textlink="">
      <xdr:nvSpPr>
        <xdr:cNvPr id="1563" name="Text Box 74" hidden="1">
          <a:extLst>
            <a:ext uri="{FF2B5EF4-FFF2-40B4-BE49-F238E27FC236}">
              <a16:creationId xmlns:a16="http://schemas.microsoft.com/office/drawing/2014/main" id="{A518AA27-48CA-4AEE-A8A8-8189C6854A4F}"/>
            </a:ext>
          </a:extLst>
        </xdr:cNvPr>
        <xdr:cNvSpPr txBox="1">
          <a:spLocks noChangeArrowheads="1"/>
        </xdr:cNvSpPr>
      </xdr:nvSpPr>
      <xdr:spPr bwMode="auto">
        <a:xfrm>
          <a:off x="3981263" y="17898939"/>
          <a:ext cx="4363197"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1632</xdr:rowOff>
    </xdr:from>
    <xdr:to>
      <xdr:col>9</xdr:col>
      <xdr:colOff>105335</xdr:colOff>
      <xdr:row>102</xdr:row>
      <xdr:rowOff>198324</xdr:rowOff>
    </xdr:to>
    <xdr:sp macro="" textlink="">
      <xdr:nvSpPr>
        <xdr:cNvPr id="1564" name="Text Box 73" hidden="1">
          <a:extLst>
            <a:ext uri="{FF2B5EF4-FFF2-40B4-BE49-F238E27FC236}">
              <a16:creationId xmlns:a16="http://schemas.microsoft.com/office/drawing/2014/main" id="{C3EF62E9-9A9E-4B69-B371-C5A038DA3B57}"/>
            </a:ext>
          </a:extLst>
        </xdr:cNvPr>
        <xdr:cNvSpPr txBox="1">
          <a:spLocks noChangeArrowheads="1"/>
        </xdr:cNvSpPr>
      </xdr:nvSpPr>
      <xdr:spPr bwMode="auto">
        <a:xfrm>
          <a:off x="3981263" y="18070557"/>
          <a:ext cx="4363197"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95997</xdr:rowOff>
    </xdr:from>
    <xdr:to>
      <xdr:col>9</xdr:col>
      <xdr:colOff>105335</xdr:colOff>
      <xdr:row>122</xdr:row>
      <xdr:rowOff>153304</xdr:rowOff>
    </xdr:to>
    <xdr:sp macro="" textlink="">
      <xdr:nvSpPr>
        <xdr:cNvPr id="1565" name="Text Box 72" hidden="1">
          <a:extLst>
            <a:ext uri="{FF2B5EF4-FFF2-40B4-BE49-F238E27FC236}">
              <a16:creationId xmlns:a16="http://schemas.microsoft.com/office/drawing/2014/main" id="{39E19C46-2E41-47C7-B6F4-99B0C16EF3ED}"/>
            </a:ext>
          </a:extLst>
        </xdr:cNvPr>
        <xdr:cNvSpPr txBox="1">
          <a:spLocks noChangeArrowheads="1"/>
        </xdr:cNvSpPr>
      </xdr:nvSpPr>
      <xdr:spPr bwMode="auto">
        <a:xfrm>
          <a:off x="3981263" y="22060647"/>
          <a:ext cx="4363197"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57798</xdr:rowOff>
    </xdr:from>
    <xdr:to>
      <xdr:col>9</xdr:col>
      <xdr:colOff>105335</xdr:colOff>
      <xdr:row>123</xdr:row>
      <xdr:rowOff>125290</xdr:rowOff>
    </xdr:to>
    <xdr:sp macro="" textlink="">
      <xdr:nvSpPr>
        <xdr:cNvPr id="1566" name="Text Box 71" hidden="1">
          <a:extLst>
            <a:ext uri="{FF2B5EF4-FFF2-40B4-BE49-F238E27FC236}">
              <a16:creationId xmlns:a16="http://schemas.microsoft.com/office/drawing/2014/main" id="{0DFCEA3C-E692-4BD9-945E-373CE20391E3}"/>
            </a:ext>
          </a:extLst>
        </xdr:cNvPr>
        <xdr:cNvSpPr txBox="1">
          <a:spLocks noChangeArrowheads="1"/>
        </xdr:cNvSpPr>
      </xdr:nvSpPr>
      <xdr:spPr bwMode="auto">
        <a:xfrm>
          <a:off x="3981263" y="22260573"/>
          <a:ext cx="4363197"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25616</xdr:rowOff>
    </xdr:from>
    <xdr:to>
      <xdr:col>9</xdr:col>
      <xdr:colOff>105335</xdr:colOff>
      <xdr:row>124</xdr:row>
      <xdr:rowOff>122115</xdr:rowOff>
    </xdr:to>
    <xdr:sp macro="" textlink="">
      <xdr:nvSpPr>
        <xdr:cNvPr id="1567" name="Text Box 70" hidden="1">
          <a:extLst>
            <a:ext uri="{FF2B5EF4-FFF2-40B4-BE49-F238E27FC236}">
              <a16:creationId xmlns:a16="http://schemas.microsoft.com/office/drawing/2014/main" id="{341A6CB8-25D6-4B6A-AB3B-D4D72390B92F}"/>
            </a:ext>
          </a:extLst>
        </xdr:cNvPr>
        <xdr:cNvSpPr txBox="1">
          <a:spLocks noChangeArrowheads="1"/>
        </xdr:cNvSpPr>
      </xdr:nvSpPr>
      <xdr:spPr bwMode="auto">
        <a:xfrm>
          <a:off x="3981263" y="22469691"/>
          <a:ext cx="4363197"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228816</xdr:rowOff>
    </xdr:from>
    <xdr:to>
      <xdr:col>9</xdr:col>
      <xdr:colOff>105335</xdr:colOff>
      <xdr:row>124</xdr:row>
      <xdr:rowOff>122115</xdr:rowOff>
    </xdr:to>
    <xdr:sp macro="" textlink="">
      <xdr:nvSpPr>
        <xdr:cNvPr id="1568" name="Text Box 69" hidden="1">
          <a:extLst>
            <a:ext uri="{FF2B5EF4-FFF2-40B4-BE49-F238E27FC236}">
              <a16:creationId xmlns:a16="http://schemas.microsoft.com/office/drawing/2014/main" id="{EE83BD23-7288-4759-A576-5FDFD2907401}"/>
            </a:ext>
          </a:extLst>
        </xdr:cNvPr>
        <xdr:cNvSpPr txBox="1">
          <a:spLocks noChangeArrowheads="1"/>
        </xdr:cNvSpPr>
      </xdr:nvSpPr>
      <xdr:spPr bwMode="auto">
        <a:xfrm>
          <a:off x="3981263" y="22431591"/>
          <a:ext cx="4363197"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128</xdr:row>
      <xdr:rowOff>78556</xdr:rowOff>
    </xdr:from>
    <xdr:to>
      <xdr:col>23</xdr:col>
      <xdr:colOff>687855</xdr:colOff>
      <xdr:row>148</xdr:row>
      <xdr:rowOff>58448</xdr:rowOff>
    </xdr:to>
    <xdr:sp macro="" textlink="">
      <xdr:nvSpPr>
        <xdr:cNvPr id="1569" name="Text Box 68" hidden="1">
          <a:extLst>
            <a:ext uri="{FF2B5EF4-FFF2-40B4-BE49-F238E27FC236}">
              <a16:creationId xmlns:a16="http://schemas.microsoft.com/office/drawing/2014/main" id="{D65FA3C6-2563-44EC-8E47-4C3D101A4ED0}"/>
            </a:ext>
          </a:extLst>
        </xdr:cNvPr>
        <xdr:cNvSpPr txBox="1">
          <a:spLocks noChangeArrowheads="1"/>
        </xdr:cNvSpPr>
      </xdr:nvSpPr>
      <xdr:spPr bwMode="auto">
        <a:xfrm>
          <a:off x="17190010" y="26796181"/>
          <a:ext cx="3614645"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20</xdr:row>
      <xdr:rowOff>50426</xdr:rowOff>
    </xdr:from>
    <xdr:to>
      <xdr:col>25</xdr:col>
      <xdr:colOff>105336</xdr:colOff>
      <xdr:row>40</xdr:row>
      <xdr:rowOff>31377</xdr:rowOff>
    </xdr:to>
    <xdr:sp macro="" textlink="">
      <xdr:nvSpPr>
        <xdr:cNvPr id="1570" name="Text Box 67" hidden="1">
          <a:extLst>
            <a:ext uri="{FF2B5EF4-FFF2-40B4-BE49-F238E27FC236}">
              <a16:creationId xmlns:a16="http://schemas.microsoft.com/office/drawing/2014/main" id="{9F83D6B6-01A9-4747-A93A-CA72D522ADC6}"/>
            </a:ext>
          </a:extLst>
        </xdr:cNvPr>
        <xdr:cNvSpPr txBox="1">
          <a:spLocks noChangeArrowheads="1"/>
        </xdr:cNvSpPr>
      </xdr:nvSpPr>
      <xdr:spPr bwMode="auto">
        <a:xfrm>
          <a:off x="18009160" y="4565276"/>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29</xdr:row>
      <xdr:rowOff>50427</xdr:rowOff>
    </xdr:from>
    <xdr:to>
      <xdr:col>25</xdr:col>
      <xdr:colOff>105336</xdr:colOff>
      <xdr:row>49</xdr:row>
      <xdr:rowOff>31376</xdr:rowOff>
    </xdr:to>
    <xdr:sp macro="" textlink="">
      <xdr:nvSpPr>
        <xdr:cNvPr id="1571" name="Text Box 66" hidden="1">
          <a:extLst>
            <a:ext uri="{FF2B5EF4-FFF2-40B4-BE49-F238E27FC236}">
              <a16:creationId xmlns:a16="http://schemas.microsoft.com/office/drawing/2014/main" id="{C00CDE5B-6328-4DAC-A3C9-1311B348A24B}"/>
            </a:ext>
          </a:extLst>
        </xdr:cNvPr>
        <xdr:cNvSpPr txBox="1">
          <a:spLocks noChangeArrowheads="1"/>
        </xdr:cNvSpPr>
      </xdr:nvSpPr>
      <xdr:spPr bwMode="auto">
        <a:xfrm>
          <a:off x="18009160" y="6546477"/>
          <a:ext cx="3736976"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132</xdr:row>
      <xdr:rowOff>84015</xdr:rowOff>
    </xdr:from>
    <xdr:to>
      <xdr:col>25</xdr:col>
      <xdr:colOff>105336</xdr:colOff>
      <xdr:row>152</xdr:row>
      <xdr:rowOff>78557</xdr:rowOff>
    </xdr:to>
    <xdr:sp macro="" textlink="">
      <xdr:nvSpPr>
        <xdr:cNvPr id="1572" name="Text Box 65" hidden="1">
          <a:extLst>
            <a:ext uri="{FF2B5EF4-FFF2-40B4-BE49-F238E27FC236}">
              <a16:creationId xmlns:a16="http://schemas.microsoft.com/office/drawing/2014/main" id="{94DDB505-AC3E-4B07-8A27-3A3C0A791D59}"/>
            </a:ext>
          </a:extLst>
        </xdr:cNvPr>
        <xdr:cNvSpPr txBox="1">
          <a:spLocks noChangeArrowheads="1"/>
        </xdr:cNvSpPr>
      </xdr:nvSpPr>
      <xdr:spPr bwMode="auto">
        <a:xfrm>
          <a:off x="18009160" y="27525540"/>
          <a:ext cx="3736976"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40</xdr:row>
      <xdr:rowOff>50427</xdr:rowOff>
    </xdr:from>
    <xdr:to>
      <xdr:col>15</xdr:col>
      <xdr:colOff>276973</xdr:colOff>
      <xdr:row>59</xdr:row>
      <xdr:rowOff>26894</xdr:rowOff>
    </xdr:to>
    <xdr:sp macro="" textlink="">
      <xdr:nvSpPr>
        <xdr:cNvPr id="1573" name="Text Box 64" hidden="1">
          <a:extLst>
            <a:ext uri="{FF2B5EF4-FFF2-40B4-BE49-F238E27FC236}">
              <a16:creationId xmlns:a16="http://schemas.microsoft.com/office/drawing/2014/main" id="{C8F4EE83-271F-43EA-B946-88A541F7806E}"/>
            </a:ext>
          </a:extLst>
        </xdr:cNvPr>
        <xdr:cNvSpPr txBox="1">
          <a:spLocks noChangeArrowheads="1"/>
        </xdr:cNvSpPr>
      </xdr:nvSpPr>
      <xdr:spPr bwMode="auto">
        <a:xfrm>
          <a:off x="9674225" y="8537202"/>
          <a:ext cx="4528298"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20</xdr:row>
      <xdr:rowOff>50426</xdr:rowOff>
    </xdr:from>
    <xdr:to>
      <xdr:col>28</xdr:col>
      <xdr:colOff>124385</xdr:colOff>
      <xdr:row>40</xdr:row>
      <xdr:rowOff>126627</xdr:rowOff>
    </xdr:to>
    <xdr:sp macro="" textlink="">
      <xdr:nvSpPr>
        <xdr:cNvPr id="1574" name="Text Box 63" hidden="1">
          <a:extLst>
            <a:ext uri="{FF2B5EF4-FFF2-40B4-BE49-F238E27FC236}">
              <a16:creationId xmlns:a16="http://schemas.microsoft.com/office/drawing/2014/main" id="{5335D5A9-0E8F-4DAC-830C-7B90943BCE52}"/>
            </a:ext>
          </a:extLst>
        </xdr:cNvPr>
        <xdr:cNvSpPr txBox="1">
          <a:spLocks noChangeArrowheads="1"/>
        </xdr:cNvSpPr>
      </xdr:nvSpPr>
      <xdr:spPr bwMode="auto">
        <a:xfrm>
          <a:off x="19699754" y="4565276"/>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29</xdr:row>
      <xdr:rowOff>50427</xdr:rowOff>
    </xdr:from>
    <xdr:to>
      <xdr:col>28</xdr:col>
      <xdr:colOff>124385</xdr:colOff>
      <xdr:row>49</xdr:row>
      <xdr:rowOff>107576</xdr:rowOff>
    </xdr:to>
    <xdr:sp macro="" textlink="">
      <xdr:nvSpPr>
        <xdr:cNvPr id="1575" name="Text Box 62" hidden="1">
          <a:extLst>
            <a:ext uri="{FF2B5EF4-FFF2-40B4-BE49-F238E27FC236}">
              <a16:creationId xmlns:a16="http://schemas.microsoft.com/office/drawing/2014/main" id="{CD255EF5-962D-4606-9D60-86AEC754611F}"/>
            </a:ext>
          </a:extLst>
        </xdr:cNvPr>
        <xdr:cNvSpPr txBox="1">
          <a:spLocks noChangeArrowheads="1"/>
        </xdr:cNvSpPr>
      </xdr:nvSpPr>
      <xdr:spPr bwMode="auto">
        <a:xfrm>
          <a:off x="19699754" y="6546477"/>
          <a:ext cx="4370481"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132</xdr:row>
      <xdr:rowOff>84015</xdr:rowOff>
    </xdr:from>
    <xdr:to>
      <xdr:col>28</xdr:col>
      <xdr:colOff>124385</xdr:colOff>
      <xdr:row>152</xdr:row>
      <xdr:rowOff>153305</xdr:rowOff>
    </xdr:to>
    <xdr:sp macro="" textlink="">
      <xdr:nvSpPr>
        <xdr:cNvPr id="1576" name="Text Box 61" hidden="1">
          <a:extLst>
            <a:ext uri="{FF2B5EF4-FFF2-40B4-BE49-F238E27FC236}">
              <a16:creationId xmlns:a16="http://schemas.microsoft.com/office/drawing/2014/main" id="{F7D5D66A-236F-4E7A-B7A5-B8C148B84CAC}"/>
            </a:ext>
          </a:extLst>
        </xdr:cNvPr>
        <xdr:cNvSpPr txBox="1">
          <a:spLocks noChangeArrowheads="1"/>
        </xdr:cNvSpPr>
      </xdr:nvSpPr>
      <xdr:spPr bwMode="auto">
        <a:xfrm>
          <a:off x="19699754" y="27525540"/>
          <a:ext cx="4370481"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20</xdr:row>
      <xdr:rowOff>50426</xdr:rowOff>
    </xdr:from>
    <xdr:to>
      <xdr:col>29</xdr:col>
      <xdr:colOff>114860</xdr:colOff>
      <xdr:row>40</xdr:row>
      <xdr:rowOff>88527</xdr:rowOff>
    </xdr:to>
    <xdr:sp macro="" textlink="">
      <xdr:nvSpPr>
        <xdr:cNvPr id="1577" name="Text Box 60" hidden="1">
          <a:extLst>
            <a:ext uri="{FF2B5EF4-FFF2-40B4-BE49-F238E27FC236}">
              <a16:creationId xmlns:a16="http://schemas.microsoft.com/office/drawing/2014/main" id="{AE6D3513-BF9F-4F23-A981-59221E693FEE}"/>
            </a:ext>
          </a:extLst>
        </xdr:cNvPr>
        <xdr:cNvSpPr txBox="1">
          <a:spLocks noChangeArrowheads="1"/>
        </xdr:cNvSpPr>
      </xdr:nvSpPr>
      <xdr:spPr bwMode="auto">
        <a:xfrm>
          <a:off x="20461755" y="4565276"/>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29</xdr:row>
      <xdr:rowOff>50427</xdr:rowOff>
    </xdr:from>
    <xdr:to>
      <xdr:col>29</xdr:col>
      <xdr:colOff>114860</xdr:colOff>
      <xdr:row>49</xdr:row>
      <xdr:rowOff>50426</xdr:rowOff>
    </xdr:to>
    <xdr:sp macro="" textlink="">
      <xdr:nvSpPr>
        <xdr:cNvPr id="1578" name="Text Box 59" hidden="1">
          <a:extLst>
            <a:ext uri="{FF2B5EF4-FFF2-40B4-BE49-F238E27FC236}">
              <a16:creationId xmlns:a16="http://schemas.microsoft.com/office/drawing/2014/main" id="{55D9E1A1-75EC-4C9E-9DD4-98CB76EF7FBC}"/>
            </a:ext>
          </a:extLst>
        </xdr:cNvPr>
        <xdr:cNvSpPr txBox="1">
          <a:spLocks noChangeArrowheads="1"/>
        </xdr:cNvSpPr>
      </xdr:nvSpPr>
      <xdr:spPr bwMode="auto">
        <a:xfrm>
          <a:off x="20461755" y="6546477"/>
          <a:ext cx="437048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132</xdr:row>
      <xdr:rowOff>125290</xdr:rowOff>
    </xdr:from>
    <xdr:to>
      <xdr:col>29</xdr:col>
      <xdr:colOff>114860</xdr:colOff>
      <xdr:row>152</xdr:row>
      <xdr:rowOff>153305</xdr:rowOff>
    </xdr:to>
    <xdr:sp macro="" textlink="">
      <xdr:nvSpPr>
        <xdr:cNvPr id="1579" name="Text Box 58" hidden="1">
          <a:extLst>
            <a:ext uri="{FF2B5EF4-FFF2-40B4-BE49-F238E27FC236}">
              <a16:creationId xmlns:a16="http://schemas.microsoft.com/office/drawing/2014/main" id="{A759DD19-EE49-4E9A-A214-5601CAE0CAD1}"/>
            </a:ext>
          </a:extLst>
        </xdr:cNvPr>
        <xdr:cNvSpPr txBox="1">
          <a:spLocks noChangeArrowheads="1"/>
        </xdr:cNvSpPr>
      </xdr:nvSpPr>
      <xdr:spPr bwMode="auto">
        <a:xfrm>
          <a:off x="20461755" y="27566815"/>
          <a:ext cx="437048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44</xdr:row>
      <xdr:rowOff>31377</xdr:rowOff>
    </xdr:from>
    <xdr:to>
      <xdr:col>15</xdr:col>
      <xdr:colOff>276973</xdr:colOff>
      <xdr:row>62</xdr:row>
      <xdr:rowOff>240661</xdr:rowOff>
    </xdr:to>
    <xdr:sp macro="" textlink="">
      <xdr:nvSpPr>
        <xdr:cNvPr id="1580" name="Text Box 57" hidden="1">
          <a:extLst>
            <a:ext uri="{FF2B5EF4-FFF2-40B4-BE49-F238E27FC236}">
              <a16:creationId xmlns:a16="http://schemas.microsoft.com/office/drawing/2014/main" id="{C1257887-33E6-43C8-A0E2-862D9D6FE387}"/>
            </a:ext>
          </a:extLst>
        </xdr:cNvPr>
        <xdr:cNvSpPr txBox="1">
          <a:spLocks noChangeArrowheads="1"/>
        </xdr:cNvSpPr>
      </xdr:nvSpPr>
      <xdr:spPr bwMode="auto">
        <a:xfrm>
          <a:off x="9712325" y="9242052"/>
          <a:ext cx="4490198"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44</xdr:row>
      <xdr:rowOff>31377</xdr:rowOff>
    </xdr:from>
    <xdr:to>
      <xdr:col>17</xdr:col>
      <xdr:colOff>159311</xdr:colOff>
      <xdr:row>62</xdr:row>
      <xdr:rowOff>240661</xdr:rowOff>
    </xdr:to>
    <xdr:sp macro="" textlink="">
      <xdr:nvSpPr>
        <xdr:cNvPr id="1581" name="Text Box 56" hidden="1">
          <a:extLst>
            <a:ext uri="{FF2B5EF4-FFF2-40B4-BE49-F238E27FC236}">
              <a16:creationId xmlns:a16="http://schemas.microsoft.com/office/drawing/2014/main" id="{89887400-A4C9-4FE4-B9AD-58C403BF93A7}"/>
            </a:ext>
          </a:extLst>
        </xdr:cNvPr>
        <xdr:cNvSpPr txBox="1">
          <a:spLocks noChangeArrowheads="1"/>
        </xdr:cNvSpPr>
      </xdr:nvSpPr>
      <xdr:spPr bwMode="auto">
        <a:xfrm>
          <a:off x="10801537" y="9242052"/>
          <a:ext cx="4826374"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25</xdr:row>
      <xdr:rowOff>145117</xdr:rowOff>
    </xdr:from>
    <xdr:to>
      <xdr:col>33</xdr:col>
      <xdr:colOff>533961</xdr:colOff>
      <xdr:row>45</xdr:row>
      <xdr:rowOff>141941</xdr:rowOff>
    </xdr:to>
    <xdr:sp macro="" textlink="">
      <xdr:nvSpPr>
        <xdr:cNvPr id="1582" name="Text Box 55" hidden="1">
          <a:extLst>
            <a:ext uri="{FF2B5EF4-FFF2-40B4-BE49-F238E27FC236}">
              <a16:creationId xmlns:a16="http://schemas.microsoft.com/office/drawing/2014/main" id="{DF1CCE65-8F68-437D-BC48-C99254357050}"/>
            </a:ext>
          </a:extLst>
        </xdr:cNvPr>
        <xdr:cNvSpPr txBox="1">
          <a:spLocks noChangeArrowheads="1"/>
        </xdr:cNvSpPr>
      </xdr:nvSpPr>
      <xdr:spPr bwMode="auto">
        <a:xfrm>
          <a:off x="24271754" y="5914092"/>
          <a:ext cx="4856257"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60</xdr:row>
      <xdr:rowOff>345514</xdr:rowOff>
    </xdr:from>
    <xdr:to>
      <xdr:col>18</xdr:col>
      <xdr:colOff>67236</xdr:colOff>
      <xdr:row>80</xdr:row>
      <xdr:rowOff>7255</xdr:rowOff>
    </xdr:to>
    <xdr:sp macro="" textlink="">
      <xdr:nvSpPr>
        <xdr:cNvPr id="1583" name="Text Box 54" hidden="1">
          <a:extLst>
            <a:ext uri="{FF2B5EF4-FFF2-40B4-BE49-F238E27FC236}">
              <a16:creationId xmlns:a16="http://schemas.microsoft.com/office/drawing/2014/main" id="{9ACEC596-914B-46B4-9014-CCC5657BD626}"/>
            </a:ext>
          </a:extLst>
        </xdr:cNvPr>
        <xdr:cNvSpPr txBox="1">
          <a:spLocks noChangeArrowheads="1"/>
        </xdr:cNvSpPr>
      </xdr:nvSpPr>
      <xdr:spPr bwMode="auto">
        <a:xfrm>
          <a:off x="11629839" y="13213789"/>
          <a:ext cx="46679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64</xdr:row>
      <xdr:rowOff>145597</xdr:rowOff>
    </xdr:from>
    <xdr:to>
      <xdr:col>18</xdr:col>
      <xdr:colOff>105336</xdr:colOff>
      <xdr:row>86</xdr:row>
      <xdr:rowOff>48303</xdr:rowOff>
    </xdr:to>
    <xdr:sp macro="" textlink="">
      <xdr:nvSpPr>
        <xdr:cNvPr id="1584" name="Text Box 53" hidden="1">
          <a:extLst>
            <a:ext uri="{FF2B5EF4-FFF2-40B4-BE49-F238E27FC236}">
              <a16:creationId xmlns:a16="http://schemas.microsoft.com/office/drawing/2014/main" id="{B7CEB196-206D-4F20-8B46-C08AEDDF1386}"/>
            </a:ext>
          </a:extLst>
        </xdr:cNvPr>
        <xdr:cNvSpPr txBox="1">
          <a:spLocks noChangeArrowheads="1"/>
        </xdr:cNvSpPr>
      </xdr:nvSpPr>
      <xdr:spPr bwMode="auto">
        <a:xfrm>
          <a:off x="11667939" y="14391822"/>
          <a:ext cx="4667997"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44</xdr:row>
      <xdr:rowOff>31377</xdr:rowOff>
    </xdr:from>
    <xdr:to>
      <xdr:col>18</xdr:col>
      <xdr:colOff>105336</xdr:colOff>
      <xdr:row>62</xdr:row>
      <xdr:rowOff>240661</xdr:rowOff>
    </xdr:to>
    <xdr:sp macro="" textlink="">
      <xdr:nvSpPr>
        <xdr:cNvPr id="1585" name="Text Box 52" hidden="1">
          <a:extLst>
            <a:ext uri="{FF2B5EF4-FFF2-40B4-BE49-F238E27FC236}">
              <a16:creationId xmlns:a16="http://schemas.microsoft.com/office/drawing/2014/main" id="{FEC34062-5B76-4DBA-9830-039E207DE6C8}"/>
            </a:ext>
          </a:extLst>
        </xdr:cNvPr>
        <xdr:cNvSpPr txBox="1">
          <a:spLocks noChangeArrowheads="1"/>
        </xdr:cNvSpPr>
      </xdr:nvSpPr>
      <xdr:spPr bwMode="auto">
        <a:xfrm>
          <a:off x="11667939" y="9242052"/>
          <a:ext cx="4667997"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20</xdr:row>
      <xdr:rowOff>50426</xdr:rowOff>
    </xdr:from>
    <xdr:to>
      <xdr:col>30</xdr:col>
      <xdr:colOff>16435</xdr:colOff>
      <xdr:row>40</xdr:row>
      <xdr:rowOff>107577</xdr:rowOff>
    </xdr:to>
    <xdr:sp macro="" textlink="">
      <xdr:nvSpPr>
        <xdr:cNvPr id="1586" name="Text Box 51" hidden="1">
          <a:extLst>
            <a:ext uri="{FF2B5EF4-FFF2-40B4-BE49-F238E27FC236}">
              <a16:creationId xmlns:a16="http://schemas.microsoft.com/office/drawing/2014/main" id="{017B1039-5348-4E47-A770-42FF797DA503}"/>
            </a:ext>
          </a:extLst>
        </xdr:cNvPr>
        <xdr:cNvSpPr txBox="1">
          <a:spLocks noChangeArrowheads="1"/>
        </xdr:cNvSpPr>
      </xdr:nvSpPr>
      <xdr:spPr bwMode="auto">
        <a:xfrm>
          <a:off x="21223755" y="4565276"/>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29</xdr:row>
      <xdr:rowOff>50427</xdr:rowOff>
    </xdr:from>
    <xdr:to>
      <xdr:col>30</xdr:col>
      <xdr:colOff>16435</xdr:colOff>
      <xdr:row>49</xdr:row>
      <xdr:rowOff>107576</xdr:rowOff>
    </xdr:to>
    <xdr:sp macro="" textlink="">
      <xdr:nvSpPr>
        <xdr:cNvPr id="1587" name="Text Box 50" hidden="1">
          <a:extLst>
            <a:ext uri="{FF2B5EF4-FFF2-40B4-BE49-F238E27FC236}">
              <a16:creationId xmlns:a16="http://schemas.microsoft.com/office/drawing/2014/main" id="{C2010DD1-4D11-4FC3-88CD-6A00864553FD}"/>
            </a:ext>
          </a:extLst>
        </xdr:cNvPr>
        <xdr:cNvSpPr txBox="1">
          <a:spLocks noChangeArrowheads="1"/>
        </xdr:cNvSpPr>
      </xdr:nvSpPr>
      <xdr:spPr bwMode="auto">
        <a:xfrm>
          <a:off x="21223755" y="6546477"/>
          <a:ext cx="4386355"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135</xdr:row>
      <xdr:rowOff>10990</xdr:rowOff>
    </xdr:from>
    <xdr:to>
      <xdr:col>30</xdr:col>
      <xdr:colOff>16435</xdr:colOff>
      <xdr:row>155</xdr:row>
      <xdr:rowOff>49090</xdr:rowOff>
    </xdr:to>
    <xdr:sp macro="" textlink="">
      <xdr:nvSpPr>
        <xdr:cNvPr id="1588" name="Text Box 49" hidden="1">
          <a:extLst>
            <a:ext uri="{FF2B5EF4-FFF2-40B4-BE49-F238E27FC236}">
              <a16:creationId xmlns:a16="http://schemas.microsoft.com/office/drawing/2014/main" id="{E91E5D7B-4F63-467A-B8AD-EF1097A12364}"/>
            </a:ext>
          </a:extLst>
        </xdr:cNvPr>
        <xdr:cNvSpPr txBox="1">
          <a:spLocks noChangeArrowheads="1"/>
        </xdr:cNvSpPr>
      </xdr:nvSpPr>
      <xdr:spPr bwMode="auto">
        <a:xfrm>
          <a:off x="21223755" y="27995440"/>
          <a:ext cx="438635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20</xdr:row>
      <xdr:rowOff>69476</xdr:rowOff>
    </xdr:from>
    <xdr:to>
      <xdr:col>31</xdr:col>
      <xdr:colOff>16435</xdr:colOff>
      <xdr:row>40</xdr:row>
      <xdr:rowOff>107577</xdr:rowOff>
    </xdr:to>
    <xdr:sp macro="" textlink="">
      <xdr:nvSpPr>
        <xdr:cNvPr id="1589" name="Text Box 48" hidden="1">
          <a:extLst>
            <a:ext uri="{FF2B5EF4-FFF2-40B4-BE49-F238E27FC236}">
              <a16:creationId xmlns:a16="http://schemas.microsoft.com/office/drawing/2014/main" id="{E8DD47B7-45B9-4189-8169-7E6DA6242C7D}"/>
            </a:ext>
          </a:extLst>
        </xdr:cNvPr>
        <xdr:cNvSpPr txBox="1">
          <a:spLocks noChangeArrowheads="1"/>
        </xdr:cNvSpPr>
      </xdr:nvSpPr>
      <xdr:spPr bwMode="auto">
        <a:xfrm>
          <a:off x="21985755" y="4584326"/>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29</xdr:row>
      <xdr:rowOff>69477</xdr:rowOff>
    </xdr:from>
    <xdr:to>
      <xdr:col>31</xdr:col>
      <xdr:colOff>16435</xdr:colOff>
      <xdr:row>49</xdr:row>
      <xdr:rowOff>107576</xdr:rowOff>
    </xdr:to>
    <xdr:sp macro="" textlink="">
      <xdr:nvSpPr>
        <xdr:cNvPr id="1590" name="Text Box 47" hidden="1">
          <a:extLst>
            <a:ext uri="{FF2B5EF4-FFF2-40B4-BE49-F238E27FC236}">
              <a16:creationId xmlns:a16="http://schemas.microsoft.com/office/drawing/2014/main" id="{06399CA7-0961-4517-8858-A59A2E5C584E}"/>
            </a:ext>
          </a:extLst>
        </xdr:cNvPr>
        <xdr:cNvSpPr txBox="1">
          <a:spLocks noChangeArrowheads="1"/>
        </xdr:cNvSpPr>
      </xdr:nvSpPr>
      <xdr:spPr bwMode="auto">
        <a:xfrm>
          <a:off x="21985755" y="6565527"/>
          <a:ext cx="4872130"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135</xdr:row>
      <xdr:rowOff>10990</xdr:rowOff>
    </xdr:from>
    <xdr:to>
      <xdr:col>31</xdr:col>
      <xdr:colOff>16435</xdr:colOff>
      <xdr:row>155</xdr:row>
      <xdr:rowOff>49090</xdr:rowOff>
    </xdr:to>
    <xdr:sp macro="" textlink="">
      <xdr:nvSpPr>
        <xdr:cNvPr id="1591" name="Text Box 46" hidden="1">
          <a:extLst>
            <a:ext uri="{FF2B5EF4-FFF2-40B4-BE49-F238E27FC236}">
              <a16:creationId xmlns:a16="http://schemas.microsoft.com/office/drawing/2014/main" id="{23DB2473-03C0-4B5A-BD6A-A6E82CA4B7FE}"/>
            </a:ext>
          </a:extLst>
        </xdr:cNvPr>
        <xdr:cNvSpPr txBox="1">
          <a:spLocks noChangeArrowheads="1"/>
        </xdr:cNvSpPr>
      </xdr:nvSpPr>
      <xdr:spPr bwMode="auto">
        <a:xfrm>
          <a:off x="21985755" y="27995440"/>
          <a:ext cx="487213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20</xdr:row>
      <xdr:rowOff>50426</xdr:rowOff>
    </xdr:from>
    <xdr:to>
      <xdr:col>31</xdr:col>
      <xdr:colOff>163979</xdr:colOff>
      <xdr:row>40</xdr:row>
      <xdr:rowOff>50427</xdr:rowOff>
    </xdr:to>
    <xdr:sp macro="" textlink="">
      <xdr:nvSpPr>
        <xdr:cNvPr id="1592" name="Text Box 45" hidden="1">
          <a:extLst>
            <a:ext uri="{FF2B5EF4-FFF2-40B4-BE49-F238E27FC236}">
              <a16:creationId xmlns:a16="http://schemas.microsoft.com/office/drawing/2014/main" id="{FFB73104-1EC0-4A69-B67A-5EFB16A4A0C7}"/>
            </a:ext>
          </a:extLst>
        </xdr:cNvPr>
        <xdr:cNvSpPr txBox="1">
          <a:spLocks noChangeArrowheads="1"/>
        </xdr:cNvSpPr>
      </xdr:nvSpPr>
      <xdr:spPr bwMode="auto">
        <a:xfrm>
          <a:off x="22785855"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29</xdr:row>
      <xdr:rowOff>50427</xdr:rowOff>
    </xdr:from>
    <xdr:to>
      <xdr:col>31</xdr:col>
      <xdr:colOff>163979</xdr:colOff>
      <xdr:row>49</xdr:row>
      <xdr:rowOff>69476</xdr:rowOff>
    </xdr:to>
    <xdr:sp macro="" textlink="">
      <xdr:nvSpPr>
        <xdr:cNvPr id="1593" name="Text Box 44" hidden="1">
          <a:extLst>
            <a:ext uri="{FF2B5EF4-FFF2-40B4-BE49-F238E27FC236}">
              <a16:creationId xmlns:a16="http://schemas.microsoft.com/office/drawing/2014/main" id="{E40F403B-B7F1-4A1A-AC0A-4F8F1E1ADBB1}"/>
            </a:ext>
          </a:extLst>
        </xdr:cNvPr>
        <xdr:cNvSpPr txBox="1">
          <a:spLocks noChangeArrowheads="1"/>
        </xdr:cNvSpPr>
      </xdr:nvSpPr>
      <xdr:spPr bwMode="auto">
        <a:xfrm>
          <a:off x="22785855"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14</xdr:row>
      <xdr:rowOff>31376</xdr:rowOff>
    </xdr:from>
    <xdr:to>
      <xdr:col>39</xdr:col>
      <xdr:colOff>697379</xdr:colOff>
      <xdr:row>34</xdr:row>
      <xdr:rowOff>57897</xdr:rowOff>
    </xdr:to>
    <xdr:sp macro="" textlink="">
      <xdr:nvSpPr>
        <xdr:cNvPr id="1594" name="Text Box 43" hidden="1">
          <a:extLst>
            <a:ext uri="{FF2B5EF4-FFF2-40B4-BE49-F238E27FC236}">
              <a16:creationId xmlns:a16="http://schemas.microsoft.com/office/drawing/2014/main" id="{1410ECF6-BC9F-470A-99C1-38B8B08DDF1F}"/>
            </a:ext>
          </a:extLst>
        </xdr:cNvPr>
        <xdr:cNvSpPr txBox="1">
          <a:spLocks noChangeArrowheads="1"/>
        </xdr:cNvSpPr>
      </xdr:nvSpPr>
      <xdr:spPr bwMode="auto">
        <a:xfrm>
          <a:off x="30891630"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134</xdr:row>
      <xdr:rowOff>153305</xdr:rowOff>
    </xdr:from>
    <xdr:to>
      <xdr:col>31</xdr:col>
      <xdr:colOff>778435</xdr:colOff>
      <xdr:row>154</xdr:row>
      <xdr:rowOff>58448</xdr:rowOff>
    </xdr:to>
    <xdr:sp macro="" textlink="">
      <xdr:nvSpPr>
        <xdr:cNvPr id="1595" name="Text Box 42" hidden="1">
          <a:extLst>
            <a:ext uri="{FF2B5EF4-FFF2-40B4-BE49-F238E27FC236}">
              <a16:creationId xmlns:a16="http://schemas.microsoft.com/office/drawing/2014/main" id="{A7B16997-175B-47B7-A6A9-084630D1192C}"/>
            </a:ext>
          </a:extLst>
        </xdr:cNvPr>
        <xdr:cNvSpPr txBox="1">
          <a:spLocks noChangeArrowheads="1"/>
        </xdr:cNvSpPr>
      </xdr:nvSpPr>
      <xdr:spPr bwMode="auto">
        <a:xfrm>
          <a:off x="22747755" y="27956780"/>
          <a:ext cx="4872130"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xdr:col>
      <xdr:colOff>56030</xdr:colOff>
      <xdr:row>0</xdr:row>
      <xdr:rowOff>33617</xdr:rowOff>
    </xdr:from>
    <xdr:to>
      <xdr:col>2</xdr:col>
      <xdr:colOff>715496</xdr:colOff>
      <xdr:row>1</xdr:row>
      <xdr:rowOff>129614</xdr:rowOff>
    </xdr:to>
    <xdr:sp macro="" textlink="">
      <xdr:nvSpPr>
        <xdr:cNvPr id="1596" name="Arrow: Pentagon 1595">
          <a:hlinkClick xmlns:r="http://schemas.openxmlformats.org/officeDocument/2006/relationships" r:id="rId1"/>
          <a:extLst>
            <a:ext uri="{FF2B5EF4-FFF2-40B4-BE49-F238E27FC236}">
              <a16:creationId xmlns:a16="http://schemas.microsoft.com/office/drawing/2014/main" id="{A9ABB7AB-0491-4543-BAC2-600BAACE2469}"/>
            </a:ext>
          </a:extLst>
        </xdr:cNvPr>
        <xdr:cNvSpPr/>
      </xdr:nvSpPr>
      <xdr:spPr>
        <a:xfrm>
          <a:off x="56030" y="30442"/>
          <a:ext cx="656291" cy="276972"/>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2</xdr:col>
      <xdr:colOff>52854</xdr:colOff>
      <xdr:row>2</xdr:row>
      <xdr:rowOff>0</xdr:rowOff>
    </xdr:from>
    <xdr:to>
      <xdr:col>2</xdr:col>
      <xdr:colOff>1139825</xdr:colOff>
      <xdr:row>2</xdr:row>
      <xdr:rowOff>464549</xdr:rowOff>
    </xdr:to>
    <xdr:sp macro="" textlink="">
      <xdr:nvSpPr>
        <xdr:cNvPr id="1597" name="Arrow: Pentagon 1596">
          <a:hlinkClick xmlns:r="http://schemas.openxmlformats.org/officeDocument/2006/relationships" r:id="rId2"/>
          <a:extLst>
            <a:ext uri="{FF2B5EF4-FFF2-40B4-BE49-F238E27FC236}">
              <a16:creationId xmlns:a16="http://schemas.microsoft.com/office/drawing/2014/main" id="{DD51C143-2C61-46CA-94D1-73AD38EE3888}"/>
            </a:ext>
          </a:extLst>
        </xdr:cNvPr>
        <xdr:cNvSpPr/>
      </xdr:nvSpPr>
      <xdr:spPr>
        <a:xfrm>
          <a:off x="49679" y="361950"/>
          <a:ext cx="1090146"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628650</xdr:colOff>
      <xdr:row>12</xdr:row>
      <xdr:rowOff>50427</xdr:rowOff>
    </xdr:from>
    <xdr:to>
      <xdr:col>21</xdr:col>
      <xdr:colOff>438150</xdr:colOff>
      <xdr:row>32</xdr:row>
      <xdr:rowOff>111872</xdr:rowOff>
    </xdr:to>
    <xdr:sp macro="" textlink="">
      <xdr:nvSpPr>
        <xdr:cNvPr id="1598" name="Text Box 123" hidden="1">
          <a:extLst>
            <a:ext uri="{FF2B5EF4-FFF2-40B4-BE49-F238E27FC236}">
              <a16:creationId xmlns:a16="http://schemas.microsoft.com/office/drawing/2014/main" id="{A8949F8B-92DC-417C-B973-D529EF6B158B}"/>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345514</xdr:rowOff>
    </xdr:from>
    <xdr:to>
      <xdr:col>9</xdr:col>
      <xdr:colOff>609600</xdr:colOff>
      <xdr:row>80</xdr:row>
      <xdr:rowOff>7255</xdr:rowOff>
    </xdr:to>
    <xdr:sp macro="" textlink="">
      <xdr:nvSpPr>
        <xdr:cNvPr id="1599" name="Text Box 122" hidden="1">
          <a:extLst>
            <a:ext uri="{FF2B5EF4-FFF2-40B4-BE49-F238E27FC236}">
              <a16:creationId xmlns:a16="http://schemas.microsoft.com/office/drawing/2014/main" id="{59670FA0-0892-454D-B5F6-75CA1C4C4FC0}"/>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342340</xdr:rowOff>
    </xdr:from>
    <xdr:to>
      <xdr:col>9</xdr:col>
      <xdr:colOff>628650</xdr:colOff>
      <xdr:row>80</xdr:row>
      <xdr:rowOff>67413</xdr:rowOff>
    </xdr:to>
    <xdr:sp macro="" textlink="">
      <xdr:nvSpPr>
        <xdr:cNvPr id="1600" name="Text Box 121" hidden="1">
          <a:extLst>
            <a:ext uri="{FF2B5EF4-FFF2-40B4-BE49-F238E27FC236}">
              <a16:creationId xmlns:a16="http://schemas.microsoft.com/office/drawing/2014/main" id="{0FB49E09-37C5-4E4B-B3C4-E51C6CB987D8}"/>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342340</xdr:rowOff>
    </xdr:from>
    <xdr:to>
      <xdr:col>9</xdr:col>
      <xdr:colOff>609600</xdr:colOff>
      <xdr:row>80</xdr:row>
      <xdr:rowOff>67413</xdr:rowOff>
    </xdr:to>
    <xdr:sp macro="" textlink="">
      <xdr:nvSpPr>
        <xdr:cNvPr id="1601" name="Text Box 120" hidden="1">
          <a:extLst>
            <a:ext uri="{FF2B5EF4-FFF2-40B4-BE49-F238E27FC236}">
              <a16:creationId xmlns:a16="http://schemas.microsoft.com/office/drawing/2014/main" id="{87B64F93-5227-4CFD-B64E-0D665B8C0B1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342340</xdr:rowOff>
    </xdr:from>
    <xdr:to>
      <xdr:col>9</xdr:col>
      <xdr:colOff>609600</xdr:colOff>
      <xdr:row>80</xdr:row>
      <xdr:rowOff>67413</xdr:rowOff>
    </xdr:to>
    <xdr:sp macro="" textlink="">
      <xdr:nvSpPr>
        <xdr:cNvPr id="1602" name="Text Box 119" hidden="1">
          <a:extLst>
            <a:ext uri="{FF2B5EF4-FFF2-40B4-BE49-F238E27FC236}">
              <a16:creationId xmlns:a16="http://schemas.microsoft.com/office/drawing/2014/main" id="{FDA65F18-0F05-4253-B5A5-292631C58A9B}"/>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21772</xdr:rowOff>
    </xdr:from>
    <xdr:to>
      <xdr:col>9</xdr:col>
      <xdr:colOff>609600</xdr:colOff>
      <xdr:row>85</xdr:row>
      <xdr:rowOff>149903</xdr:rowOff>
    </xdr:to>
    <xdr:sp macro="" textlink="">
      <xdr:nvSpPr>
        <xdr:cNvPr id="1603" name="Text Box 118" hidden="1">
          <a:extLst>
            <a:ext uri="{FF2B5EF4-FFF2-40B4-BE49-F238E27FC236}">
              <a16:creationId xmlns:a16="http://schemas.microsoft.com/office/drawing/2014/main" id="{D85FF6CB-79E4-4CB0-BA09-794108BDD045}"/>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153306</xdr:rowOff>
    </xdr:from>
    <xdr:to>
      <xdr:col>9</xdr:col>
      <xdr:colOff>609600</xdr:colOff>
      <xdr:row>102</xdr:row>
      <xdr:rowOff>18392</xdr:rowOff>
    </xdr:to>
    <xdr:sp macro="" textlink="">
      <xdr:nvSpPr>
        <xdr:cNvPr id="1604" name="Text Box 117" hidden="1">
          <a:extLst>
            <a:ext uri="{FF2B5EF4-FFF2-40B4-BE49-F238E27FC236}">
              <a16:creationId xmlns:a16="http://schemas.microsoft.com/office/drawing/2014/main" id="{30A1E058-DC8B-4490-B7D2-7A8EB21D81D3}"/>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75381</xdr:rowOff>
    </xdr:from>
    <xdr:to>
      <xdr:col>9</xdr:col>
      <xdr:colOff>609600</xdr:colOff>
      <xdr:row>102</xdr:row>
      <xdr:rowOff>116148</xdr:rowOff>
    </xdr:to>
    <xdr:sp macro="" textlink="">
      <xdr:nvSpPr>
        <xdr:cNvPr id="1605" name="Text Box 116" hidden="1">
          <a:extLst>
            <a:ext uri="{FF2B5EF4-FFF2-40B4-BE49-F238E27FC236}">
              <a16:creationId xmlns:a16="http://schemas.microsoft.com/office/drawing/2014/main" id="{4F07F9AC-C2E4-4F74-B10D-FC9086E322A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7814</xdr:rowOff>
    </xdr:from>
    <xdr:to>
      <xdr:col>9</xdr:col>
      <xdr:colOff>609600</xdr:colOff>
      <xdr:row>103</xdr:row>
      <xdr:rowOff>47438</xdr:rowOff>
    </xdr:to>
    <xdr:sp macro="" textlink="">
      <xdr:nvSpPr>
        <xdr:cNvPr id="1606" name="Text Box 115" hidden="1">
          <a:extLst>
            <a:ext uri="{FF2B5EF4-FFF2-40B4-BE49-F238E27FC236}">
              <a16:creationId xmlns:a16="http://schemas.microsoft.com/office/drawing/2014/main" id="{01F60156-AC07-40C0-AE0B-6F50B3763049}"/>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198324</xdr:rowOff>
    </xdr:to>
    <xdr:sp macro="" textlink="">
      <xdr:nvSpPr>
        <xdr:cNvPr id="1607" name="Text Box 114" hidden="1">
          <a:extLst>
            <a:ext uri="{FF2B5EF4-FFF2-40B4-BE49-F238E27FC236}">
              <a16:creationId xmlns:a16="http://schemas.microsoft.com/office/drawing/2014/main" id="{4FDB6C0C-D54F-46DB-AAB0-A847EE7A33B2}"/>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95997</xdr:rowOff>
    </xdr:from>
    <xdr:to>
      <xdr:col>9</xdr:col>
      <xdr:colOff>609600</xdr:colOff>
      <xdr:row>122</xdr:row>
      <xdr:rowOff>153304</xdr:rowOff>
    </xdr:to>
    <xdr:sp macro="" textlink="">
      <xdr:nvSpPr>
        <xdr:cNvPr id="1608" name="Text Box 113" hidden="1">
          <a:extLst>
            <a:ext uri="{FF2B5EF4-FFF2-40B4-BE49-F238E27FC236}">
              <a16:creationId xmlns:a16="http://schemas.microsoft.com/office/drawing/2014/main" id="{C91505B9-75F0-415A-AF43-87D9230804B0}"/>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57798</xdr:rowOff>
    </xdr:from>
    <xdr:to>
      <xdr:col>9</xdr:col>
      <xdr:colOff>609600</xdr:colOff>
      <xdr:row>123</xdr:row>
      <xdr:rowOff>125290</xdr:rowOff>
    </xdr:to>
    <xdr:sp macro="" textlink="">
      <xdr:nvSpPr>
        <xdr:cNvPr id="1609" name="Text Box 112" hidden="1">
          <a:extLst>
            <a:ext uri="{FF2B5EF4-FFF2-40B4-BE49-F238E27FC236}">
              <a16:creationId xmlns:a16="http://schemas.microsoft.com/office/drawing/2014/main" id="{B0B0FA3E-D93A-4569-A65E-5E896E664459}"/>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25616</xdr:rowOff>
    </xdr:from>
    <xdr:to>
      <xdr:col>9</xdr:col>
      <xdr:colOff>609600</xdr:colOff>
      <xdr:row>124</xdr:row>
      <xdr:rowOff>122115</xdr:rowOff>
    </xdr:to>
    <xdr:sp macro="" textlink="">
      <xdr:nvSpPr>
        <xdr:cNvPr id="1610" name="Text Box 111" hidden="1">
          <a:extLst>
            <a:ext uri="{FF2B5EF4-FFF2-40B4-BE49-F238E27FC236}">
              <a16:creationId xmlns:a16="http://schemas.microsoft.com/office/drawing/2014/main" id="{C3A55B92-54D1-4455-ACC8-2A8EFC0E6FAF}"/>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228816</xdr:rowOff>
    </xdr:from>
    <xdr:to>
      <xdr:col>9</xdr:col>
      <xdr:colOff>609600</xdr:colOff>
      <xdr:row>124</xdr:row>
      <xdr:rowOff>122115</xdr:rowOff>
    </xdr:to>
    <xdr:sp macro="" textlink="">
      <xdr:nvSpPr>
        <xdr:cNvPr id="1611" name="Text Box 110" hidden="1">
          <a:extLst>
            <a:ext uri="{FF2B5EF4-FFF2-40B4-BE49-F238E27FC236}">
              <a16:creationId xmlns:a16="http://schemas.microsoft.com/office/drawing/2014/main" id="{E9ADFADD-8178-4A24-9A30-F596663F9972}"/>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1612" name="Text Box 109" hidden="1">
          <a:extLst>
            <a:ext uri="{FF2B5EF4-FFF2-40B4-BE49-F238E27FC236}">
              <a16:creationId xmlns:a16="http://schemas.microsoft.com/office/drawing/2014/main" id="{8EDA5D78-8BA4-45F8-9526-BCC45BD89A3A}"/>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50426</xdr:rowOff>
    </xdr:from>
    <xdr:to>
      <xdr:col>25</xdr:col>
      <xdr:colOff>609600</xdr:colOff>
      <xdr:row>40</xdr:row>
      <xdr:rowOff>31377</xdr:rowOff>
    </xdr:to>
    <xdr:sp macro="" textlink="">
      <xdr:nvSpPr>
        <xdr:cNvPr id="1613" name="Text Box 108" hidden="1">
          <a:extLst>
            <a:ext uri="{FF2B5EF4-FFF2-40B4-BE49-F238E27FC236}">
              <a16:creationId xmlns:a16="http://schemas.microsoft.com/office/drawing/2014/main" id="{60A13EFB-2D09-45E9-A6A3-D907FC6B49E9}"/>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50427</xdr:rowOff>
    </xdr:from>
    <xdr:to>
      <xdr:col>25</xdr:col>
      <xdr:colOff>609600</xdr:colOff>
      <xdr:row>49</xdr:row>
      <xdr:rowOff>31376</xdr:rowOff>
    </xdr:to>
    <xdr:sp macro="" textlink="">
      <xdr:nvSpPr>
        <xdr:cNvPr id="1614" name="Text Box 107" hidden="1">
          <a:extLst>
            <a:ext uri="{FF2B5EF4-FFF2-40B4-BE49-F238E27FC236}">
              <a16:creationId xmlns:a16="http://schemas.microsoft.com/office/drawing/2014/main" id="{913BA4D7-D278-48BD-B772-81F7D346AD18}"/>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84015</xdr:rowOff>
    </xdr:from>
    <xdr:to>
      <xdr:col>25</xdr:col>
      <xdr:colOff>609600</xdr:colOff>
      <xdr:row>152</xdr:row>
      <xdr:rowOff>78557</xdr:rowOff>
    </xdr:to>
    <xdr:sp macro="" textlink="">
      <xdr:nvSpPr>
        <xdr:cNvPr id="1615" name="Text Box 106" hidden="1">
          <a:extLst>
            <a:ext uri="{FF2B5EF4-FFF2-40B4-BE49-F238E27FC236}">
              <a16:creationId xmlns:a16="http://schemas.microsoft.com/office/drawing/2014/main" id="{064C302E-8AC1-423A-938C-89E151FFAE9D}"/>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50427</xdr:rowOff>
    </xdr:from>
    <xdr:to>
      <xdr:col>16</xdr:col>
      <xdr:colOff>0</xdr:colOff>
      <xdr:row>59</xdr:row>
      <xdr:rowOff>26894</xdr:rowOff>
    </xdr:to>
    <xdr:sp macro="" textlink="">
      <xdr:nvSpPr>
        <xdr:cNvPr id="1616" name="Text Box 105" hidden="1">
          <a:extLst>
            <a:ext uri="{FF2B5EF4-FFF2-40B4-BE49-F238E27FC236}">
              <a16:creationId xmlns:a16="http://schemas.microsoft.com/office/drawing/2014/main" id="{D4C6B517-A2F3-413D-88B5-5B8ABE3830B0}"/>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50426</xdr:rowOff>
    </xdr:from>
    <xdr:to>
      <xdr:col>28</xdr:col>
      <xdr:colOff>628650</xdr:colOff>
      <xdr:row>40</xdr:row>
      <xdr:rowOff>126627</xdr:rowOff>
    </xdr:to>
    <xdr:sp macro="" textlink="">
      <xdr:nvSpPr>
        <xdr:cNvPr id="1617" name="Text Box 104" hidden="1">
          <a:extLst>
            <a:ext uri="{FF2B5EF4-FFF2-40B4-BE49-F238E27FC236}">
              <a16:creationId xmlns:a16="http://schemas.microsoft.com/office/drawing/2014/main" id="{861BA6BF-78C7-4AC7-9505-760B80270346}"/>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50427</xdr:rowOff>
    </xdr:from>
    <xdr:to>
      <xdr:col>28</xdr:col>
      <xdr:colOff>628650</xdr:colOff>
      <xdr:row>49</xdr:row>
      <xdr:rowOff>107576</xdr:rowOff>
    </xdr:to>
    <xdr:sp macro="" textlink="">
      <xdr:nvSpPr>
        <xdr:cNvPr id="1618" name="Text Box 103" hidden="1">
          <a:extLst>
            <a:ext uri="{FF2B5EF4-FFF2-40B4-BE49-F238E27FC236}">
              <a16:creationId xmlns:a16="http://schemas.microsoft.com/office/drawing/2014/main" id="{94679F4F-DEC9-417F-987F-C89A7C35AF02}"/>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132</xdr:row>
      <xdr:rowOff>84015</xdr:rowOff>
    </xdr:from>
    <xdr:to>
      <xdr:col>28</xdr:col>
      <xdr:colOff>628650</xdr:colOff>
      <xdr:row>152</xdr:row>
      <xdr:rowOff>153305</xdr:rowOff>
    </xdr:to>
    <xdr:sp macro="" textlink="">
      <xdr:nvSpPr>
        <xdr:cNvPr id="1619" name="Text Box 102" hidden="1">
          <a:extLst>
            <a:ext uri="{FF2B5EF4-FFF2-40B4-BE49-F238E27FC236}">
              <a16:creationId xmlns:a16="http://schemas.microsoft.com/office/drawing/2014/main" id="{CB7F7DB0-F340-4884-851D-1B85EA7576B0}"/>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50426</xdr:rowOff>
    </xdr:from>
    <xdr:to>
      <xdr:col>29</xdr:col>
      <xdr:colOff>619125</xdr:colOff>
      <xdr:row>40</xdr:row>
      <xdr:rowOff>88527</xdr:rowOff>
    </xdr:to>
    <xdr:sp macro="" textlink="">
      <xdr:nvSpPr>
        <xdr:cNvPr id="1620" name="Text Box 101" hidden="1">
          <a:extLst>
            <a:ext uri="{FF2B5EF4-FFF2-40B4-BE49-F238E27FC236}">
              <a16:creationId xmlns:a16="http://schemas.microsoft.com/office/drawing/2014/main" id="{31DC1379-F4CC-45C7-8526-55392C548C47}"/>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50427</xdr:rowOff>
    </xdr:from>
    <xdr:to>
      <xdr:col>29</xdr:col>
      <xdr:colOff>619125</xdr:colOff>
      <xdr:row>49</xdr:row>
      <xdr:rowOff>50426</xdr:rowOff>
    </xdr:to>
    <xdr:sp macro="" textlink="">
      <xdr:nvSpPr>
        <xdr:cNvPr id="1621" name="Text Box 100" hidden="1">
          <a:extLst>
            <a:ext uri="{FF2B5EF4-FFF2-40B4-BE49-F238E27FC236}">
              <a16:creationId xmlns:a16="http://schemas.microsoft.com/office/drawing/2014/main" id="{A5805AB1-036B-4CBE-96A7-C63161879D7E}"/>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132</xdr:row>
      <xdr:rowOff>125290</xdr:rowOff>
    </xdr:from>
    <xdr:to>
      <xdr:col>29</xdr:col>
      <xdr:colOff>619125</xdr:colOff>
      <xdr:row>152</xdr:row>
      <xdr:rowOff>153305</xdr:rowOff>
    </xdr:to>
    <xdr:sp macro="" textlink="">
      <xdr:nvSpPr>
        <xdr:cNvPr id="1622" name="Text Box 99" hidden="1">
          <a:extLst>
            <a:ext uri="{FF2B5EF4-FFF2-40B4-BE49-F238E27FC236}">
              <a16:creationId xmlns:a16="http://schemas.microsoft.com/office/drawing/2014/main" id="{FE63494F-394D-48CB-96BB-8CB18AA4D108}"/>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240661</xdr:rowOff>
    </xdr:to>
    <xdr:sp macro="" textlink="">
      <xdr:nvSpPr>
        <xdr:cNvPr id="1623" name="Text Box 98" hidden="1">
          <a:extLst>
            <a:ext uri="{FF2B5EF4-FFF2-40B4-BE49-F238E27FC236}">
              <a16:creationId xmlns:a16="http://schemas.microsoft.com/office/drawing/2014/main" id="{B7E7F45E-C754-431A-964B-857F71A61A84}"/>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666750</xdr:colOff>
      <xdr:row>62</xdr:row>
      <xdr:rowOff>240661</xdr:rowOff>
    </xdr:to>
    <xdr:sp macro="" textlink="">
      <xdr:nvSpPr>
        <xdr:cNvPr id="1624" name="Text Box 97" hidden="1">
          <a:extLst>
            <a:ext uri="{FF2B5EF4-FFF2-40B4-BE49-F238E27FC236}">
              <a16:creationId xmlns:a16="http://schemas.microsoft.com/office/drawing/2014/main" id="{65C327F1-A630-4949-973E-76EEE6D77BED}"/>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25</xdr:row>
      <xdr:rowOff>145117</xdr:rowOff>
    </xdr:from>
    <xdr:to>
      <xdr:col>34</xdr:col>
      <xdr:colOff>161925</xdr:colOff>
      <xdr:row>45</xdr:row>
      <xdr:rowOff>141941</xdr:rowOff>
    </xdr:to>
    <xdr:sp macro="" textlink="">
      <xdr:nvSpPr>
        <xdr:cNvPr id="1625" name="Text Box 96" hidden="1">
          <a:extLst>
            <a:ext uri="{FF2B5EF4-FFF2-40B4-BE49-F238E27FC236}">
              <a16:creationId xmlns:a16="http://schemas.microsoft.com/office/drawing/2014/main" id="{801E573A-3200-481A-BE9A-566E0BC7C5D3}"/>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60</xdr:row>
      <xdr:rowOff>345514</xdr:rowOff>
    </xdr:from>
    <xdr:to>
      <xdr:col>18</xdr:col>
      <xdr:colOff>571500</xdr:colOff>
      <xdr:row>80</xdr:row>
      <xdr:rowOff>7255</xdr:rowOff>
    </xdr:to>
    <xdr:sp macro="" textlink="">
      <xdr:nvSpPr>
        <xdr:cNvPr id="1626" name="Text Box 95" hidden="1">
          <a:extLst>
            <a:ext uri="{FF2B5EF4-FFF2-40B4-BE49-F238E27FC236}">
              <a16:creationId xmlns:a16="http://schemas.microsoft.com/office/drawing/2014/main" id="{03AF6AAD-F8C6-4BCA-B74F-841C833A1BF2}"/>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145597</xdr:rowOff>
    </xdr:from>
    <xdr:to>
      <xdr:col>18</xdr:col>
      <xdr:colOff>609600</xdr:colOff>
      <xdr:row>86</xdr:row>
      <xdr:rowOff>48303</xdr:rowOff>
    </xdr:to>
    <xdr:sp macro="" textlink="">
      <xdr:nvSpPr>
        <xdr:cNvPr id="1627" name="Text Box 94" hidden="1">
          <a:extLst>
            <a:ext uri="{FF2B5EF4-FFF2-40B4-BE49-F238E27FC236}">
              <a16:creationId xmlns:a16="http://schemas.microsoft.com/office/drawing/2014/main" id="{691CA7F9-1B28-491A-A189-B84BB4157A2C}"/>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240661</xdr:rowOff>
    </xdr:to>
    <xdr:sp macro="" textlink="">
      <xdr:nvSpPr>
        <xdr:cNvPr id="1628" name="Text Box 93" hidden="1">
          <a:extLst>
            <a:ext uri="{FF2B5EF4-FFF2-40B4-BE49-F238E27FC236}">
              <a16:creationId xmlns:a16="http://schemas.microsoft.com/office/drawing/2014/main" id="{66F51BEC-BF5C-46D5-BC4C-58B014D19F54}"/>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50426</xdr:rowOff>
    </xdr:from>
    <xdr:to>
      <xdr:col>30</xdr:col>
      <xdr:colOff>523875</xdr:colOff>
      <xdr:row>40</xdr:row>
      <xdr:rowOff>107577</xdr:rowOff>
    </xdr:to>
    <xdr:sp macro="" textlink="">
      <xdr:nvSpPr>
        <xdr:cNvPr id="1629" name="Text Box 92" hidden="1">
          <a:extLst>
            <a:ext uri="{FF2B5EF4-FFF2-40B4-BE49-F238E27FC236}">
              <a16:creationId xmlns:a16="http://schemas.microsoft.com/office/drawing/2014/main" id="{84D05D34-353C-4F1D-9254-DAF010C5085E}"/>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50427</xdr:rowOff>
    </xdr:from>
    <xdr:to>
      <xdr:col>30</xdr:col>
      <xdr:colOff>523875</xdr:colOff>
      <xdr:row>49</xdr:row>
      <xdr:rowOff>107576</xdr:rowOff>
    </xdr:to>
    <xdr:sp macro="" textlink="">
      <xdr:nvSpPr>
        <xdr:cNvPr id="1630" name="Text Box 91" hidden="1">
          <a:extLst>
            <a:ext uri="{FF2B5EF4-FFF2-40B4-BE49-F238E27FC236}">
              <a16:creationId xmlns:a16="http://schemas.microsoft.com/office/drawing/2014/main" id="{96A8D4D8-7FEA-44AA-92AE-761D028FD6C1}"/>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10990</xdr:rowOff>
    </xdr:from>
    <xdr:to>
      <xdr:col>30</xdr:col>
      <xdr:colOff>523875</xdr:colOff>
      <xdr:row>155</xdr:row>
      <xdr:rowOff>49090</xdr:rowOff>
    </xdr:to>
    <xdr:sp macro="" textlink="">
      <xdr:nvSpPr>
        <xdr:cNvPr id="1631" name="Text Box 90" hidden="1">
          <a:extLst>
            <a:ext uri="{FF2B5EF4-FFF2-40B4-BE49-F238E27FC236}">
              <a16:creationId xmlns:a16="http://schemas.microsoft.com/office/drawing/2014/main" id="{0AA38460-D5DA-4EC4-AF21-FB6E2CE694AA}"/>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69476</xdr:rowOff>
    </xdr:from>
    <xdr:to>
      <xdr:col>31</xdr:col>
      <xdr:colOff>523875</xdr:colOff>
      <xdr:row>40</xdr:row>
      <xdr:rowOff>107577</xdr:rowOff>
    </xdr:to>
    <xdr:sp macro="" textlink="">
      <xdr:nvSpPr>
        <xdr:cNvPr id="1632" name="Text Box 89" hidden="1">
          <a:extLst>
            <a:ext uri="{FF2B5EF4-FFF2-40B4-BE49-F238E27FC236}">
              <a16:creationId xmlns:a16="http://schemas.microsoft.com/office/drawing/2014/main" id="{B503B636-E01B-45DC-96A2-C6CB44E5504C}"/>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69477</xdr:rowOff>
    </xdr:from>
    <xdr:to>
      <xdr:col>31</xdr:col>
      <xdr:colOff>523875</xdr:colOff>
      <xdr:row>49</xdr:row>
      <xdr:rowOff>107576</xdr:rowOff>
    </xdr:to>
    <xdr:sp macro="" textlink="">
      <xdr:nvSpPr>
        <xdr:cNvPr id="1633" name="Text Box 88" hidden="1">
          <a:extLst>
            <a:ext uri="{FF2B5EF4-FFF2-40B4-BE49-F238E27FC236}">
              <a16:creationId xmlns:a16="http://schemas.microsoft.com/office/drawing/2014/main" id="{CF4E5DF4-D48C-4BB3-A2DA-55471D843594}"/>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10990</xdr:rowOff>
    </xdr:from>
    <xdr:to>
      <xdr:col>31</xdr:col>
      <xdr:colOff>523875</xdr:colOff>
      <xdr:row>155</xdr:row>
      <xdr:rowOff>49090</xdr:rowOff>
    </xdr:to>
    <xdr:sp macro="" textlink="">
      <xdr:nvSpPr>
        <xdr:cNvPr id="1634" name="Text Box 87" hidden="1">
          <a:extLst>
            <a:ext uri="{FF2B5EF4-FFF2-40B4-BE49-F238E27FC236}">
              <a16:creationId xmlns:a16="http://schemas.microsoft.com/office/drawing/2014/main" id="{D70D8D5F-59F0-46B2-AA6D-E82DF1926845}"/>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20</xdr:row>
      <xdr:rowOff>50426</xdr:rowOff>
    </xdr:from>
    <xdr:to>
      <xdr:col>31</xdr:col>
      <xdr:colOff>676275</xdr:colOff>
      <xdr:row>40</xdr:row>
      <xdr:rowOff>50427</xdr:rowOff>
    </xdr:to>
    <xdr:sp macro="" textlink="">
      <xdr:nvSpPr>
        <xdr:cNvPr id="1635" name="Text Box 86" hidden="1">
          <a:extLst>
            <a:ext uri="{FF2B5EF4-FFF2-40B4-BE49-F238E27FC236}">
              <a16:creationId xmlns:a16="http://schemas.microsoft.com/office/drawing/2014/main" id="{94EFA4D5-CDEE-4C85-BE72-A16767118AA5}"/>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29</xdr:row>
      <xdr:rowOff>50427</xdr:rowOff>
    </xdr:from>
    <xdr:to>
      <xdr:col>31</xdr:col>
      <xdr:colOff>676275</xdr:colOff>
      <xdr:row>49</xdr:row>
      <xdr:rowOff>69476</xdr:rowOff>
    </xdr:to>
    <xdr:sp macro="" textlink="">
      <xdr:nvSpPr>
        <xdr:cNvPr id="1636" name="Text Box 85" hidden="1">
          <a:extLst>
            <a:ext uri="{FF2B5EF4-FFF2-40B4-BE49-F238E27FC236}">
              <a16:creationId xmlns:a16="http://schemas.microsoft.com/office/drawing/2014/main" id="{E6A95A8A-56BD-400E-8718-134B32FFF8C2}"/>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14</xdr:row>
      <xdr:rowOff>31376</xdr:rowOff>
    </xdr:from>
    <xdr:to>
      <xdr:col>40</xdr:col>
      <xdr:colOff>438150</xdr:colOff>
      <xdr:row>34</xdr:row>
      <xdr:rowOff>57897</xdr:rowOff>
    </xdr:to>
    <xdr:sp macro="" textlink="">
      <xdr:nvSpPr>
        <xdr:cNvPr id="1637" name="Text Box 84" hidden="1">
          <a:extLst>
            <a:ext uri="{FF2B5EF4-FFF2-40B4-BE49-F238E27FC236}">
              <a16:creationId xmlns:a16="http://schemas.microsoft.com/office/drawing/2014/main" id="{4C28548F-3D48-4D6F-8A2B-92F95263979C}"/>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134</xdr:row>
      <xdr:rowOff>153305</xdr:rowOff>
    </xdr:from>
    <xdr:to>
      <xdr:col>32</xdr:col>
      <xdr:colOff>409575</xdr:colOff>
      <xdr:row>154</xdr:row>
      <xdr:rowOff>58448</xdr:rowOff>
    </xdr:to>
    <xdr:sp macro="" textlink="">
      <xdr:nvSpPr>
        <xdr:cNvPr id="1638" name="Text Box 83" hidden="1">
          <a:extLst>
            <a:ext uri="{FF2B5EF4-FFF2-40B4-BE49-F238E27FC236}">
              <a16:creationId xmlns:a16="http://schemas.microsoft.com/office/drawing/2014/main" id="{B2337D34-8380-4524-836B-5696CE81C14A}"/>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50427</xdr:rowOff>
    </xdr:from>
    <xdr:to>
      <xdr:col>21</xdr:col>
      <xdr:colOff>438150</xdr:colOff>
      <xdr:row>32</xdr:row>
      <xdr:rowOff>111872</xdr:rowOff>
    </xdr:to>
    <xdr:sp macro="" textlink="">
      <xdr:nvSpPr>
        <xdr:cNvPr id="1639" name="Text Box 164" hidden="1">
          <a:extLst>
            <a:ext uri="{FF2B5EF4-FFF2-40B4-BE49-F238E27FC236}">
              <a16:creationId xmlns:a16="http://schemas.microsoft.com/office/drawing/2014/main" id="{5E1313FE-95E8-4FF3-B3DD-A1A008449E83}"/>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345514</xdr:rowOff>
    </xdr:from>
    <xdr:to>
      <xdr:col>9</xdr:col>
      <xdr:colOff>609600</xdr:colOff>
      <xdr:row>80</xdr:row>
      <xdr:rowOff>7255</xdr:rowOff>
    </xdr:to>
    <xdr:sp macro="" textlink="">
      <xdr:nvSpPr>
        <xdr:cNvPr id="1640" name="Text Box 163" hidden="1">
          <a:extLst>
            <a:ext uri="{FF2B5EF4-FFF2-40B4-BE49-F238E27FC236}">
              <a16:creationId xmlns:a16="http://schemas.microsoft.com/office/drawing/2014/main" id="{B2365A9A-4902-4E8B-B742-F88DE945EB0B}"/>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342340</xdr:rowOff>
    </xdr:from>
    <xdr:to>
      <xdr:col>9</xdr:col>
      <xdr:colOff>628650</xdr:colOff>
      <xdr:row>80</xdr:row>
      <xdr:rowOff>67413</xdr:rowOff>
    </xdr:to>
    <xdr:sp macro="" textlink="">
      <xdr:nvSpPr>
        <xdr:cNvPr id="1641" name="Text Box 162" hidden="1">
          <a:extLst>
            <a:ext uri="{FF2B5EF4-FFF2-40B4-BE49-F238E27FC236}">
              <a16:creationId xmlns:a16="http://schemas.microsoft.com/office/drawing/2014/main" id="{1790D2FF-72BF-4393-92D7-294FEA4EE26A}"/>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342340</xdr:rowOff>
    </xdr:from>
    <xdr:to>
      <xdr:col>9</xdr:col>
      <xdr:colOff>609600</xdr:colOff>
      <xdr:row>80</xdr:row>
      <xdr:rowOff>67413</xdr:rowOff>
    </xdr:to>
    <xdr:sp macro="" textlink="">
      <xdr:nvSpPr>
        <xdr:cNvPr id="1642" name="Text Box 161" hidden="1">
          <a:extLst>
            <a:ext uri="{FF2B5EF4-FFF2-40B4-BE49-F238E27FC236}">
              <a16:creationId xmlns:a16="http://schemas.microsoft.com/office/drawing/2014/main" id="{AA6A5AFF-AE7F-45AE-83E1-23381100D0B7}"/>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342340</xdr:rowOff>
    </xdr:from>
    <xdr:to>
      <xdr:col>9</xdr:col>
      <xdr:colOff>609600</xdr:colOff>
      <xdr:row>80</xdr:row>
      <xdr:rowOff>67413</xdr:rowOff>
    </xdr:to>
    <xdr:sp macro="" textlink="">
      <xdr:nvSpPr>
        <xdr:cNvPr id="1643" name="Text Box 160" hidden="1">
          <a:extLst>
            <a:ext uri="{FF2B5EF4-FFF2-40B4-BE49-F238E27FC236}">
              <a16:creationId xmlns:a16="http://schemas.microsoft.com/office/drawing/2014/main" id="{34009725-7494-4207-A685-5602F7F6AEC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21772</xdr:rowOff>
    </xdr:from>
    <xdr:to>
      <xdr:col>9</xdr:col>
      <xdr:colOff>609600</xdr:colOff>
      <xdr:row>85</xdr:row>
      <xdr:rowOff>149903</xdr:rowOff>
    </xdr:to>
    <xdr:sp macro="" textlink="">
      <xdr:nvSpPr>
        <xdr:cNvPr id="1644" name="Text Box 159" hidden="1">
          <a:extLst>
            <a:ext uri="{FF2B5EF4-FFF2-40B4-BE49-F238E27FC236}">
              <a16:creationId xmlns:a16="http://schemas.microsoft.com/office/drawing/2014/main" id="{DCDCFD99-9FE9-4114-A49F-45AC9C9A3BB3}"/>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153306</xdr:rowOff>
    </xdr:from>
    <xdr:to>
      <xdr:col>9</xdr:col>
      <xdr:colOff>609600</xdr:colOff>
      <xdr:row>102</xdr:row>
      <xdr:rowOff>18392</xdr:rowOff>
    </xdr:to>
    <xdr:sp macro="" textlink="">
      <xdr:nvSpPr>
        <xdr:cNvPr id="1645" name="Text Box 158" hidden="1">
          <a:extLst>
            <a:ext uri="{FF2B5EF4-FFF2-40B4-BE49-F238E27FC236}">
              <a16:creationId xmlns:a16="http://schemas.microsoft.com/office/drawing/2014/main" id="{0015EEA0-BBC0-4F34-83DD-ECC22C3EAC65}"/>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75381</xdr:rowOff>
    </xdr:from>
    <xdr:to>
      <xdr:col>9</xdr:col>
      <xdr:colOff>609600</xdr:colOff>
      <xdr:row>102</xdr:row>
      <xdr:rowOff>116148</xdr:rowOff>
    </xdr:to>
    <xdr:sp macro="" textlink="">
      <xdr:nvSpPr>
        <xdr:cNvPr id="1646" name="Text Box 157" hidden="1">
          <a:extLst>
            <a:ext uri="{FF2B5EF4-FFF2-40B4-BE49-F238E27FC236}">
              <a16:creationId xmlns:a16="http://schemas.microsoft.com/office/drawing/2014/main" id="{EEAF8232-188E-4224-BFAA-7D9FBBEE505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7814</xdr:rowOff>
    </xdr:from>
    <xdr:to>
      <xdr:col>9</xdr:col>
      <xdr:colOff>609600</xdr:colOff>
      <xdr:row>103</xdr:row>
      <xdr:rowOff>47438</xdr:rowOff>
    </xdr:to>
    <xdr:sp macro="" textlink="">
      <xdr:nvSpPr>
        <xdr:cNvPr id="1647" name="Text Box 156" hidden="1">
          <a:extLst>
            <a:ext uri="{FF2B5EF4-FFF2-40B4-BE49-F238E27FC236}">
              <a16:creationId xmlns:a16="http://schemas.microsoft.com/office/drawing/2014/main" id="{F94F220D-C0FC-4CF5-95C9-969242D57873}"/>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198324</xdr:rowOff>
    </xdr:to>
    <xdr:sp macro="" textlink="">
      <xdr:nvSpPr>
        <xdr:cNvPr id="1648" name="Text Box 155" hidden="1">
          <a:extLst>
            <a:ext uri="{FF2B5EF4-FFF2-40B4-BE49-F238E27FC236}">
              <a16:creationId xmlns:a16="http://schemas.microsoft.com/office/drawing/2014/main" id="{1F6E2836-C25F-44EF-BD74-BEF6E2FDAC4A}"/>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95997</xdr:rowOff>
    </xdr:from>
    <xdr:to>
      <xdr:col>9</xdr:col>
      <xdr:colOff>609600</xdr:colOff>
      <xdr:row>122</xdr:row>
      <xdr:rowOff>153304</xdr:rowOff>
    </xdr:to>
    <xdr:sp macro="" textlink="">
      <xdr:nvSpPr>
        <xdr:cNvPr id="1649" name="Text Box 154" hidden="1">
          <a:extLst>
            <a:ext uri="{FF2B5EF4-FFF2-40B4-BE49-F238E27FC236}">
              <a16:creationId xmlns:a16="http://schemas.microsoft.com/office/drawing/2014/main" id="{C63B31B3-BE2E-4587-8097-7E389AD1AF2B}"/>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57798</xdr:rowOff>
    </xdr:from>
    <xdr:to>
      <xdr:col>9</xdr:col>
      <xdr:colOff>609600</xdr:colOff>
      <xdr:row>123</xdr:row>
      <xdr:rowOff>125290</xdr:rowOff>
    </xdr:to>
    <xdr:sp macro="" textlink="">
      <xdr:nvSpPr>
        <xdr:cNvPr id="1650" name="Text Box 153" hidden="1">
          <a:extLst>
            <a:ext uri="{FF2B5EF4-FFF2-40B4-BE49-F238E27FC236}">
              <a16:creationId xmlns:a16="http://schemas.microsoft.com/office/drawing/2014/main" id="{10C75FC9-807E-43A5-9FE5-DD657971C794}"/>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25616</xdr:rowOff>
    </xdr:from>
    <xdr:to>
      <xdr:col>9</xdr:col>
      <xdr:colOff>609600</xdr:colOff>
      <xdr:row>124</xdr:row>
      <xdr:rowOff>122115</xdr:rowOff>
    </xdr:to>
    <xdr:sp macro="" textlink="">
      <xdr:nvSpPr>
        <xdr:cNvPr id="1651" name="Text Box 152" hidden="1">
          <a:extLst>
            <a:ext uri="{FF2B5EF4-FFF2-40B4-BE49-F238E27FC236}">
              <a16:creationId xmlns:a16="http://schemas.microsoft.com/office/drawing/2014/main" id="{EFB318BB-C504-46C3-9388-76B10AC0CBF2}"/>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228816</xdr:rowOff>
    </xdr:from>
    <xdr:to>
      <xdr:col>9</xdr:col>
      <xdr:colOff>609600</xdr:colOff>
      <xdr:row>124</xdr:row>
      <xdr:rowOff>122115</xdr:rowOff>
    </xdr:to>
    <xdr:sp macro="" textlink="">
      <xdr:nvSpPr>
        <xdr:cNvPr id="1652" name="Text Box 151" hidden="1">
          <a:extLst>
            <a:ext uri="{FF2B5EF4-FFF2-40B4-BE49-F238E27FC236}">
              <a16:creationId xmlns:a16="http://schemas.microsoft.com/office/drawing/2014/main" id="{CB6487C2-D40D-4239-9C8D-7B3A17ABF3CF}"/>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1653" name="Text Box 150" hidden="1">
          <a:extLst>
            <a:ext uri="{FF2B5EF4-FFF2-40B4-BE49-F238E27FC236}">
              <a16:creationId xmlns:a16="http://schemas.microsoft.com/office/drawing/2014/main" id="{B89630F7-75EA-4B3F-9571-C66490C48A94}"/>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50426</xdr:rowOff>
    </xdr:from>
    <xdr:to>
      <xdr:col>25</xdr:col>
      <xdr:colOff>609600</xdr:colOff>
      <xdr:row>40</xdr:row>
      <xdr:rowOff>31377</xdr:rowOff>
    </xdr:to>
    <xdr:sp macro="" textlink="">
      <xdr:nvSpPr>
        <xdr:cNvPr id="1654" name="Text Box 149" hidden="1">
          <a:extLst>
            <a:ext uri="{FF2B5EF4-FFF2-40B4-BE49-F238E27FC236}">
              <a16:creationId xmlns:a16="http://schemas.microsoft.com/office/drawing/2014/main" id="{FB710FF2-BD50-427E-9C9D-1E7380A892E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50427</xdr:rowOff>
    </xdr:from>
    <xdr:to>
      <xdr:col>25</xdr:col>
      <xdr:colOff>609600</xdr:colOff>
      <xdr:row>49</xdr:row>
      <xdr:rowOff>31376</xdr:rowOff>
    </xdr:to>
    <xdr:sp macro="" textlink="">
      <xdr:nvSpPr>
        <xdr:cNvPr id="1655" name="Text Box 148" hidden="1">
          <a:extLst>
            <a:ext uri="{FF2B5EF4-FFF2-40B4-BE49-F238E27FC236}">
              <a16:creationId xmlns:a16="http://schemas.microsoft.com/office/drawing/2014/main" id="{7A741914-3ED3-4E79-8A0E-FD821DE0436C}"/>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84015</xdr:rowOff>
    </xdr:from>
    <xdr:to>
      <xdr:col>25</xdr:col>
      <xdr:colOff>609600</xdr:colOff>
      <xdr:row>152</xdr:row>
      <xdr:rowOff>78557</xdr:rowOff>
    </xdr:to>
    <xdr:sp macro="" textlink="">
      <xdr:nvSpPr>
        <xdr:cNvPr id="1656" name="Text Box 147" hidden="1">
          <a:extLst>
            <a:ext uri="{FF2B5EF4-FFF2-40B4-BE49-F238E27FC236}">
              <a16:creationId xmlns:a16="http://schemas.microsoft.com/office/drawing/2014/main" id="{79832F29-8FA2-442E-931C-12D733BD0A48}"/>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50427</xdr:rowOff>
    </xdr:from>
    <xdr:to>
      <xdr:col>16</xdr:col>
      <xdr:colOff>0</xdr:colOff>
      <xdr:row>59</xdr:row>
      <xdr:rowOff>26894</xdr:rowOff>
    </xdr:to>
    <xdr:sp macro="" textlink="">
      <xdr:nvSpPr>
        <xdr:cNvPr id="1657" name="Text Box 146" hidden="1">
          <a:extLst>
            <a:ext uri="{FF2B5EF4-FFF2-40B4-BE49-F238E27FC236}">
              <a16:creationId xmlns:a16="http://schemas.microsoft.com/office/drawing/2014/main" id="{35CD3940-0D82-477B-9AE3-B2A0E7C36CD6}"/>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50426</xdr:rowOff>
    </xdr:from>
    <xdr:to>
      <xdr:col>28</xdr:col>
      <xdr:colOff>628650</xdr:colOff>
      <xdr:row>40</xdr:row>
      <xdr:rowOff>126627</xdr:rowOff>
    </xdr:to>
    <xdr:sp macro="" textlink="">
      <xdr:nvSpPr>
        <xdr:cNvPr id="1658" name="Text Box 145" hidden="1">
          <a:extLst>
            <a:ext uri="{FF2B5EF4-FFF2-40B4-BE49-F238E27FC236}">
              <a16:creationId xmlns:a16="http://schemas.microsoft.com/office/drawing/2014/main" id="{81AC57F6-ECB9-4705-A3D9-179D8B2AB041}"/>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50427</xdr:rowOff>
    </xdr:from>
    <xdr:to>
      <xdr:col>28</xdr:col>
      <xdr:colOff>628650</xdr:colOff>
      <xdr:row>49</xdr:row>
      <xdr:rowOff>107576</xdr:rowOff>
    </xdr:to>
    <xdr:sp macro="" textlink="">
      <xdr:nvSpPr>
        <xdr:cNvPr id="1659" name="Text Box 144" hidden="1">
          <a:extLst>
            <a:ext uri="{FF2B5EF4-FFF2-40B4-BE49-F238E27FC236}">
              <a16:creationId xmlns:a16="http://schemas.microsoft.com/office/drawing/2014/main" id="{E1CDEFE6-4A7C-4BA8-B951-05BAE0C66C43}"/>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132</xdr:row>
      <xdr:rowOff>84015</xdr:rowOff>
    </xdr:from>
    <xdr:to>
      <xdr:col>28</xdr:col>
      <xdr:colOff>628650</xdr:colOff>
      <xdr:row>152</xdr:row>
      <xdr:rowOff>153305</xdr:rowOff>
    </xdr:to>
    <xdr:sp macro="" textlink="">
      <xdr:nvSpPr>
        <xdr:cNvPr id="1660" name="Text Box 143" hidden="1">
          <a:extLst>
            <a:ext uri="{FF2B5EF4-FFF2-40B4-BE49-F238E27FC236}">
              <a16:creationId xmlns:a16="http://schemas.microsoft.com/office/drawing/2014/main" id="{A175B649-FA4F-4E47-AB73-840D1549651E}"/>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50426</xdr:rowOff>
    </xdr:from>
    <xdr:to>
      <xdr:col>29</xdr:col>
      <xdr:colOff>619125</xdr:colOff>
      <xdr:row>40</xdr:row>
      <xdr:rowOff>88527</xdr:rowOff>
    </xdr:to>
    <xdr:sp macro="" textlink="">
      <xdr:nvSpPr>
        <xdr:cNvPr id="1661" name="Text Box 142" hidden="1">
          <a:extLst>
            <a:ext uri="{FF2B5EF4-FFF2-40B4-BE49-F238E27FC236}">
              <a16:creationId xmlns:a16="http://schemas.microsoft.com/office/drawing/2014/main" id="{EAD57ED2-38A5-4816-8761-27B9BF58376C}"/>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50427</xdr:rowOff>
    </xdr:from>
    <xdr:to>
      <xdr:col>29</xdr:col>
      <xdr:colOff>619125</xdr:colOff>
      <xdr:row>49</xdr:row>
      <xdr:rowOff>50426</xdr:rowOff>
    </xdr:to>
    <xdr:sp macro="" textlink="">
      <xdr:nvSpPr>
        <xdr:cNvPr id="1662" name="Text Box 141" hidden="1">
          <a:extLst>
            <a:ext uri="{FF2B5EF4-FFF2-40B4-BE49-F238E27FC236}">
              <a16:creationId xmlns:a16="http://schemas.microsoft.com/office/drawing/2014/main" id="{3E57536F-DD69-49C5-A30C-BAF3BF507174}"/>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132</xdr:row>
      <xdr:rowOff>125290</xdr:rowOff>
    </xdr:from>
    <xdr:to>
      <xdr:col>29</xdr:col>
      <xdr:colOff>619125</xdr:colOff>
      <xdr:row>152</xdr:row>
      <xdr:rowOff>153305</xdr:rowOff>
    </xdr:to>
    <xdr:sp macro="" textlink="">
      <xdr:nvSpPr>
        <xdr:cNvPr id="1663" name="Text Box 140" hidden="1">
          <a:extLst>
            <a:ext uri="{FF2B5EF4-FFF2-40B4-BE49-F238E27FC236}">
              <a16:creationId xmlns:a16="http://schemas.microsoft.com/office/drawing/2014/main" id="{453F36D2-DBE9-4947-AD2A-EEFDF5966946}"/>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240661</xdr:rowOff>
    </xdr:to>
    <xdr:sp macro="" textlink="">
      <xdr:nvSpPr>
        <xdr:cNvPr id="1664" name="Text Box 139" hidden="1">
          <a:extLst>
            <a:ext uri="{FF2B5EF4-FFF2-40B4-BE49-F238E27FC236}">
              <a16:creationId xmlns:a16="http://schemas.microsoft.com/office/drawing/2014/main" id="{A468B4CA-6193-4B45-B889-60C36FBBBE11}"/>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666750</xdr:colOff>
      <xdr:row>62</xdr:row>
      <xdr:rowOff>240661</xdr:rowOff>
    </xdr:to>
    <xdr:sp macro="" textlink="">
      <xdr:nvSpPr>
        <xdr:cNvPr id="1665" name="Text Box 138" hidden="1">
          <a:extLst>
            <a:ext uri="{FF2B5EF4-FFF2-40B4-BE49-F238E27FC236}">
              <a16:creationId xmlns:a16="http://schemas.microsoft.com/office/drawing/2014/main" id="{67848DD5-4D6E-4D62-B1B8-FB8ACCF23B09}"/>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25</xdr:row>
      <xdr:rowOff>145117</xdr:rowOff>
    </xdr:from>
    <xdr:to>
      <xdr:col>34</xdr:col>
      <xdr:colOff>161925</xdr:colOff>
      <xdr:row>45</xdr:row>
      <xdr:rowOff>141941</xdr:rowOff>
    </xdr:to>
    <xdr:sp macro="" textlink="">
      <xdr:nvSpPr>
        <xdr:cNvPr id="1666" name="Text Box 137" hidden="1">
          <a:extLst>
            <a:ext uri="{FF2B5EF4-FFF2-40B4-BE49-F238E27FC236}">
              <a16:creationId xmlns:a16="http://schemas.microsoft.com/office/drawing/2014/main" id="{FFF90256-3B78-44FB-9981-5A8015B339E7}"/>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60</xdr:row>
      <xdr:rowOff>345514</xdr:rowOff>
    </xdr:from>
    <xdr:to>
      <xdr:col>18</xdr:col>
      <xdr:colOff>571500</xdr:colOff>
      <xdr:row>80</xdr:row>
      <xdr:rowOff>7255</xdr:rowOff>
    </xdr:to>
    <xdr:sp macro="" textlink="">
      <xdr:nvSpPr>
        <xdr:cNvPr id="1667" name="Text Box 136" hidden="1">
          <a:extLst>
            <a:ext uri="{FF2B5EF4-FFF2-40B4-BE49-F238E27FC236}">
              <a16:creationId xmlns:a16="http://schemas.microsoft.com/office/drawing/2014/main" id="{08E8A772-B6B7-49BA-81AA-32D2938D2B8A}"/>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145597</xdr:rowOff>
    </xdr:from>
    <xdr:to>
      <xdr:col>18</xdr:col>
      <xdr:colOff>609600</xdr:colOff>
      <xdr:row>86</xdr:row>
      <xdr:rowOff>48303</xdr:rowOff>
    </xdr:to>
    <xdr:sp macro="" textlink="">
      <xdr:nvSpPr>
        <xdr:cNvPr id="1668" name="Text Box 135" hidden="1">
          <a:extLst>
            <a:ext uri="{FF2B5EF4-FFF2-40B4-BE49-F238E27FC236}">
              <a16:creationId xmlns:a16="http://schemas.microsoft.com/office/drawing/2014/main" id="{25CDC685-BEE8-4578-8522-94A94C8AB7AA}"/>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240661</xdr:rowOff>
    </xdr:to>
    <xdr:sp macro="" textlink="">
      <xdr:nvSpPr>
        <xdr:cNvPr id="1669" name="Text Box 134" hidden="1">
          <a:extLst>
            <a:ext uri="{FF2B5EF4-FFF2-40B4-BE49-F238E27FC236}">
              <a16:creationId xmlns:a16="http://schemas.microsoft.com/office/drawing/2014/main" id="{2CA7568E-E3D0-4666-B862-80020C270EEA}"/>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50426</xdr:rowOff>
    </xdr:from>
    <xdr:to>
      <xdr:col>30</xdr:col>
      <xdr:colOff>523875</xdr:colOff>
      <xdr:row>40</xdr:row>
      <xdr:rowOff>107577</xdr:rowOff>
    </xdr:to>
    <xdr:sp macro="" textlink="">
      <xdr:nvSpPr>
        <xdr:cNvPr id="1670" name="Text Box 133" hidden="1">
          <a:extLst>
            <a:ext uri="{FF2B5EF4-FFF2-40B4-BE49-F238E27FC236}">
              <a16:creationId xmlns:a16="http://schemas.microsoft.com/office/drawing/2014/main" id="{ABB5A78E-B9EF-4D41-88B0-942AC8D5734F}"/>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50427</xdr:rowOff>
    </xdr:from>
    <xdr:to>
      <xdr:col>30</xdr:col>
      <xdr:colOff>523875</xdr:colOff>
      <xdr:row>49</xdr:row>
      <xdr:rowOff>107576</xdr:rowOff>
    </xdr:to>
    <xdr:sp macro="" textlink="">
      <xdr:nvSpPr>
        <xdr:cNvPr id="1671" name="Text Box 132" hidden="1">
          <a:extLst>
            <a:ext uri="{FF2B5EF4-FFF2-40B4-BE49-F238E27FC236}">
              <a16:creationId xmlns:a16="http://schemas.microsoft.com/office/drawing/2014/main" id="{276C9D7C-250B-4E48-9F19-91FDA28F85C2}"/>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10990</xdr:rowOff>
    </xdr:from>
    <xdr:to>
      <xdr:col>30</xdr:col>
      <xdr:colOff>523875</xdr:colOff>
      <xdr:row>155</xdr:row>
      <xdr:rowOff>49090</xdr:rowOff>
    </xdr:to>
    <xdr:sp macro="" textlink="">
      <xdr:nvSpPr>
        <xdr:cNvPr id="1672" name="Text Box 131" hidden="1">
          <a:extLst>
            <a:ext uri="{FF2B5EF4-FFF2-40B4-BE49-F238E27FC236}">
              <a16:creationId xmlns:a16="http://schemas.microsoft.com/office/drawing/2014/main" id="{DE1505A4-F4DB-4DA0-A9B6-62F5E9CC86B3}"/>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69476</xdr:rowOff>
    </xdr:from>
    <xdr:to>
      <xdr:col>31</xdr:col>
      <xdr:colOff>523875</xdr:colOff>
      <xdr:row>40</xdr:row>
      <xdr:rowOff>107577</xdr:rowOff>
    </xdr:to>
    <xdr:sp macro="" textlink="">
      <xdr:nvSpPr>
        <xdr:cNvPr id="1673" name="Text Box 130" hidden="1">
          <a:extLst>
            <a:ext uri="{FF2B5EF4-FFF2-40B4-BE49-F238E27FC236}">
              <a16:creationId xmlns:a16="http://schemas.microsoft.com/office/drawing/2014/main" id="{DD393D73-1E2D-4500-BEF9-C59E81EDBF7E}"/>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69477</xdr:rowOff>
    </xdr:from>
    <xdr:to>
      <xdr:col>31</xdr:col>
      <xdr:colOff>523875</xdr:colOff>
      <xdr:row>49</xdr:row>
      <xdr:rowOff>107576</xdr:rowOff>
    </xdr:to>
    <xdr:sp macro="" textlink="">
      <xdr:nvSpPr>
        <xdr:cNvPr id="1674" name="Text Box 129" hidden="1">
          <a:extLst>
            <a:ext uri="{FF2B5EF4-FFF2-40B4-BE49-F238E27FC236}">
              <a16:creationId xmlns:a16="http://schemas.microsoft.com/office/drawing/2014/main" id="{3AD9E85E-762F-45BD-A74D-1939384D5242}"/>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10990</xdr:rowOff>
    </xdr:from>
    <xdr:to>
      <xdr:col>31</xdr:col>
      <xdr:colOff>523875</xdr:colOff>
      <xdr:row>155</xdr:row>
      <xdr:rowOff>49090</xdr:rowOff>
    </xdr:to>
    <xdr:sp macro="" textlink="">
      <xdr:nvSpPr>
        <xdr:cNvPr id="1675" name="Text Box 128" hidden="1">
          <a:extLst>
            <a:ext uri="{FF2B5EF4-FFF2-40B4-BE49-F238E27FC236}">
              <a16:creationId xmlns:a16="http://schemas.microsoft.com/office/drawing/2014/main" id="{F3FCA1CA-687D-4945-8F4E-436194B77F38}"/>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20</xdr:row>
      <xdr:rowOff>50426</xdr:rowOff>
    </xdr:from>
    <xdr:to>
      <xdr:col>31</xdr:col>
      <xdr:colOff>676275</xdr:colOff>
      <xdr:row>40</xdr:row>
      <xdr:rowOff>50427</xdr:rowOff>
    </xdr:to>
    <xdr:sp macro="" textlink="">
      <xdr:nvSpPr>
        <xdr:cNvPr id="1676" name="Text Box 127" hidden="1">
          <a:extLst>
            <a:ext uri="{FF2B5EF4-FFF2-40B4-BE49-F238E27FC236}">
              <a16:creationId xmlns:a16="http://schemas.microsoft.com/office/drawing/2014/main" id="{997CC2FE-5EFD-4932-ADD6-F617EA95E639}"/>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29</xdr:row>
      <xdr:rowOff>50427</xdr:rowOff>
    </xdr:from>
    <xdr:to>
      <xdr:col>31</xdr:col>
      <xdr:colOff>676275</xdr:colOff>
      <xdr:row>49</xdr:row>
      <xdr:rowOff>69476</xdr:rowOff>
    </xdr:to>
    <xdr:sp macro="" textlink="">
      <xdr:nvSpPr>
        <xdr:cNvPr id="1677" name="Text Box 126" hidden="1">
          <a:extLst>
            <a:ext uri="{FF2B5EF4-FFF2-40B4-BE49-F238E27FC236}">
              <a16:creationId xmlns:a16="http://schemas.microsoft.com/office/drawing/2014/main" id="{4FC29AF9-FC3E-4868-A200-A00CEA096A4B}"/>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14</xdr:row>
      <xdr:rowOff>31376</xdr:rowOff>
    </xdr:from>
    <xdr:to>
      <xdr:col>40</xdr:col>
      <xdr:colOff>438150</xdr:colOff>
      <xdr:row>34</xdr:row>
      <xdr:rowOff>57897</xdr:rowOff>
    </xdr:to>
    <xdr:sp macro="" textlink="">
      <xdr:nvSpPr>
        <xdr:cNvPr id="1678" name="Text Box 125" hidden="1">
          <a:extLst>
            <a:ext uri="{FF2B5EF4-FFF2-40B4-BE49-F238E27FC236}">
              <a16:creationId xmlns:a16="http://schemas.microsoft.com/office/drawing/2014/main" id="{4150789A-1146-4DBB-9BDD-1F93EDAAD23E}"/>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134</xdr:row>
      <xdr:rowOff>153305</xdr:rowOff>
    </xdr:from>
    <xdr:to>
      <xdr:col>32</xdr:col>
      <xdr:colOff>409575</xdr:colOff>
      <xdr:row>154</xdr:row>
      <xdr:rowOff>58448</xdr:rowOff>
    </xdr:to>
    <xdr:sp macro="" textlink="">
      <xdr:nvSpPr>
        <xdr:cNvPr id="1679" name="Text Box 124" hidden="1">
          <a:extLst>
            <a:ext uri="{FF2B5EF4-FFF2-40B4-BE49-F238E27FC236}">
              <a16:creationId xmlns:a16="http://schemas.microsoft.com/office/drawing/2014/main" id="{B1A2D29D-196E-4FA2-9F01-AA3990674FA4}"/>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59952</xdr:rowOff>
    </xdr:from>
    <xdr:to>
      <xdr:col>21</xdr:col>
      <xdr:colOff>438150</xdr:colOff>
      <xdr:row>32</xdr:row>
      <xdr:rowOff>111872</xdr:rowOff>
    </xdr:to>
    <xdr:sp macro="" textlink="">
      <xdr:nvSpPr>
        <xdr:cNvPr id="1680" name="Text Box 250" hidden="1">
          <a:extLst>
            <a:ext uri="{FF2B5EF4-FFF2-40B4-BE49-F238E27FC236}">
              <a16:creationId xmlns:a16="http://schemas.microsoft.com/office/drawing/2014/main" id="{D2F9E507-F77B-4AD9-B4F8-3E2B4281E725}"/>
            </a:ext>
          </a:extLst>
        </xdr:cNvPr>
        <xdr:cNvSpPr txBox="1">
          <a:spLocks noChangeArrowheads="1"/>
        </xdr:cNvSpPr>
      </xdr:nvSpPr>
      <xdr:spPr bwMode="auto">
        <a:xfrm>
          <a:off x="15335250" y="3127002"/>
          <a:ext cx="3695700" cy="4027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345514</xdr:rowOff>
    </xdr:from>
    <xdr:to>
      <xdr:col>9</xdr:col>
      <xdr:colOff>609600</xdr:colOff>
      <xdr:row>80</xdr:row>
      <xdr:rowOff>7255</xdr:rowOff>
    </xdr:to>
    <xdr:sp macro="" textlink="">
      <xdr:nvSpPr>
        <xdr:cNvPr id="1681" name="Text Box 249" hidden="1">
          <a:extLst>
            <a:ext uri="{FF2B5EF4-FFF2-40B4-BE49-F238E27FC236}">
              <a16:creationId xmlns:a16="http://schemas.microsoft.com/office/drawing/2014/main" id="{7B8FC150-4511-4518-8A74-2C5AA82E02B1}"/>
            </a:ext>
          </a:extLst>
        </xdr:cNvPr>
        <xdr:cNvSpPr txBox="1">
          <a:spLocks noChangeArrowheads="1"/>
        </xdr:cNvSpPr>
      </xdr:nvSpPr>
      <xdr:spPr bwMode="auto">
        <a:xfrm>
          <a:off x="4486275" y="13213789"/>
          <a:ext cx="4362450"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61</xdr:row>
      <xdr:rowOff>342340</xdr:rowOff>
    </xdr:from>
    <xdr:to>
      <xdr:col>9</xdr:col>
      <xdr:colOff>628650</xdr:colOff>
      <xdr:row>80</xdr:row>
      <xdr:rowOff>67413</xdr:rowOff>
    </xdr:to>
    <xdr:sp macro="" textlink="">
      <xdr:nvSpPr>
        <xdr:cNvPr id="1682" name="Text Box 248" hidden="1">
          <a:extLst>
            <a:ext uri="{FF2B5EF4-FFF2-40B4-BE49-F238E27FC236}">
              <a16:creationId xmlns:a16="http://schemas.microsoft.com/office/drawing/2014/main" id="{76E56F9C-FA7C-4DFE-8548-AB403009C2FD}"/>
            </a:ext>
          </a:extLst>
        </xdr:cNvPr>
        <xdr:cNvSpPr txBox="1">
          <a:spLocks noChangeArrowheads="1"/>
        </xdr:cNvSpPr>
      </xdr:nvSpPr>
      <xdr:spPr bwMode="auto">
        <a:xfrm>
          <a:off x="4514850" y="13604315"/>
          <a:ext cx="4352925"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342340</xdr:rowOff>
    </xdr:from>
    <xdr:to>
      <xdr:col>9</xdr:col>
      <xdr:colOff>609600</xdr:colOff>
      <xdr:row>80</xdr:row>
      <xdr:rowOff>67413</xdr:rowOff>
    </xdr:to>
    <xdr:sp macro="" textlink="">
      <xdr:nvSpPr>
        <xdr:cNvPr id="1683" name="Text Box 247" hidden="1">
          <a:extLst>
            <a:ext uri="{FF2B5EF4-FFF2-40B4-BE49-F238E27FC236}">
              <a16:creationId xmlns:a16="http://schemas.microsoft.com/office/drawing/2014/main" id="{221A23E8-DB33-4FEB-B3F8-DEFCE539E228}"/>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342340</xdr:rowOff>
    </xdr:from>
    <xdr:to>
      <xdr:col>9</xdr:col>
      <xdr:colOff>609600</xdr:colOff>
      <xdr:row>80</xdr:row>
      <xdr:rowOff>67413</xdr:rowOff>
    </xdr:to>
    <xdr:sp macro="" textlink="">
      <xdr:nvSpPr>
        <xdr:cNvPr id="1684" name="Text Box 246" hidden="1">
          <a:extLst>
            <a:ext uri="{FF2B5EF4-FFF2-40B4-BE49-F238E27FC236}">
              <a16:creationId xmlns:a16="http://schemas.microsoft.com/office/drawing/2014/main" id="{5A3C7601-2360-4664-BACC-7078F7B01791}"/>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21772</xdr:rowOff>
    </xdr:from>
    <xdr:to>
      <xdr:col>9</xdr:col>
      <xdr:colOff>609600</xdr:colOff>
      <xdr:row>85</xdr:row>
      <xdr:rowOff>149903</xdr:rowOff>
    </xdr:to>
    <xdr:sp macro="" textlink="">
      <xdr:nvSpPr>
        <xdr:cNvPr id="1685" name="Text Box 245" hidden="1">
          <a:extLst>
            <a:ext uri="{FF2B5EF4-FFF2-40B4-BE49-F238E27FC236}">
              <a16:creationId xmlns:a16="http://schemas.microsoft.com/office/drawing/2014/main" id="{7CDA526D-CC65-432E-B1BB-FCED05C0235F}"/>
            </a:ext>
          </a:extLst>
        </xdr:cNvPr>
        <xdr:cNvSpPr txBox="1">
          <a:spLocks noChangeArrowheads="1"/>
        </xdr:cNvSpPr>
      </xdr:nvSpPr>
      <xdr:spPr bwMode="auto">
        <a:xfrm>
          <a:off x="4486275" y="14452147"/>
          <a:ext cx="4362450" cy="41318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159656</xdr:rowOff>
    </xdr:from>
    <xdr:to>
      <xdr:col>9</xdr:col>
      <xdr:colOff>609600</xdr:colOff>
      <xdr:row>102</xdr:row>
      <xdr:rowOff>18392</xdr:rowOff>
    </xdr:to>
    <xdr:sp macro="" textlink="">
      <xdr:nvSpPr>
        <xdr:cNvPr id="1686" name="Text Box 244" hidden="1">
          <a:extLst>
            <a:ext uri="{FF2B5EF4-FFF2-40B4-BE49-F238E27FC236}">
              <a16:creationId xmlns:a16="http://schemas.microsoft.com/office/drawing/2014/main" id="{F669507F-41CA-4789-848F-145ECC18615A}"/>
            </a:ext>
          </a:extLst>
        </xdr:cNvPr>
        <xdr:cNvSpPr txBox="1">
          <a:spLocks noChangeArrowheads="1"/>
        </xdr:cNvSpPr>
      </xdr:nvSpPr>
      <xdr:spPr bwMode="auto">
        <a:xfrm>
          <a:off x="4486275" y="17688831"/>
          <a:ext cx="4362450" cy="40370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75381</xdr:rowOff>
    </xdr:from>
    <xdr:to>
      <xdr:col>9</xdr:col>
      <xdr:colOff>609600</xdr:colOff>
      <xdr:row>102</xdr:row>
      <xdr:rowOff>116148</xdr:rowOff>
    </xdr:to>
    <xdr:sp macro="" textlink="">
      <xdr:nvSpPr>
        <xdr:cNvPr id="1687" name="Text Box 243" hidden="1">
          <a:extLst>
            <a:ext uri="{FF2B5EF4-FFF2-40B4-BE49-F238E27FC236}">
              <a16:creationId xmlns:a16="http://schemas.microsoft.com/office/drawing/2014/main" id="{2B9341AE-EACD-4CDA-B14A-7EAC31785245}"/>
            </a:ext>
          </a:extLst>
        </xdr:cNvPr>
        <xdr:cNvSpPr txBox="1">
          <a:spLocks noChangeArrowheads="1"/>
        </xdr:cNvSpPr>
      </xdr:nvSpPr>
      <xdr:spPr bwMode="auto">
        <a:xfrm>
          <a:off x="4486275" y="17785531"/>
          <a:ext cx="4362450" cy="4038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7814</xdr:rowOff>
    </xdr:from>
    <xdr:to>
      <xdr:col>9</xdr:col>
      <xdr:colOff>609600</xdr:colOff>
      <xdr:row>103</xdr:row>
      <xdr:rowOff>45757</xdr:rowOff>
    </xdr:to>
    <xdr:sp macro="" textlink="">
      <xdr:nvSpPr>
        <xdr:cNvPr id="1688" name="Text Box 242" hidden="1">
          <a:extLst>
            <a:ext uri="{FF2B5EF4-FFF2-40B4-BE49-F238E27FC236}">
              <a16:creationId xmlns:a16="http://schemas.microsoft.com/office/drawing/2014/main" id="{CCC46D09-7CA1-4B33-8B69-97196B35AF96}"/>
            </a:ext>
          </a:extLst>
        </xdr:cNvPr>
        <xdr:cNvSpPr txBox="1">
          <a:spLocks noChangeArrowheads="1"/>
        </xdr:cNvSpPr>
      </xdr:nvSpPr>
      <xdr:spPr bwMode="auto">
        <a:xfrm>
          <a:off x="4486275" y="17898939"/>
          <a:ext cx="4362450" cy="41114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198324</xdr:rowOff>
    </xdr:to>
    <xdr:sp macro="" textlink="">
      <xdr:nvSpPr>
        <xdr:cNvPr id="1689" name="Text Box 241" hidden="1">
          <a:extLst>
            <a:ext uri="{FF2B5EF4-FFF2-40B4-BE49-F238E27FC236}">
              <a16:creationId xmlns:a16="http://schemas.microsoft.com/office/drawing/2014/main" id="{5EB015DC-094A-456F-8DA1-8D993BFBAA6B}"/>
            </a:ext>
          </a:extLst>
        </xdr:cNvPr>
        <xdr:cNvSpPr txBox="1">
          <a:spLocks noChangeArrowheads="1"/>
        </xdr:cNvSpPr>
      </xdr:nvSpPr>
      <xdr:spPr bwMode="auto">
        <a:xfrm>
          <a:off x="4486275" y="18070557"/>
          <a:ext cx="4362450" cy="38384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95997</xdr:rowOff>
    </xdr:from>
    <xdr:to>
      <xdr:col>9</xdr:col>
      <xdr:colOff>609600</xdr:colOff>
      <xdr:row>122</xdr:row>
      <xdr:rowOff>162829</xdr:rowOff>
    </xdr:to>
    <xdr:sp macro="" textlink="">
      <xdr:nvSpPr>
        <xdr:cNvPr id="1690" name="Text Box 240" hidden="1">
          <a:extLst>
            <a:ext uri="{FF2B5EF4-FFF2-40B4-BE49-F238E27FC236}">
              <a16:creationId xmlns:a16="http://schemas.microsoft.com/office/drawing/2014/main" id="{CC8D9ABE-DF12-45EC-B994-BBCACFFFA351}"/>
            </a:ext>
          </a:extLst>
        </xdr:cNvPr>
        <xdr:cNvSpPr txBox="1">
          <a:spLocks noChangeArrowheads="1"/>
        </xdr:cNvSpPr>
      </xdr:nvSpPr>
      <xdr:spPr bwMode="auto">
        <a:xfrm>
          <a:off x="4486275" y="22060647"/>
          <a:ext cx="4362450" cy="37339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57798</xdr:rowOff>
    </xdr:from>
    <xdr:to>
      <xdr:col>9</xdr:col>
      <xdr:colOff>609600</xdr:colOff>
      <xdr:row>123</xdr:row>
      <xdr:rowOff>125290</xdr:rowOff>
    </xdr:to>
    <xdr:sp macro="" textlink="">
      <xdr:nvSpPr>
        <xdr:cNvPr id="1691" name="Text Box 239" hidden="1">
          <a:extLst>
            <a:ext uri="{FF2B5EF4-FFF2-40B4-BE49-F238E27FC236}">
              <a16:creationId xmlns:a16="http://schemas.microsoft.com/office/drawing/2014/main" id="{B10024F3-9FE2-4850-9955-DD91B4E7B758}"/>
            </a:ext>
          </a:extLst>
        </xdr:cNvPr>
        <xdr:cNvSpPr txBox="1">
          <a:spLocks noChangeArrowheads="1"/>
        </xdr:cNvSpPr>
      </xdr:nvSpPr>
      <xdr:spPr bwMode="auto">
        <a:xfrm>
          <a:off x="4486275" y="22260573"/>
          <a:ext cx="4362450" cy="36774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25616</xdr:rowOff>
    </xdr:from>
    <xdr:to>
      <xdr:col>9</xdr:col>
      <xdr:colOff>609600</xdr:colOff>
      <xdr:row>124</xdr:row>
      <xdr:rowOff>122115</xdr:rowOff>
    </xdr:to>
    <xdr:sp macro="" textlink="">
      <xdr:nvSpPr>
        <xdr:cNvPr id="1692" name="Text Box 238" hidden="1">
          <a:extLst>
            <a:ext uri="{FF2B5EF4-FFF2-40B4-BE49-F238E27FC236}">
              <a16:creationId xmlns:a16="http://schemas.microsoft.com/office/drawing/2014/main" id="{EB30FEF4-A2E8-43DD-A61D-652F34BF777B}"/>
            </a:ext>
          </a:extLst>
        </xdr:cNvPr>
        <xdr:cNvSpPr txBox="1">
          <a:spLocks noChangeArrowheads="1"/>
        </xdr:cNvSpPr>
      </xdr:nvSpPr>
      <xdr:spPr bwMode="auto">
        <a:xfrm>
          <a:off x="4486275" y="22469691"/>
          <a:ext cx="4362450" cy="36493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228816</xdr:rowOff>
    </xdr:from>
    <xdr:to>
      <xdr:col>9</xdr:col>
      <xdr:colOff>609600</xdr:colOff>
      <xdr:row>124</xdr:row>
      <xdr:rowOff>122115</xdr:rowOff>
    </xdr:to>
    <xdr:sp macro="" textlink="">
      <xdr:nvSpPr>
        <xdr:cNvPr id="1693" name="Text Box 237" hidden="1">
          <a:extLst>
            <a:ext uri="{FF2B5EF4-FFF2-40B4-BE49-F238E27FC236}">
              <a16:creationId xmlns:a16="http://schemas.microsoft.com/office/drawing/2014/main" id="{2AB73BB1-E707-43BB-BEA7-A202AE9112B5}"/>
            </a:ext>
          </a:extLst>
        </xdr:cNvPr>
        <xdr:cNvSpPr txBox="1">
          <a:spLocks noChangeArrowheads="1"/>
        </xdr:cNvSpPr>
      </xdr:nvSpPr>
      <xdr:spPr bwMode="auto">
        <a:xfrm>
          <a:off x="4486275" y="22431591"/>
          <a:ext cx="4362450" cy="3687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1694" name="Text Box 236" hidden="1">
          <a:extLst>
            <a:ext uri="{FF2B5EF4-FFF2-40B4-BE49-F238E27FC236}">
              <a16:creationId xmlns:a16="http://schemas.microsoft.com/office/drawing/2014/main" id="{2CD1809F-1581-41E5-842E-B0B1DBF04C55}"/>
            </a:ext>
          </a:extLst>
        </xdr:cNvPr>
        <xdr:cNvSpPr txBox="1">
          <a:spLocks noChangeArrowheads="1"/>
        </xdr:cNvSpPr>
      </xdr:nvSpPr>
      <xdr:spPr bwMode="auto">
        <a:xfrm>
          <a:off x="17697450" y="26796181"/>
          <a:ext cx="3619500" cy="35993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59951</xdr:rowOff>
    </xdr:from>
    <xdr:to>
      <xdr:col>25</xdr:col>
      <xdr:colOff>609600</xdr:colOff>
      <xdr:row>40</xdr:row>
      <xdr:rowOff>31377</xdr:rowOff>
    </xdr:to>
    <xdr:sp macro="" textlink="">
      <xdr:nvSpPr>
        <xdr:cNvPr id="1695" name="Text Box 235" hidden="1">
          <a:extLst>
            <a:ext uri="{FF2B5EF4-FFF2-40B4-BE49-F238E27FC236}">
              <a16:creationId xmlns:a16="http://schemas.microsoft.com/office/drawing/2014/main" id="{50AF2D00-3A54-4BF7-BBD5-C291D3C2523F}"/>
            </a:ext>
          </a:extLst>
        </xdr:cNvPr>
        <xdr:cNvSpPr txBox="1">
          <a:spLocks noChangeArrowheads="1"/>
        </xdr:cNvSpPr>
      </xdr:nvSpPr>
      <xdr:spPr bwMode="auto">
        <a:xfrm>
          <a:off x="18516600" y="4574801"/>
          <a:ext cx="3733800" cy="39433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59952</xdr:rowOff>
    </xdr:from>
    <xdr:to>
      <xdr:col>25</xdr:col>
      <xdr:colOff>609600</xdr:colOff>
      <xdr:row>49</xdr:row>
      <xdr:rowOff>31376</xdr:rowOff>
    </xdr:to>
    <xdr:sp macro="" textlink="">
      <xdr:nvSpPr>
        <xdr:cNvPr id="1696" name="Text Box 234" hidden="1">
          <a:extLst>
            <a:ext uri="{FF2B5EF4-FFF2-40B4-BE49-F238E27FC236}">
              <a16:creationId xmlns:a16="http://schemas.microsoft.com/office/drawing/2014/main" id="{E74A1BB5-3B7B-4BC7-8B9A-4C56805E602E}"/>
            </a:ext>
          </a:extLst>
        </xdr:cNvPr>
        <xdr:cNvSpPr txBox="1">
          <a:spLocks noChangeArrowheads="1"/>
        </xdr:cNvSpPr>
      </xdr:nvSpPr>
      <xdr:spPr bwMode="auto">
        <a:xfrm>
          <a:off x="18516600" y="6556002"/>
          <a:ext cx="3733800" cy="35909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84015</xdr:rowOff>
    </xdr:from>
    <xdr:to>
      <xdr:col>25</xdr:col>
      <xdr:colOff>609600</xdr:colOff>
      <xdr:row>152</xdr:row>
      <xdr:rowOff>78557</xdr:rowOff>
    </xdr:to>
    <xdr:sp macro="" textlink="">
      <xdr:nvSpPr>
        <xdr:cNvPr id="1697" name="Text Box 233" hidden="1">
          <a:extLst>
            <a:ext uri="{FF2B5EF4-FFF2-40B4-BE49-F238E27FC236}">
              <a16:creationId xmlns:a16="http://schemas.microsoft.com/office/drawing/2014/main" id="{3467304B-44EE-4A2A-86A4-6B09F50622E9}"/>
            </a:ext>
          </a:extLst>
        </xdr:cNvPr>
        <xdr:cNvSpPr txBox="1">
          <a:spLocks noChangeArrowheads="1"/>
        </xdr:cNvSpPr>
      </xdr:nvSpPr>
      <xdr:spPr bwMode="auto">
        <a:xfrm>
          <a:off x="18516600" y="27525540"/>
          <a:ext cx="3733800" cy="36140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40</xdr:row>
      <xdr:rowOff>59952</xdr:rowOff>
    </xdr:from>
    <xdr:to>
      <xdr:col>16</xdr:col>
      <xdr:colOff>0</xdr:colOff>
      <xdr:row>59</xdr:row>
      <xdr:rowOff>26894</xdr:rowOff>
    </xdr:to>
    <xdr:sp macro="" textlink="">
      <xdr:nvSpPr>
        <xdr:cNvPr id="1698" name="Text Box 232" hidden="1">
          <a:extLst>
            <a:ext uri="{FF2B5EF4-FFF2-40B4-BE49-F238E27FC236}">
              <a16:creationId xmlns:a16="http://schemas.microsoft.com/office/drawing/2014/main" id="{59356458-4DDE-4036-819F-3B0D961E5A9C}"/>
            </a:ext>
          </a:extLst>
        </xdr:cNvPr>
        <xdr:cNvSpPr txBox="1">
          <a:spLocks noChangeArrowheads="1"/>
        </xdr:cNvSpPr>
      </xdr:nvSpPr>
      <xdr:spPr bwMode="auto">
        <a:xfrm>
          <a:off x="10182225" y="8546727"/>
          <a:ext cx="4524375" cy="3961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20</xdr:row>
      <xdr:rowOff>59951</xdr:rowOff>
    </xdr:from>
    <xdr:to>
      <xdr:col>28</xdr:col>
      <xdr:colOff>628650</xdr:colOff>
      <xdr:row>40</xdr:row>
      <xdr:rowOff>126627</xdr:rowOff>
    </xdr:to>
    <xdr:sp macro="" textlink="">
      <xdr:nvSpPr>
        <xdr:cNvPr id="1699" name="Text Box 231" hidden="1">
          <a:extLst>
            <a:ext uri="{FF2B5EF4-FFF2-40B4-BE49-F238E27FC236}">
              <a16:creationId xmlns:a16="http://schemas.microsoft.com/office/drawing/2014/main" id="{2E77AE89-6A02-4F30-8CBB-395C6DE3B920}"/>
            </a:ext>
          </a:extLst>
        </xdr:cNvPr>
        <xdr:cNvSpPr txBox="1">
          <a:spLocks noChangeArrowheads="1"/>
        </xdr:cNvSpPr>
      </xdr:nvSpPr>
      <xdr:spPr bwMode="auto">
        <a:xfrm>
          <a:off x="20221575" y="4574801"/>
          <a:ext cx="4352925" cy="4038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29</xdr:row>
      <xdr:rowOff>59952</xdr:rowOff>
    </xdr:from>
    <xdr:to>
      <xdr:col>28</xdr:col>
      <xdr:colOff>628650</xdr:colOff>
      <xdr:row>49</xdr:row>
      <xdr:rowOff>107576</xdr:rowOff>
    </xdr:to>
    <xdr:sp macro="" textlink="">
      <xdr:nvSpPr>
        <xdr:cNvPr id="1700" name="Text Box 230" hidden="1">
          <a:extLst>
            <a:ext uri="{FF2B5EF4-FFF2-40B4-BE49-F238E27FC236}">
              <a16:creationId xmlns:a16="http://schemas.microsoft.com/office/drawing/2014/main" id="{74FB07CA-552A-4E4C-A418-558F979F6BE3}"/>
            </a:ext>
          </a:extLst>
        </xdr:cNvPr>
        <xdr:cNvSpPr txBox="1">
          <a:spLocks noChangeArrowheads="1"/>
        </xdr:cNvSpPr>
      </xdr:nvSpPr>
      <xdr:spPr bwMode="auto">
        <a:xfrm>
          <a:off x="20221575" y="6556002"/>
          <a:ext cx="4352925"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132</xdr:row>
      <xdr:rowOff>84015</xdr:rowOff>
    </xdr:from>
    <xdr:to>
      <xdr:col>28</xdr:col>
      <xdr:colOff>628650</xdr:colOff>
      <xdr:row>152</xdr:row>
      <xdr:rowOff>162830</xdr:rowOff>
    </xdr:to>
    <xdr:sp macro="" textlink="">
      <xdr:nvSpPr>
        <xdr:cNvPr id="1701" name="Text Box 229" hidden="1">
          <a:extLst>
            <a:ext uri="{FF2B5EF4-FFF2-40B4-BE49-F238E27FC236}">
              <a16:creationId xmlns:a16="http://schemas.microsoft.com/office/drawing/2014/main" id="{7D80E994-963A-4CB2-8524-BACB59723EAA}"/>
            </a:ext>
          </a:extLst>
        </xdr:cNvPr>
        <xdr:cNvSpPr txBox="1">
          <a:spLocks noChangeArrowheads="1"/>
        </xdr:cNvSpPr>
      </xdr:nvSpPr>
      <xdr:spPr bwMode="auto">
        <a:xfrm>
          <a:off x="20221575" y="27525540"/>
          <a:ext cx="4352925" cy="36983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20</xdr:row>
      <xdr:rowOff>59951</xdr:rowOff>
    </xdr:from>
    <xdr:to>
      <xdr:col>29</xdr:col>
      <xdr:colOff>619125</xdr:colOff>
      <xdr:row>40</xdr:row>
      <xdr:rowOff>88527</xdr:rowOff>
    </xdr:to>
    <xdr:sp macro="" textlink="">
      <xdr:nvSpPr>
        <xdr:cNvPr id="1702" name="Text Box 228" hidden="1">
          <a:extLst>
            <a:ext uri="{FF2B5EF4-FFF2-40B4-BE49-F238E27FC236}">
              <a16:creationId xmlns:a16="http://schemas.microsoft.com/office/drawing/2014/main" id="{2AB20183-78C7-44D0-B690-5383EE8F255E}"/>
            </a:ext>
          </a:extLst>
        </xdr:cNvPr>
        <xdr:cNvSpPr txBox="1">
          <a:spLocks noChangeArrowheads="1"/>
        </xdr:cNvSpPr>
      </xdr:nvSpPr>
      <xdr:spPr bwMode="auto">
        <a:xfrm>
          <a:off x="20983575" y="4574801"/>
          <a:ext cx="4352925" cy="4000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29</xdr:row>
      <xdr:rowOff>59952</xdr:rowOff>
    </xdr:from>
    <xdr:to>
      <xdr:col>29</xdr:col>
      <xdr:colOff>619125</xdr:colOff>
      <xdr:row>49</xdr:row>
      <xdr:rowOff>59951</xdr:rowOff>
    </xdr:to>
    <xdr:sp macro="" textlink="">
      <xdr:nvSpPr>
        <xdr:cNvPr id="1703" name="Text Box 227" hidden="1">
          <a:extLst>
            <a:ext uri="{FF2B5EF4-FFF2-40B4-BE49-F238E27FC236}">
              <a16:creationId xmlns:a16="http://schemas.microsoft.com/office/drawing/2014/main" id="{FA478CD4-06ED-487E-AE9B-9B7ACB619E16}"/>
            </a:ext>
          </a:extLst>
        </xdr:cNvPr>
        <xdr:cNvSpPr txBox="1">
          <a:spLocks noChangeArrowheads="1"/>
        </xdr:cNvSpPr>
      </xdr:nvSpPr>
      <xdr:spPr bwMode="auto">
        <a:xfrm>
          <a:off x="20983575" y="6556002"/>
          <a:ext cx="4352925"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132</xdr:row>
      <xdr:rowOff>125290</xdr:rowOff>
    </xdr:from>
    <xdr:to>
      <xdr:col>29</xdr:col>
      <xdr:colOff>619125</xdr:colOff>
      <xdr:row>152</xdr:row>
      <xdr:rowOff>162830</xdr:rowOff>
    </xdr:to>
    <xdr:sp macro="" textlink="">
      <xdr:nvSpPr>
        <xdr:cNvPr id="1704" name="Text Box 226" hidden="1">
          <a:extLst>
            <a:ext uri="{FF2B5EF4-FFF2-40B4-BE49-F238E27FC236}">
              <a16:creationId xmlns:a16="http://schemas.microsoft.com/office/drawing/2014/main" id="{570A6EE1-DC99-43A0-BAE1-936D40E3670F}"/>
            </a:ext>
          </a:extLst>
        </xdr:cNvPr>
        <xdr:cNvSpPr txBox="1">
          <a:spLocks noChangeArrowheads="1"/>
        </xdr:cNvSpPr>
      </xdr:nvSpPr>
      <xdr:spPr bwMode="auto">
        <a:xfrm>
          <a:off x="20983575" y="27566815"/>
          <a:ext cx="4352925" cy="36570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240661</xdr:rowOff>
    </xdr:to>
    <xdr:sp macro="" textlink="">
      <xdr:nvSpPr>
        <xdr:cNvPr id="1705" name="Text Box 225" hidden="1">
          <a:extLst>
            <a:ext uri="{FF2B5EF4-FFF2-40B4-BE49-F238E27FC236}">
              <a16:creationId xmlns:a16="http://schemas.microsoft.com/office/drawing/2014/main" id="{C88930D8-DB84-4692-BCEA-F3EE2E5B95EE}"/>
            </a:ext>
          </a:extLst>
        </xdr:cNvPr>
        <xdr:cNvSpPr txBox="1">
          <a:spLocks noChangeArrowheads="1"/>
        </xdr:cNvSpPr>
      </xdr:nvSpPr>
      <xdr:spPr bwMode="auto">
        <a:xfrm>
          <a:off x="10210800" y="9242052"/>
          <a:ext cx="44958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676275</xdr:colOff>
      <xdr:row>62</xdr:row>
      <xdr:rowOff>240661</xdr:rowOff>
    </xdr:to>
    <xdr:sp macro="" textlink="">
      <xdr:nvSpPr>
        <xdr:cNvPr id="1706" name="Text Box 224" hidden="1">
          <a:extLst>
            <a:ext uri="{FF2B5EF4-FFF2-40B4-BE49-F238E27FC236}">
              <a16:creationId xmlns:a16="http://schemas.microsoft.com/office/drawing/2014/main" id="{145B0177-6E30-4F2A-AE0A-58F5CED08748}"/>
            </a:ext>
          </a:extLst>
        </xdr:cNvPr>
        <xdr:cNvSpPr txBox="1">
          <a:spLocks noChangeArrowheads="1"/>
        </xdr:cNvSpPr>
      </xdr:nvSpPr>
      <xdr:spPr bwMode="auto">
        <a:xfrm>
          <a:off x="11306175" y="9242052"/>
          <a:ext cx="48387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76200</xdr:colOff>
      <xdr:row>25</xdr:row>
      <xdr:rowOff>145117</xdr:rowOff>
    </xdr:from>
    <xdr:to>
      <xdr:col>34</xdr:col>
      <xdr:colOff>161925</xdr:colOff>
      <xdr:row>45</xdr:row>
      <xdr:rowOff>141941</xdr:rowOff>
    </xdr:to>
    <xdr:sp macro="" textlink="">
      <xdr:nvSpPr>
        <xdr:cNvPr id="1707" name="Text Box 223" hidden="1">
          <a:extLst>
            <a:ext uri="{FF2B5EF4-FFF2-40B4-BE49-F238E27FC236}">
              <a16:creationId xmlns:a16="http://schemas.microsoft.com/office/drawing/2014/main" id="{FBEC9D88-6E81-41E7-8D5C-2F5FC0530A40}"/>
            </a:ext>
          </a:extLst>
        </xdr:cNvPr>
        <xdr:cNvSpPr txBox="1">
          <a:spLocks noChangeArrowheads="1"/>
        </xdr:cNvSpPr>
      </xdr:nvSpPr>
      <xdr:spPr bwMode="auto">
        <a:xfrm>
          <a:off x="24793575" y="5914092"/>
          <a:ext cx="4838700"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60</xdr:row>
      <xdr:rowOff>345514</xdr:rowOff>
    </xdr:from>
    <xdr:to>
      <xdr:col>18</xdr:col>
      <xdr:colOff>571500</xdr:colOff>
      <xdr:row>80</xdr:row>
      <xdr:rowOff>7255</xdr:rowOff>
    </xdr:to>
    <xdr:sp macro="" textlink="">
      <xdr:nvSpPr>
        <xdr:cNvPr id="1708" name="Text Box 222" hidden="1">
          <a:extLst>
            <a:ext uri="{FF2B5EF4-FFF2-40B4-BE49-F238E27FC236}">
              <a16:creationId xmlns:a16="http://schemas.microsoft.com/office/drawing/2014/main" id="{6AAB6918-CDBD-4E72-B0D8-A2E313E15717}"/>
            </a:ext>
          </a:extLst>
        </xdr:cNvPr>
        <xdr:cNvSpPr txBox="1">
          <a:spLocks noChangeArrowheads="1"/>
        </xdr:cNvSpPr>
      </xdr:nvSpPr>
      <xdr:spPr bwMode="auto">
        <a:xfrm>
          <a:off x="12144375" y="13213789"/>
          <a:ext cx="4657725"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145597</xdr:rowOff>
    </xdr:from>
    <xdr:to>
      <xdr:col>18</xdr:col>
      <xdr:colOff>609600</xdr:colOff>
      <xdr:row>86</xdr:row>
      <xdr:rowOff>48303</xdr:rowOff>
    </xdr:to>
    <xdr:sp macro="" textlink="">
      <xdr:nvSpPr>
        <xdr:cNvPr id="1709" name="Text Box 221" hidden="1">
          <a:extLst>
            <a:ext uri="{FF2B5EF4-FFF2-40B4-BE49-F238E27FC236}">
              <a16:creationId xmlns:a16="http://schemas.microsoft.com/office/drawing/2014/main" id="{84255001-69D8-4A91-B63C-359072BCCD34}"/>
            </a:ext>
          </a:extLst>
        </xdr:cNvPr>
        <xdr:cNvSpPr txBox="1">
          <a:spLocks noChangeArrowheads="1"/>
        </xdr:cNvSpPr>
      </xdr:nvSpPr>
      <xdr:spPr bwMode="auto">
        <a:xfrm>
          <a:off x="12172950" y="14391822"/>
          <a:ext cx="4667250" cy="4268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240661</xdr:rowOff>
    </xdr:to>
    <xdr:sp macro="" textlink="">
      <xdr:nvSpPr>
        <xdr:cNvPr id="1710" name="Text Box 220" hidden="1">
          <a:extLst>
            <a:ext uri="{FF2B5EF4-FFF2-40B4-BE49-F238E27FC236}">
              <a16:creationId xmlns:a16="http://schemas.microsoft.com/office/drawing/2014/main" id="{98074C31-B203-4CCB-BD62-8FA98E07F9AF}"/>
            </a:ext>
          </a:extLst>
        </xdr:cNvPr>
        <xdr:cNvSpPr txBox="1">
          <a:spLocks noChangeArrowheads="1"/>
        </xdr:cNvSpPr>
      </xdr:nvSpPr>
      <xdr:spPr bwMode="auto">
        <a:xfrm>
          <a:off x="12172950" y="9242052"/>
          <a:ext cx="466725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20</xdr:row>
      <xdr:rowOff>59951</xdr:rowOff>
    </xdr:from>
    <xdr:to>
      <xdr:col>30</xdr:col>
      <xdr:colOff>533400</xdr:colOff>
      <xdr:row>40</xdr:row>
      <xdr:rowOff>107577</xdr:rowOff>
    </xdr:to>
    <xdr:sp macro="" textlink="">
      <xdr:nvSpPr>
        <xdr:cNvPr id="1711" name="Text Box 219" hidden="1">
          <a:extLst>
            <a:ext uri="{FF2B5EF4-FFF2-40B4-BE49-F238E27FC236}">
              <a16:creationId xmlns:a16="http://schemas.microsoft.com/office/drawing/2014/main" id="{015027EF-9FB5-4588-BE54-CFDEB1FFF666}"/>
            </a:ext>
          </a:extLst>
        </xdr:cNvPr>
        <xdr:cNvSpPr txBox="1">
          <a:spLocks noChangeArrowheads="1"/>
        </xdr:cNvSpPr>
      </xdr:nvSpPr>
      <xdr:spPr bwMode="auto">
        <a:xfrm>
          <a:off x="21745575" y="4574801"/>
          <a:ext cx="4381500" cy="4019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29</xdr:row>
      <xdr:rowOff>59952</xdr:rowOff>
    </xdr:from>
    <xdr:to>
      <xdr:col>30</xdr:col>
      <xdr:colOff>533400</xdr:colOff>
      <xdr:row>49</xdr:row>
      <xdr:rowOff>107576</xdr:rowOff>
    </xdr:to>
    <xdr:sp macro="" textlink="">
      <xdr:nvSpPr>
        <xdr:cNvPr id="1712" name="Text Box 218" hidden="1">
          <a:extLst>
            <a:ext uri="{FF2B5EF4-FFF2-40B4-BE49-F238E27FC236}">
              <a16:creationId xmlns:a16="http://schemas.microsoft.com/office/drawing/2014/main" id="{57804507-0023-45CC-A2E9-95AC0045A7A7}"/>
            </a:ext>
          </a:extLst>
        </xdr:cNvPr>
        <xdr:cNvSpPr txBox="1">
          <a:spLocks noChangeArrowheads="1"/>
        </xdr:cNvSpPr>
      </xdr:nvSpPr>
      <xdr:spPr bwMode="auto">
        <a:xfrm>
          <a:off x="21745575" y="6556002"/>
          <a:ext cx="4381500"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135</xdr:row>
      <xdr:rowOff>10990</xdr:rowOff>
    </xdr:from>
    <xdr:to>
      <xdr:col>30</xdr:col>
      <xdr:colOff>533400</xdr:colOff>
      <xdr:row>155</xdr:row>
      <xdr:rowOff>49090</xdr:rowOff>
    </xdr:to>
    <xdr:sp macro="" textlink="">
      <xdr:nvSpPr>
        <xdr:cNvPr id="1713" name="Text Box 217" hidden="1">
          <a:extLst>
            <a:ext uri="{FF2B5EF4-FFF2-40B4-BE49-F238E27FC236}">
              <a16:creationId xmlns:a16="http://schemas.microsoft.com/office/drawing/2014/main" id="{DF7CD485-F499-4164-8FF7-05C13DADC3EA}"/>
            </a:ext>
          </a:extLst>
        </xdr:cNvPr>
        <xdr:cNvSpPr txBox="1">
          <a:spLocks noChangeArrowheads="1"/>
        </xdr:cNvSpPr>
      </xdr:nvSpPr>
      <xdr:spPr bwMode="auto">
        <a:xfrm>
          <a:off x="21745575" y="27995440"/>
          <a:ext cx="438150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20</xdr:row>
      <xdr:rowOff>69476</xdr:rowOff>
    </xdr:from>
    <xdr:to>
      <xdr:col>31</xdr:col>
      <xdr:colOff>533400</xdr:colOff>
      <xdr:row>40</xdr:row>
      <xdr:rowOff>107577</xdr:rowOff>
    </xdr:to>
    <xdr:sp macro="" textlink="">
      <xdr:nvSpPr>
        <xdr:cNvPr id="1714" name="Text Box 216" hidden="1">
          <a:extLst>
            <a:ext uri="{FF2B5EF4-FFF2-40B4-BE49-F238E27FC236}">
              <a16:creationId xmlns:a16="http://schemas.microsoft.com/office/drawing/2014/main" id="{50764C6F-CAF7-4F6E-89E8-E7D4F2B84007}"/>
            </a:ext>
          </a:extLst>
        </xdr:cNvPr>
        <xdr:cNvSpPr txBox="1">
          <a:spLocks noChangeArrowheads="1"/>
        </xdr:cNvSpPr>
      </xdr:nvSpPr>
      <xdr:spPr bwMode="auto">
        <a:xfrm>
          <a:off x="22507575" y="4584326"/>
          <a:ext cx="486727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29</xdr:row>
      <xdr:rowOff>69477</xdr:rowOff>
    </xdr:from>
    <xdr:to>
      <xdr:col>31</xdr:col>
      <xdr:colOff>533400</xdr:colOff>
      <xdr:row>49</xdr:row>
      <xdr:rowOff>107576</xdr:rowOff>
    </xdr:to>
    <xdr:sp macro="" textlink="">
      <xdr:nvSpPr>
        <xdr:cNvPr id="1715" name="Text Box 215" hidden="1">
          <a:extLst>
            <a:ext uri="{FF2B5EF4-FFF2-40B4-BE49-F238E27FC236}">
              <a16:creationId xmlns:a16="http://schemas.microsoft.com/office/drawing/2014/main" id="{8C6C01A6-0E40-425D-9752-343905BFD6C8}"/>
            </a:ext>
          </a:extLst>
        </xdr:cNvPr>
        <xdr:cNvSpPr txBox="1">
          <a:spLocks noChangeArrowheads="1"/>
        </xdr:cNvSpPr>
      </xdr:nvSpPr>
      <xdr:spPr bwMode="auto">
        <a:xfrm>
          <a:off x="22507575" y="6565527"/>
          <a:ext cx="4867275" cy="36575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135</xdr:row>
      <xdr:rowOff>10990</xdr:rowOff>
    </xdr:from>
    <xdr:to>
      <xdr:col>31</xdr:col>
      <xdr:colOff>533400</xdr:colOff>
      <xdr:row>155</xdr:row>
      <xdr:rowOff>49090</xdr:rowOff>
    </xdr:to>
    <xdr:sp macro="" textlink="">
      <xdr:nvSpPr>
        <xdr:cNvPr id="1716" name="Text Box 214" hidden="1">
          <a:extLst>
            <a:ext uri="{FF2B5EF4-FFF2-40B4-BE49-F238E27FC236}">
              <a16:creationId xmlns:a16="http://schemas.microsoft.com/office/drawing/2014/main" id="{6006ED69-A6BE-40FA-A536-2DEC4C544666}"/>
            </a:ext>
          </a:extLst>
        </xdr:cNvPr>
        <xdr:cNvSpPr txBox="1">
          <a:spLocks noChangeArrowheads="1"/>
        </xdr:cNvSpPr>
      </xdr:nvSpPr>
      <xdr:spPr bwMode="auto">
        <a:xfrm>
          <a:off x="22507575" y="27995440"/>
          <a:ext cx="4867275"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20</xdr:row>
      <xdr:rowOff>59951</xdr:rowOff>
    </xdr:from>
    <xdr:to>
      <xdr:col>31</xdr:col>
      <xdr:colOff>676275</xdr:colOff>
      <xdr:row>40</xdr:row>
      <xdr:rowOff>59952</xdr:rowOff>
    </xdr:to>
    <xdr:sp macro="" textlink="">
      <xdr:nvSpPr>
        <xdr:cNvPr id="1717" name="Text Box 213" hidden="1">
          <a:extLst>
            <a:ext uri="{FF2B5EF4-FFF2-40B4-BE49-F238E27FC236}">
              <a16:creationId xmlns:a16="http://schemas.microsoft.com/office/drawing/2014/main" id="{224FEE92-5F09-403D-B72F-94B63AB323C4}"/>
            </a:ext>
          </a:extLst>
        </xdr:cNvPr>
        <xdr:cNvSpPr txBox="1">
          <a:spLocks noChangeArrowheads="1"/>
        </xdr:cNvSpPr>
      </xdr:nvSpPr>
      <xdr:spPr bwMode="auto">
        <a:xfrm>
          <a:off x="23298150" y="4574801"/>
          <a:ext cx="4219575"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29</xdr:row>
      <xdr:rowOff>59952</xdr:rowOff>
    </xdr:from>
    <xdr:to>
      <xdr:col>31</xdr:col>
      <xdr:colOff>676275</xdr:colOff>
      <xdr:row>49</xdr:row>
      <xdr:rowOff>69476</xdr:rowOff>
    </xdr:to>
    <xdr:sp macro="" textlink="">
      <xdr:nvSpPr>
        <xdr:cNvPr id="1718" name="Text Box 212" hidden="1">
          <a:extLst>
            <a:ext uri="{FF2B5EF4-FFF2-40B4-BE49-F238E27FC236}">
              <a16:creationId xmlns:a16="http://schemas.microsoft.com/office/drawing/2014/main" id="{FE83F362-2BD0-42F8-A1A1-82BD6E28C9E3}"/>
            </a:ext>
          </a:extLst>
        </xdr:cNvPr>
        <xdr:cNvSpPr txBox="1">
          <a:spLocks noChangeArrowheads="1"/>
        </xdr:cNvSpPr>
      </xdr:nvSpPr>
      <xdr:spPr bwMode="auto">
        <a:xfrm>
          <a:off x="23298150" y="6556002"/>
          <a:ext cx="4219575" cy="3629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14</xdr:row>
      <xdr:rowOff>31376</xdr:rowOff>
    </xdr:from>
    <xdr:to>
      <xdr:col>40</xdr:col>
      <xdr:colOff>438150</xdr:colOff>
      <xdr:row>34</xdr:row>
      <xdr:rowOff>67422</xdr:rowOff>
    </xdr:to>
    <xdr:sp macro="" textlink="">
      <xdr:nvSpPr>
        <xdr:cNvPr id="1719" name="Text Box 211" hidden="1">
          <a:extLst>
            <a:ext uri="{FF2B5EF4-FFF2-40B4-BE49-F238E27FC236}">
              <a16:creationId xmlns:a16="http://schemas.microsoft.com/office/drawing/2014/main" id="{EDE9F9F3-2B69-4C83-A0D3-0F94CA7E4F9F}"/>
            </a:ext>
          </a:extLst>
        </xdr:cNvPr>
        <xdr:cNvSpPr txBox="1">
          <a:spLocks noChangeArrowheads="1"/>
        </xdr:cNvSpPr>
      </xdr:nvSpPr>
      <xdr:spPr bwMode="auto">
        <a:xfrm>
          <a:off x="31403925" y="3460376"/>
          <a:ext cx="3733800" cy="400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134</xdr:row>
      <xdr:rowOff>162830</xdr:rowOff>
    </xdr:from>
    <xdr:to>
      <xdr:col>32</xdr:col>
      <xdr:colOff>419100</xdr:colOff>
      <xdr:row>154</xdr:row>
      <xdr:rowOff>58448</xdr:rowOff>
    </xdr:to>
    <xdr:sp macro="" textlink="">
      <xdr:nvSpPr>
        <xdr:cNvPr id="1720" name="Text Box 210" hidden="1">
          <a:extLst>
            <a:ext uri="{FF2B5EF4-FFF2-40B4-BE49-F238E27FC236}">
              <a16:creationId xmlns:a16="http://schemas.microsoft.com/office/drawing/2014/main" id="{C2225D58-2617-4F10-9226-50F0642A477D}"/>
            </a:ext>
          </a:extLst>
        </xdr:cNvPr>
        <xdr:cNvSpPr txBox="1">
          <a:spLocks noChangeArrowheads="1"/>
        </xdr:cNvSpPr>
      </xdr:nvSpPr>
      <xdr:spPr bwMode="auto">
        <a:xfrm>
          <a:off x="23269575" y="27966305"/>
          <a:ext cx="4867275" cy="35151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20</xdr:row>
      <xdr:rowOff>69476</xdr:rowOff>
    </xdr:from>
    <xdr:to>
      <xdr:col>33</xdr:col>
      <xdr:colOff>285750</xdr:colOff>
      <xdr:row>40</xdr:row>
      <xdr:rowOff>107577</xdr:rowOff>
    </xdr:to>
    <xdr:sp macro="" textlink="">
      <xdr:nvSpPr>
        <xdr:cNvPr id="1721" name="Text Box 209" hidden="1">
          <a:extLst>
            <a:ext uri="{FF2B5EF4-FFF2-40B4-BE49-F238E27FC236}">
              <a16:creationId xmlns:a16="http://schemas.microsoft.com/office/drawing/2014/main" id="{F6FAD697-D559-4F8A-9A03-78F4C7DC6C77}"/>
            </a:ext>
          </a:extLst>
        </xdr:cNvPr>
        <xdr:cNvSpPr txBox="1">
          <a:spLocks noChangeArrowheads="1"/>
        </xdr:cNvSpPr>
      </xdr:nvSpPr>
      <xdr:spPr bwMode="auto">
        <a:xfrm>
          <a:off x="24031575" y="4584326"/>
          <a:ext cx="484822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29</xdr:row>
      <xdr:rowOff>69477</xdr:rowOff>
    </xdr:from>
    <xdr:to>
      <xdr:col>29</xdr:col>
      <xdr:colOff>628650</xdr:colOff>
      <xdr:row>33</xdr:row>
      <xdr:rowOff>152587</xdr:rowOff>
    </xdr:to>
    <xdr:sp macro="" textlink="">
      <xdr:nvSpPr>
        <xdr:cNvPr id="1722" name="Text Box 208" hidden="1">
          <a:extLst>
            <a:ext uri="{FF2B5EF4-FFF2-40B4-BE49-F238E27FC236}">
              <a16:creationId xmlns:a16="http://schemas.microsoft.com/office/drawing/2014/main" id="{4DBC9029-8994-456E-B80D-2E7D729F3F0F}"/>
            </a:ext>
          </a:extLst>
        </xdr:cNvPr>
        <xdr:cNvSpPr txBox="1">
          <a:spLocks noChangeArrowheads="1"/>
        </xdr:cNvSpPr>
      </xdr:nvSpPr>
      <xdr:spPr bwMode="auto">
        <a:xfrm>
          <a:off x="24031575" y="6565527"/>
          <a:ext cx="1314450" cy="8038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59952</xdr:rowOff>
    </xdr:from>
    <xdr:to>
      <xdr:col>21</xdr:col>
      <xdr:colOff>438150</xdr:colOff>
      <xdr:row>32</xdr:row>
      <xdr:rowOff>111872</xdr:rowOff>
    </xdr:to>
    <xdr:sp macro="" textlink="">
      <xdr:nvSpPr>
        <xdr:cNvPr id="1723" name="Text Box 205" hidden="1">
          <a:extLst>
            <a:ext uri="{FF2B5EF4-FFF2-40B4-BE49-F238E27FC236}">
              <a16:creationId xmlns:a16="http://schemas.microsoft.com/office/drawing/2014/main" id="{A168EFD0-EF02-4014-BAC5-FFF6E71F9706}"/>
            </a:ext>
          </a:extLst>
        </xdr:cNvPr>
        <xdr:cNvSpPr txBox="1">
          <a:spLocks noChangeArrowheads="1"/>
        </xdr:cNvSpPr>
      </xdr:nvSpPr>
      <xdr:spPr bwMode="auto">
        <a:xfrm>
          <a:off x="15335250" y="3127002"/>
          <a:ext cx="3695700" cy="40270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345514</xdr:rowOff>
    </xdr:from>
    <xdr:to>
      <xdr:col>9</xdr:col>
      <xdr:colOff>609600</xdr:colOff>
      <xdr:row>80</xdr:row>
      <xdr:rowOff>7255</xdr:rowOff>
    </xdr:to>
    <xdr:sp macro="" textlink="">
      <xdr:nvSpPr>
        <xdr:cNvPr id="1724" name="Text Box 204" hidden="1">
          <a:extLst>
            <a:ext uri="{FF2B5EF4-FFF2-40B4-BE49-F238E27FC236}">
              <a16:creationId xmlns:a16="http://schemas.microsoft.com/office/drawing/2014/main" id="{0BA443BA-CE2B-46EF-9792-E2808036FBB4}"/>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61</xdr:row>
      <xdr:rowOff>342340</xdr:rowOff>
    </xdr:from>
    <xdr:to>
      <xdr:col>9</xdr:col>
      <xdr:colOff>628650</xdr:colOff>
      <xdr:row>80</xdr:row>
      <xdr:rowOff>67413</xdr:rowOff>
    </xdr:to>
    <xdr:sp macro="" textlink="">
      <xdr:nvSpPr>
        <xdr:cNvPr id="1725" name="Text Box 203" hidden="1">
          <a:extLst>
            <a:ext uri="{FF2B5EF4-FFF2-40B4-BE49-F238E27FC236}">
              <a16:creationId xmlns:a16="http://schemas.microsoft.com/office/drawing/2014/main" id="{DE61B1A3-9ACA-4D2A-A954-8A49B7E385E6}"/>
            </a:ext>
          </a:extLst>
        </xdr:cNvPr>
        <xdr:cNvSpPr txBox="1">
          <a:spLocks noChangeArrowheads="1"/>
        </xdr:cNvSpPr>
      </xdr:nvSpPr>
      <xdr:spPr bwMode="auto">
        <a:xfrm>
          <a:off x="4514850" y="13604315"/>
          <a:ext cx="4352925"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342340</xdr:rowOff>
    </xdr:from>
    <xdr:to>
      <xdr:col>9</xdr:col>
      <xdr:colOff>609600</xdr:colOff>
      <xdr:row>80</xdr:row>
      <xdr:rowOff>67413</xdr:rowOff>
    </xdr:to>
    <xdr:sp macro="" textlink="">
      <xdr:nvSpPr>
        <xdr:cNvPr id="1726" name="Text Box 202" hidden="1">
          <a:extLst>
            <a:ext uri="{FF2B5EF4-FFF2-40B4-BE49-F238E27FC236}">
              <a16:creationId xmlns:a16="http://schemas.microsoft.com/office/drawing/2014/main" id="{22628C1F-9A4A-446B-B02C-EDB8DAE9157D}"/>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342340</xdr:rowOff>
    </xdr:from>
    <xdr:to>
      <xdr:col>9</xdr:col>
      <xdr:colOff>609600</xdr:colOff>
      <xdr:row>80</xdr:row>
      <xdr:rowOff>67413</xdr:rowOff>
    </xdr:to>
    <xdr:sp macro="" textlink="">
      <xdr:nvSpPr>
        <xdr:cNvPr id="1727" name="Text Box 201" hidden="1">
          <a:extLst>
            <a:ext uri="{FF2B5EF4-FFF2-40B4-BE49-F238E27FC236}">
              <a16:creationId xmlns:a16="http://schemas.microsoft.com/office/drawing/2014/main" id="{4D79656E-F2D9-46AD-86BA-44852CDAEE45}"/>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65</xdr:row>
      <xdr:rowOff>21772</xdr:rowOff>
    </xdr:from>
    <xdr:to>
      <xdr:col>9</xdr:col>
      <xdr:colOff>609600</xdr:colOff>
      <xdr:row>85</xdr:row>
      <xdr:rowOff>149903</xdr:rowOff>
    </xdr:to>
    <xdr:sp macro="" textlink="">
      <xdr:nvSpPr>
        <xdr:cNvPr id="1728" name="Text Box 200" hidden="1">
          <a:extLst>
            <a:ext uri="{FF2B5EF4-FFF2-40B4-BE49-F238E27FC236}">
              <a16:creationId xmlns:a16="http://schemas.microsoft.com/office/drawing/2014/main" id="{24F28399-3AB2-4959-A6B2-808C6DF65894}"/>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159656</xdr:rowOff>
    </xdr:from>
    <xdr:to>
      <xdr:col>9</xdr:col>
      <xdr:colOff>609600</xdr:colOff>
      <xdr:row>102</xdr:row>
      <xdr:rowOff>18392</xdr:rowOff>
    </xdr:to>
    <xdr:sp macro="" textlink="">
      <xdr:nvSpPr>
        <xdr:cNvPr id="1729" name="Text Box 199" hidden="1">
          <a:extLst>
            <a:ext uri="{FF2B5EF4-FFF2-40B4-BE49-F238E27FC236}">
              <a16:creationId xmlns:a16="http://schemas.microsoft.com/office/drawing/2014/main" id="{12F94820-8ABA-4DAC-A3ED-54A83E01D676}"/>
            </a:ext>
          </a:extLst>
        </xdr:cNvPr>
        <xdr:cNvSpPr txBox="1">
          <a:spLocks noChangeArrowheads="1"/>
        </xdr:cNvSpPr>
      </xdr:nvSpPr>
      <xdr:spPr bwMode="auto">
        <a:xfrm>
          <a:off x="4486275" y="17688831"/>
          <a:ext cx="4362450" cy="4037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75381</xdr:rowOff>
    </xdr:from>
    <xdr:to>
      <xdr:col>9</xdr:col>
      <xdr:colOff>609600</xdr:colOff>
      <xdr:row>102</xdr:row>
      <xdr:rowOff>116148</xdr:rowOff>
    </xdr:to>
    <xdr:sp macro="" textlink="">
      <xdr:nvSpPr>
        <xdr:cNvPr id="1730" name="Text Box 198" hidden="1">
          <a:extLst>
            <a:ext uri="{FF2B5EF4-FFF2-40B4-BE49-F238E27FC236}">
              <a16:creationId xmlns:a16="http://schemas.microsoft.com/office/drawing/2014/main" id="{80CBCFC1-B796-4BB8-9D73-9D01ADDFF0CA}"/>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7814</xdr:rowOff>
    </xdr:from>
    <xdr:to>
      <xdr:col>9</xdr:col>
      <xdr:colOff>609600</xdr:colOff>
      <xdr:row>103</xdr:row>
      <xdr:rowOff>45757</xdr:rowOff>
    </xdr:to>
    <xdr:sp macro="" textlink="">
      <xdr:nvSpPr>
        <xdr:cNvPr id="1731" name="Text Box 197" hidden="1">
          <a:extLst>
            <a:ext uri="{FF2B5EF4-FFF2-40B4-BE49-F238E27FC236}">
              <a16:creationId xmlns:a16="http://schemas.microsoft.com/office/drawing/2014/main" id="{1D943315-73F1-4804-ABF6-F2DFEF746D21}"/>
            </a:ext>
          </a:extLst>
        </xdr:cNvPr>
        <xdr:cNvSpPr txBox="1">
          <a:spLocks noChangeArrowheads="1"/>
        </xdr:cNvSpPr>
      </xdr:nvSpPr>
      <xdr:spPr bwMode="auto">
        <a:xfrm>
          <a:off x="4486275" y="17898939"/>
          <a:ext cx="4362450" cy="41114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198324</xdr:rowOff>
    </xdr:to>
    <xdr:sp macro="" textlink="">
      <xdr:nvSpPr>
        <xdr:cNvPr id="1732" name="Text Box 196" hidden="1">
          <a:extLst>
            <a:ext uri="{FF2B5EF4-FFF2-40B4-BE49-F238E27FC236}">
              <a16:creationId xmlns:a16="http://schemas.microsoft.com/office/drawing/2014/main" id="{65510B86-4513-4EDE-B0DC-30726054B23E}"/>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95997</xdr:rowOff>
    </xdr:from>
    <xdr:to>
      <xdr:col>9</xdr:col>
      <xdr:colOff>609600</xdr:colOff>
      <xdr:row>122</xdr:row>
      <xdr:rowOff>162829</xdr:rowOff>
    </xdr:to>
    <xdr:sp macro="" textlink="">
      <xdr:nvSpPr>
        <xdr:cNvPr id="1733" name="Text Box 195" hidden="1">
          <a:extLst>
            <a:ext uri="{FF2B5EF4-FFF2-40B4-BE49-F238E27FC236}">
              <a16:creationId xmlns:a16="http://schemas.microsoft.com/office/drawing/2014/main" id="{0E1619A5-151B-4FB1-9EEC-39C0FAF3E9E2}"/>
            </a:ext>
          </a:extLst>
        </xdr:cNvPr>
        <xdr:cNvSpPr txBox="1">
          <a:spLocks noChangeArrowheads="1"/>
        </xdr:cNvSpPr>
      </xdr:nvSpPr>
      <xdr:spPr bwMode="auto">
        <a:xfrm>
          <a:off x="4486275" y="22060647"/>
          <a:ext cx="4362450" cy="37339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57798</xdr:rowOff>
    </xdr:from>
    <xdr:to>
      <xdr:col>9</xdr:col>
      <xdr:colOff>609600</xdr:colOff>
      <xdr:row>123</xdr:row>
      <xdr:rowOff>125290</xdr:rowOff>
    </xdr:to>
    <xdr:sp macro="" textlink="">
      <xdr:nvSpPr>
        <xdr:cNvPr id="1734" name="Text Box 194" hidden="1">
          <a:extLst>
            <a:ext uri="{FF2B5EF4-FFF2-40B4-BE49-F238E27FC236}">
              <a16:creationId xmlns:a16="http://schemas.microsoft.com/office/drawing/2014/main" id="{4E720F50-15D5-46DA-9AC2-92EFD1B00F62}"/>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25616</xdr:rowOff>
    </xdr:from>
    <xdr:to>
      <xdr:col>9</xdr:col>
      <xdr:colOff>609600</xdr:colOff>
      <xdr:row>124</xdr:row>
      <xdr:rowOff>122115</xdr:rowOff>
    </xdr:to>
    <xdr:sp macro="" textlink="">
      <xdr:nvSpPr>
        <xdr:cNvPr id="1735" name="Text Box 193" hidden="1">
          <a:extLst>
            <a:ext uri="{FF2B5EF4-FFF2-40B4-BE49-F238E27FC236}">
              <a16:creationId xmlns:a16="http://schemas.microsoft.com/office/drawing/2014/main" id="{00CE6057-C613-4CBB-BD67-F102A68AF5CD}"/>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228816</xdr:rowOff>
    </xdr:from>
    <xdr:to>
      <xdr:col>9</xdr:col>
      <xdr:colOff>609600</xdr:colOff>
      <xdr:row>124</xdr:row>
      <xdr:rowOff>122115</xdr:rowOff>
    </xdr:to>
    <xdr:sp macro="" textlink="">
      <xdr:nvSpPr>
        <xdr:cNvPr id="1736" name="Text Box 192" hidden="1">
          <a:extLst>
            <a:ext uri="{FF2B5EF4-FFF2-40B4-BE49-F238E27FC236}">
              <a16:creationId xmlns:a16="http://schemas.microsoft.com/office/drawing/2014/main" id="{BC34108F-39F9-4EA4-8F43-6C891693FE20}"/>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1737" name="Text Box 191" hidden="1">
          <a:extLst>
            <a:ext uri="{FF2B5EF4-FFF2-40B4-BE49-F238E27FC236}">
              <a16:creationId xmlns:a16="http://schemas.microsoft.com/office/drawing/2014/main" id="{D0929D31-AA78-4397-ABBA-25F1F38C02EF}"/>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59951</xdr:rowOff>
    </xdr:from>
    <xdr:to>
      <xdr:col>25</xdr:col>
      <xdr:colOff>609600</xdr:colOff>
      <xdr:row>40</xdr:row>
      <xdr:rowOff>31377</xdr:rowOff>
    </xdr:to>
    <xdr:sp macro="" textlink="">
      <xdr:nvSpPr>
        <xdr:cNvPr id="1738" name="Text Box 190" hidden="1">
          <a:extLst>
            <a:ext uri="{FF2B5EF4-FFF2-40B4-BE49-F238E27FC236}">
              <a16:creationId xmlns:a16="http://schemas.microsoft.com/office/drawing/2014/main" id="{B6F3B573-EC4E-4D14-8472-316044003F8A}"/>
            </a:ext>
          </a:extLst>
        </xdr:cNvPr>
        <xdr:cNvSpPr txBox="1">
          <a:spLocks noChangeArrowheads="1"/>
        </xdr:cNvSpPr>
      </xdr:nvSpPr>
      <xdr:spPr bwMode="auto">
        <a:xfrm>
          <a:off x="18516600" y="4574801"/>
          <a:ext cx="3733800" cy="3943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59952</xdr:rowOff>
    </xdr:from>
    <xdr:to>
      <xdr:col>25</xdr:col>
      <xdr:colOff>609600</xdr:colOff>
      <xdr:row>49</xdr:row>
      <xdr:rowOff>31376</xdr:rowOff>
    </xdr:to>
    <xdr:sp macro="" textlink="">
      <xdr:nvSpPr>
        <xdr:cNvPr id="1739" name="Text Box 189" hidden="1">
          <a:extLst>
            <a:ext uri="{FF2B5EF4-FFF2-40B4-BE49-F238E27FC236}">
              <a16:creationId xmlns:a16="http://schemas.microsoft.com/office/drawing/2014/main" id="{A292451D-C7A8-4292-834A-BB1E1024822D}"/>
            </a:ext>
          </a:extLst>
        </xdr:cNvPr>
        <xdr:cNvSpPr txBox="1">
          <a:spLocks noChangeArrowheads="1"/>
        </xdr:cNvSpPr>
      </xdr:nvSpPr>
      <xdr:spPr bwMode="auto">
        <a:xfrm>
          <a:off x="18516600" y="6556002"/>
          <a:ext cx="3733800" cy="35909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84015</xdr:rowOff>
    </xdr:from>
    <xdr:to>
      <xdr:col>25</xdr:col>
      <xdr:colOff>609600</xdr:colOff>
      <xdr:row>152</xdr:row>
      <xdr:rowOff>78557</xdr:rowOff>
    </xdr:to>
    <xdr:sp macro="" textlink="">
      <xdr:nvSpPr>
        <xdr:cNvPr id="1740" name="Text Box 188" hidden="1">
          <a:extLst>
            <a:ext uri="{FF2B5EF4-FFF2-40B4-BE49-F238E27FC236}">
              <a16:creationId xmlns:a16="http://schemas.microsoft.com/office/drawing/2014/main" id="{777EC053-D18B-445E-887A-7B4310363B23}"/>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40</xdr:row>
      <xdr:rowOff>59952</xdr:rowOff>
    </xdr:from>
    <xdr:to>
      <xdr:col>16</xdr:col>
      <xdr:colOff>0</xdr:colOff>
      <xdr:row>59</xdr:row>
      <xdr:rowOff>26894</xdr:rowOff>
    </xdr:to>
    <xdr:sp macro="" textlink="">
      <xdr:nvSpPr>
        <xdr:cNvPr id="1741" name="Text Box 187" hidden="1">
          <a:extLst>
            <a:ext uri="{FF2B5EF4-FFF2-40B4-BE49-F238E27FC236}">
              <a16:creationId xmlns:a16="http://schemas.microsoft.com/office/drawing/2014/main" id="{A663B288-3BBF-4B23-9F95-97EEAC4F2CC6}"/>
            </a:ext>
          </a:extLst>
        </xdr:cNvPr>
        <xdr:cNvSpPr txBox="1">
          <a:spLocks noChangeArrowheads="1"/>
        </xdr:cNvSpPr>
      </xdr:nvSpPr>
      <xdr:spPr bwMode="auto">
        <a:xfrm>
          <a:off x="10182225" y="8546727"/>
          <a:ext cx="4524375" cy="3961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20</xdr:row>
      <xdr:rowOff>59951</xdr:rowOff>
    </xdr:from>
    <xdr:to>
      <xdr:col>28</xdr:col>
      <xdr:colOff>628650</xdr:colOff>
      <xdr:row>40</xdr:row>
      <xdr:rowOff>126627</xdr:rowOff>
    </xdr:to>
    <xdr:sp macro="" textlink="">
      <xdr:nvSpPr>
        <xdr:cNvPr id="1742" name="Text Box 186" hidden="1">
          <a:extLst>
            <a:ext uri="{FF2B5EF4-FFF2-40B4-BE49-F238E27FC236}">
              <a16:creationId xmlns:a16="http://schemas.microsoft.com/office/drawing/2014/main" id="{B41BA0F3-A768-426D-97B4-3DDC584F6455}"/>
            </a:ext>
          </a:extLst>
        </xdr:cNvPr>
        <xdr:cNvSpPr txBox="1">
          <a:spLocks noChangeArrowheads="1"/>
        </xdr:cNvSpPr>
      </xdr:nvSpPr>
      <xdr:spPr bwMode="auto">
        <a:xfrm>
          <a:off x="20221575" y="4574801"/>
          <a:ext cx="4352925" cy="4038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29</xdr:row>
      <xdr:rowOff>59952</xdr:rowOff>
    </xdr:from>
    <xdr:to>
      <xdr:col>28</xdr:col>
      <xdr:colOff>628650</xdr:colOff>
      <xdr:row>49</xdr:row>
      <xdr:rowOff>107576</xdr:rowOff>
    </xdr:to>
    <xdr:sp macro="" textlink="">
      <xdr:nvSpPr>
        <xdr:cNvPr id="1743" name="Text Box 185" hidden="1">
          <a:extLst>
            <a:ext uri="{FF2B5EF4-FFF2-40B4-BE49-F238E27FC236}">
              <a16:creationId xmlns:a16="http://schemas.microsoft.com/office/drawing/2014/main" id="{75BA16D4-1A42-4B07-9617-6CFCBEB8614A}"/>
            </a:ext>
          </a:extLst>
        </xdr:cNvPr>
        <xdr:cNvSpPr txBox="1">
          <a:spLocks noChangeArrowheads="1"/>
        </xdr:cNvSpPr>
      </xdr:nvSpPr>
      <xdr:spPr bwMode="auto">
        <a:xfrm>
          <a:off x="20221575" y="6556002"/>
          <a:ext cx="4352925"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132</xdr:row>
      <xdr:rowOff>84015</xdr:rowOff>
    </xdr:from>
    <xdr:to>
      <xdr:col>28</xdr:col>
      <xdr:colOff>628650</xdr:colOff>
      <xdr:row>152</xdr:row>
      <xdr:rowOff>162830</xdr:rowOff>
    </xdr:to>
    <xdr:sp macro="" textlink="">
      <xdr:nvSpPr>
        <xdr:cNvPr id="1744" name="Text Box 184" hidden="1">
          <a:extLst>
            <a:ext uri="{FF2B5EF4-FFF2-40B4-BE49-F238E27FC236}">
              <a16:creationId xmlns:a16="http://schemas.microsoft.com/office/drawing/2014/main" id="{ECEA9048-0EA1-48B1-82ED-C500C83AA8A7}"/>
            </a:ext>
          </a:extLst>
        </xdr:cNvPr>
        <xdr:cNvSpPr txBox="1">
          <a:spLocks noChangeArrowheads="1"/>
        </xdr:cNvSpPr>
      </xdr:nvSpPr>
      <xdr:spPr bwMode="auto">
        <a:xfrm>
          <a:off x="20221575" y="27525540"/>
          <a:ext cx="4352925" cy="36983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20</xdr:row>
      <xdr:rowOff>59951</xdr:rowOff>
    </xdr:from>
    <xdr:to>
      <xdr:col>29</xdr:col>
      <xdr:colOff>619125</xdr:colOff>
      <xdr:row>40</xdr:row>
      <xdr:rowOff>88527</xdr:rowOff>
    </xdr:to>
    <xdr:sp macro="" textlink="">
      <xdr:nvSpPr>
        <xdr:cNvPr id="1745" name="Text Box 183" hidden="1">
          <a:extLst>
            <a:ext uri="{FF2B5EF4-FFF2-40B4-BE49-F238E27FC236}">
              <a16:creationId xmlns:a16="http://schemas.microsoft.com/office/drawing/2014/main" id="{EA1AFCDF-5E75-44BB-94CA-12C3F9221B07}"/>
            </a:ext>
          </a:extLst>
        </xdr:cNvPr>
        <xdr:cNvSpPr txBox="1">
          <a:spLocks noChangeArrowheads="1"/>
        </xdr:cNvSpPr>
      </xdr:nvSpPr>
      <xdr:spPr bwMode="auto">
        <a:xfrm>
          <a:off x="20983575" y="4574801"/>
          <a:ext cx="4352925" cy="4000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29</xdr:row>
      <xdr:rowOff>59952</xdr:rowOff>
    </xdr:from>
    <xdr:to>
      <xdr:col>29</xdr:col>
      <xdr:colOff>619125</xdr:colOff>
      <xdr:row>49</xdr:row>
      <xdr:rowOff>59951</xdr:rowOff>
    </xdr:to>
    <xdr:sp macro="" textlink="">
      <xdr:nvSpPr>
        <xdr:cNvPr id="1746" name="Text Box 182" hidden="1">
          <a:extLst>
            <a:ext uri="{FF2B5EF4-FFF2-40B4-BE49-F238E27FC236}">
              <a16:creationId xmlns:a16="http://schemas.microsoft.com/office/drawing/2014/main" id="{85C9040F-1C31-4BEA-A019-82F45B982C41}"/>
            </a:ext>
          </a:extLst>
        </xdr:cNvPr>
        <xdr:cNvSpPr txBox="1">
          <a:spLocks noChangeArrowheads="1"/>
        </xdr:cNvSpPr>
      </xdr:nvSpPr>
      <xdr:spPr bwMode="auto">
        <a:xfrm>
          <a:off x="20983575" y="6556002"/>
          <a:ext cx="43529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132</xdr:row>
      <xdr:rowOff>125290</xdr:rowOff>
    </xdr:from>
    <xdr:to>
      <xdr:col>29</xdr:col>
      <xdr:colOff>619125</xdr:colOff>
      <xdr:row>152</xdr:row>
      <xdr:rowOff>162830</xdr:rowOff>
    </xdr:to>
    <xdr:sp macro="" textlink="">
      <xdr:nvSpPr>
        <xdr:cNvPr id="1747" name="Text Box 181" hidden="1">
          <a:extLst>
            <a:ext uri="{FF2B5EF4-FFF2-40B4-BE49-F238E27FC236}">
              <a16:creationId xmlns:a16="http://schemas.microsoft.com/office/drawing/2014/main" id="{A06D973D-D01F-4B8F-9275-26236785CA15}"/>
            </a:ext>
          </a:extLst>
        </xdr:cNvPr>
        <xdr:cNvSpPr txBox="1">
          <a:spLocks noChangeArrowheads="1"/>
        </xdr:cNvSpPr>
      </xdr:nvSpPr>
      <xdr:spPr bwMode="auto">
        <a:xfrm>
          <a:off x="20983575" y="27566815"/>
          <a:ext cx="4352925" cy="36570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240661</xdr:rowOff>
    </xdr:to>
    <xdr:sp macro="" textlink="">
      <xdr:nvSpPr>
        <xdr:cNvPr id="1748" name="Text Box 180" hidden="1">
          <a:extLst>
            <a:ext uri="{FF2B5EF4-FFF2-40B4-BE49-F238E27FC236}">
              <a16:creationId xmlns:a16="http://schemas.microsoft.com/office/drawing/2014/main" id="{43A66768-685F-4811-9CCC-DE85F3383E1E}"/>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676275</xdr:colOff>
      <xdr:row>62</xdr:row>
      <xdr:rowOff>240661</xdr:rowOff>
    </xdr:to>
    <xdr:sp macro="" textlink="">
      <xdr:nvSpPr>
        <xdr:cNvPr id="1749" name="Text Box 179" hidden="1">
          <a:extLst>
            <a:ext uri="{FF2B5EF4-FFF2-40B4-BE49-F238E27FC236}">
              <a16:creationId xmlns:a16="http://schemas.microsoft.com/office/drawing/2014/main" id="{3D1AAC64-8D80-4FB5-9CDC-4F5296AEA070}"/>
            </a:ext>
          </a:extLst>
        </xdr:cNvPr>
        <xdr:cNvSpPr txBox="1">
          <a:spLocks noChangeArrowheads="1"/>
        </xdr:cNvSpPr>
      </xdr:nvSpPr>
      <xdr:spPr bwMode="auto">
        <a:xfrm>
          <a:off x="11306175" y="9242052"/>
          <a:ext cx="48387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76200</xdr:colOff>
      <xdr:row>25</xdr:row>
      <xdr:rowOff>145117</xdr:rowOff>
    </xdr:from>
    <xdr:to>
      <xdr:col>34</xdr:col>
      <xdr:colOff>161925</xdr:colOff>
      <xdr:row>45</xdr:row>
      <xdr:rowOff>141941</xdr:rowOff>
    </xdr:to>
    <xdr:sp macro="" textlink="">
      <xdr:nvSpPr>
        <xdr:cNvPr id="1750" name="Text Box 178" hidden="1">
          <a:extLst>
            <a:ext uri="{FF2B5EF4-FFF2-40B4-BE49-F238E27FC236}">
              <a16:creationId xmlns:a16="http://schemas.microsoft.com/office/drawing/2014/main" id="{ABA83120-372F-45E4-A748-3E48A04AF90E}"/>
            </a:ext>
          </a:extLst>
        </xdr:cNvPr>
        <xdr:cNvSpPr txBox="1">
          <a:spLocks noChangeArrowheads="1"/>
        </xdr:cNvSpPr>
      </xdr:nvSpPr>
      <xdr:spPr bwMode="auto">
        <a:xfrm>
          <a:off x="24793575" y="5914092"/>
          <a:ext cx="483870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60</xdr:row>
      <xdr:rowOff>345514</xdr:rowOff>
    </xdr:from>
    <xdr:to>
      <xdr:col>18</xdr:col>
      <xdr:colOff>571500</xdr:colOff>
      <xdr:row>80</xdr:row>
      <xdr:rowOff>7255</xdr:rowOff>
    </xdr:to>
    <xdr:sp macro="" textlink="">
      <xdr:nvSpPr>
        <xdr:cNvPr id="1751" name="Text Box 177" hidden="1">
          <a:extLst>
            <a:ext uri="{FF2B5EF4-FFF2-40B4-BE49-F238E27FC236}">
              <a16:creationId xmlns:a16="http://schemas.microsoft.com/office/drawing/2014/main" id="{92A30A6F-3C14-463E-B764-61258BA89024}"/>
            </a:ext>
          </a:extLst>
        </xdr:cNvPr>
        <xdr:cNvSpPr txBox="1">
          <a:spLocks noChangeArrowheads="1"/>
        </xdr:cNvSpPr>
      </xdr:nvSpPr>
      <xdr:spPr bwMode="auto">
        <a:xfrm>
          <a:off x="12144375" y="13213789"/>
          <a:ext cx="4657725"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145597</xdr:rowOff>
    </xdr:from>
    <xdr:to>
      <xdr:col>18</xdr:col>
      <xdr:colOff>609600</xdr:colOff>
      <xdr:row>86</xdr:row>
      <xdr:rowOff>48303</xdr:rowOff>
    </xdr:to>
    <xdr:sp macro="" textlink="">
      <xdr:nvSpPr>
        <xdr:cNvPr id="1752" name="Text Box 176" hidden="1">
          <a:extLst>
            <a:ext uri="{FF2B5EF4-FFF2-40B4-BE49-F238E27FC236}">
              <a16:creationId xmlns:a16="http://schemas.microsoft.com/office/drawing/2014/main" id="{98882F5C-C2CA-473C-8F53-4DF4E839B1A6}"/>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240661</xdr:rowOff>
    </xdr:to>
    <xdr:sp macro="" textlink="">
      <xdr:nvSpPr>
        <xdr:cNvPr id="1753" name="Text Box 175" hidden="1">
          <a:extLst>
            <a:ext uri="{FF2B5EF4-FFF2-40B4-BE49-F238E27FC236}">
              <a16:creationId xmlns:a16="http://schemas.microsoft.com/office/drawing/2014/main" id="{9377930C-9B75-45BD-AAA0-3546CBF22CD5}"/>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20</xdr:row>
      <xdr:rowOff>59951</xdr:rowOff>
    </xdr:from>
    <xdr:to>
      <xdr:col>30</xdr:col>
      <xdr:colOff>533400</xdr:colOff>
      <xdr:row>40</xdr:row>
      <xdr:rowOff>107577</xdr:rowOff>
    </xdr:to>
    <xdr:sp macro="" textlink="">
      <xdr:nvSpPr>
        <xdr:cNvPr id="1754" name="Text Box 174" hidden="1">
          <a:extLst>
            <a:ext uri="{FF2B5EF4-FFF2-40B4-BE49-F238E27FC236}">
              <a16:creationId xmlns:a16="http://schemas.microsoft.com/office/drawing/2014/main" id="{664F4807-80BD-4376-999A-44813C3A4A3F}"/>
            </a:ext>
          </a:extLst>
        </xdr:cNvPr>
        <xdr:cNvSpPr txBox="1">
          <a:spLocks noChangeArrowheads="1"/>
        </xdr:cNvSpPr>
      </xdr:nvSpPr>
      <xdr:spPr bwMode="auto">
        <a:xfrm>
          <a:off x="21745575" y="4574801"/>
          <a:ext cx="4381500" cy="4019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29</xdr:row>
      <xdr:rowOff>59952</xdr:rowOff>
    </xdr:from>
    <xdr:to>
      <xdr:col>30</xdr:col>
      <xdr:colOff>533400</xdr:colOff>
      <xdr:row>49</xdr:row>
      <xdr:rowOff>107576</xdr:rowOff>
    </xdr:to>
    <xdr:sp macro="" textlink="">
      <xdr:nvSpPr>
        <xdr:cNvPr id="1755" name="Text Box 173" hidden="1">
          <a:extLst>
            <a:ext uri="{FF2B5EF4-FFF2-40B4-BE49-F238E27FC236}">
              <a16:creationId xmlns:a16="http://schemas.microsoft.com/office/drawing/2014/main" id="{F1261639-A41A-42F5-AEBC-EA276F48B9CE}"/>
            </a:ext>
          </a:extLst>
        </xdr:cNvPr>
        <xdr:cNvSpPr txBox="1">
          <a:spLocks noChangeArrowheads="1"/>
        </xdr:cNvSpPr>
      </xdr:nvSpPr>
      <xdr:spPr bwMode="auto">
        <a:xfrm>
          <a:off x="21745575" y="6556002"/>
          <a:ext cx="4381500"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135</xdr:row>
      <xdr:rowOff>10990</xdr:rowOff>
    </xdr:from>
    <xdr:to>
      <xdr:col>30</xdr:col>
      <xdr:colOff>533400</xdr:colOff>
      <xdr:row>155</xdr:row>
      <xdr:rowOff>49090</xdr:rowOff>
    </xdr:to>
    <xdr:sp macro="" textlink="">
      <xdr:nvSpPr>
        <xdr:cNvPr id="1756" name="Text Box 172" hidden="1">
          <a:extLst>
            <a:ext uri="{FF2B5EF4-FFF2-40B4-BE49-F238E27FC236}">
              <a16:creationId xmlns:a16="http://schemas.microsoft.com/office/drawing/2014/main" id="{7297B646-B5A6-43C4-AAFE-8B801711CA25}"/>
            </a:ext>
          </a:extLst>
        </xdr:cNvPr>
        <xdr:cNvSpPr txBox="1">
          <a:spLocks noChangeArrowheads="1"/>
        </xdr:cNvSpPr>
      </xdr:nvSpPr>
      <xdr:spPr bwMode="auto">
        <a:xfrm>
          <a:off x="21745575"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20</xdr:row>
      <xdr:rowOff>69476</xdr:rowOff>
    </xdr:from>
    <xdr:to>
      <xdr:col>31</xdr:col>
      <xdr:colOff>533400</xdr:colOff>
      <xdr:row>40</xdr:row>
      <xdr:rowOff>107577</xdr:rowOff>
    </xdr:to>
    <xdr:sp macro="" textlink="">
      <xdr:nvSpPr>
        <xdr:cNvPr id="1757" name="Text Box 171" hidden="1">
          <a:extLst>
            <a:ext uri="{FF2B5EF4-FFF2-40B4-BE49-F238E27FC236}">
              <a16:creationId xmlns:a16="http://schemas.microsoft.com/office/drawing/2014/main" id="{7948F509-DC20-4027-80D8-9484D148C0BF}"/>
            </a:ext>
          </a:extLst>
        </xdr:cNvPr>
        <xdr:cNvSpPr txBox="1">
          <a:spLocks noChangeArrowheads="1"/>
        </xdr:cNvSpPr>
      </xdr:nvSpPr>
      <xdr:spPr bwMode="auto">
        <a:xfrm>
          <a:off x="22507575"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29</xdr:row>
      <xdr:rowOff>69477</xdr:rowOff>
    </xdr:from>
    <xdr:to>
      <xdr:col>31</xdr:col>
      <xdr:colOff>533400</xdr:colOff>
      <xdr:row>49</xdr:row>
      <xdr:rowOff>107576</xdr:rowOff>
    </xdr:to>
    <xdr:sp macro="" textlink="">
      <xdr:nvSpPr>
        <xdr:cNvPr id="1758" name="Text Box 170" hidden="1">
          <a:extLst>
            <a:ext uri="{FF2B5EF4-FFF2-40B4-BE49-F238E27FC236}">
              <a16:creationId xmlns:a16="http://schemas.microsoft.com/office/drawing/2014/main" id="{D4077E7D-3A3D-4B68-95D3-70CE91CD6AB0}"/>
            </a:ext>
          </a:extLst>
        </xdr:cNvPr>
        <xdr:cNvSpPr txBox="1">
          <a:spLocks noChangeArrowheads="1"/>
        </xdr:cNvSpPr>
      </xdr:nvSpPr>
      <xdr:spPr bwMode="auto">
        <a:xfrm>
          <a:off x="22507575"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135</xdr:row>
      <xdr:rowOff>10990</xdr:rowOff>
    </xdr:from>
    <xdr:to>
      <xdr:col>31</xdr:col>
      <xdr:colOff>533400</xdr:colOff>
      <xdr:row>155</xdr:row>
      <xdr:rowOff>49090</xdr:rowOff>
    </xdr:to>
    <xdr:sp macro="" textlink="">
      <xdr:nvSpPr>
        <xdr:cNvPr id="1759" name="Text Box 169" hidden="1">
          <a:extLst>
            <a:ext uri="{FF2B5EF4-FFF2-40B4-BE49-F238E27FC236}">
              <a16:creationId xmlns:a16="http://schemas.microsoft.com/office/drawing/2014/main" id="{B6A959C1-931E-4F0E-9950-55EE4E5BBEFE}"/>
            </a:ext>
          </a:extLst>
        </xdr:cNvPr>
        <xdr:cNvSpPr txBox="1">
          <a:spLocks noChangeArrowheads="1"/>
        </xdr:cNvSpPr>
      </xdr:nvSpPr>
      <xdr:spPr bwMode="auto">
        <a:xfrm>
          <a:off x="22507575"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20</xdr:row>
      <xdr:rowOff>59951</xdr:rowOff>
    </xdr:from>
    <xdr:to>
      <xdr:col>31</xdr:col>
      <xdr:colOff>676275</xdr:colOff>
      <xdr:row>40</xdr:row>
      <xdr:rowOff>59952</xdr:rowOff>
    </xdr:to>
    <xdr:sp macro="" textlink="">
      <xdr:nvSpPr>
        <xdr:cNvPr id="1760" name="Text Box 168" hidden="1">
          <a:extLst>
            <a:ext uri="{FF2B5EF4-FFF2-40B4-BE49-F238E27FC236}">
              <a16:creationId xmlns:a16="http://schemas.microsoft.com/office/drawing/2014/main" id="{857C1CA9-3712-4400-8E13-77EBC6F8222C}"/>
            </a:ext>
          </a:extLst>
        </xdr:cNvPr>
        <xdr:cNvSpPr txBox="1">
          <a:spLocks noChangeArrowheads="1"/>
        </xdr:cNvSpPr>
      </xdr:nvSpPr>
      <xdr:spPr bwMode="auto">
        <a:xfrm>
          <a:off x="23298150" y="4574801"/>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29</xdr:row>
      <xdr:rowOff>59952</xdr:rowOff>
    </xdr:from>
    <xdr:to>
      <xdr:col>31</xdr:col>
      <xdr:colOff>676275</xdr:colOff>
      <xdr:row>49</xdr:row>
      <xdr:rowOff>69476</xdr:rowOff>
    </xdr:to>
    <xdr:sp macro="" textlink="">
      <xdr:nvSpPr>
        <xdr:cNvPr id="1761" name="Text Box 167" hidden="1">
          <a:extLst>
            <a:ext uri="{FF2B5EF4-FFF2-40B4-BE49-F238E27FC236}">
              <a16:creationId xmlns:a16="http://schemas.microsoft.com/office/drawing/2014/main" id="{5F0D786B-E2D4-47B3-9998-E3F0D41A8081}"/>
            </a:ext>
          </a:extLst>
        </xdr:cNvPr>
        <xdr:cNvSpPr txBox="1">
          <a:spLocks noChangeArrowheads="1"/>
        </xdr:cNvSpPr>
      </xdr:nvSpPr>
      <xdr:spPr bwMode="auto">
        <a:xfrm>
          <a:off x="23298150" y="6556002"/>
          <a:ext cx="4219575" cy="3629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14</xdr:row>
      <xdr:rowOff>31376</xdr:rowOff>
    </xdr:from>
    <xdr:to>
      <xdr:col>40</xdr:col>
      <xdr:colOff>438150</xdr:colOff>
      <xdr:row>34</xdr:row>
      <xdr:rowOff>67422</xdr:rowOff>
    </xdr:to>
    <xdr:sp macro="" textlink="">
      <xdr:nvSpPr>
        <xdr:cNvPr id="1762" name="Text Box 166" hidden="1">
          <a:extLst>
            <a:ext uri="{FF2B5EF4-FFF2-40B4-BE49-F238E27FC236}">
              <a16:creationId xmlns:a16="http://schemas.microsoft.com/office/drawing/2014/main" id="{4A917E7B-2036-461C-9E74-F7557F850FE0}"/>
            </a:ext>
          </a:extLst>
        </xdr:cNvPr>
        <xdr:cNvSpPr txBox="1">
          <a:spLocks noChangeArrowheads="1"/>
        </xdr:cNvSpPr>
      </xdr:nvSpPr>
      <xdr:spPr bwMode="auto">
        <a:xfrm>
          <a:off x="31403925" y="3460376"/>
          <a:ext cx="3733800" cy="40079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134</xdr:row>
      <xdr:rowOff>162830</xdr:rowOff>
    </xdr:from>
    <xdr:to>
      <xdr:col>32</xdr:col>
      <xdr:colOff>419100</xdr:colOff>
      <xdr:row>154</xdr:row>
      <xdr:rowOff>58448</xdr:rowOff>
    </xdr:to>
    <xdr:sp macro="" textlink="">
      <xdr:nvSpPr>
        <xdr:cNvPr id="1763" name="Text Box 165" hidden="1">
          <a:extLst>
            <a:ext uri="{FF2B5EF4-FFF2-40B4-BE49-F238E27FC236}">
              <a16:creationId xmlns:a16="http://schemas.microsoft.com/office/drawing/2014/main" id="{977C8F1B-E4C9-4CE0-8E2D-64E3E84573AF}"/>
            </a:ext>
          </a:extLst>
        </xdr:cNvPr>
        <xdr:cNvSpPr txBox="1">
          <a:spLocks noChangeArrowheads="1"/>
        </xdr:cNvSpPr>
      </xdr:nvSpPr>
      <xdr:spPr bwMode="auto">
        <a:xfrm>
          <a:off x="23269575" y="27966305"/>
          <a:ext cx="4867275" cy="3515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20</xdr:row>
      <xdr:rowOff>69476</xdr:rowOff>
    </xdr:from>
    <xdr:to>
      <xdr:col>33</xdr:col>
      <xdr:colOff>285750</xdr:colOff>
      <xdr:row>40</xdr:row>
      <xdr:rowOff>107577</xdr:rowOff>
    </xdr:to>
    <xdr:sp macro="" textlink="">
      <xdr:nvSpPr>
        <xdr:cNvPr id="1764" name="Text Box 206" hidden="1">
          <a:extLst>
            <a:ext uri="{FF2B5EF4-FFF2-40B4-BE49-F238E27FC236}">
              <a16:creationId xmlns:a16="http://schemas.microsoft.com/office/drawing/2014/main" id="{F2286FA4-9B7A-404E-8BA3-B8AFE8CFA337}"/>
            </a:ext>
          </a:extLst>
        </xdr:cNvPr>
        <xdr:cNvSpPr txBox="1">
          <a:spLocks noChangeArrowheads="1"/>
        </xdr:cNvSpPr>
      </xdr:nvSpPr>
      <xdr:spPr bwMode="auto">
        <a:xfrm>
          <a:off x="24031575" y="4584326"/>
          <a:ext cx="484822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29</xdr:row>
      <xdr:rowOff>69477</xdr:rowOff>
    </xdr:from>
    <xdr:to>
      <xdr:col>29</xdr:col>
      <xdr:colOff>628650</xdr:colOff>
      <xdr:row>33</xdr:row>
      <xdr:rowOff>152587</xdr:rowOff>
    </xdr:to>
    <xdr:sp macro="" textlink="">
      <xdr:nvSpPr>
        <xdr:cNvPr id="1765" name="Text Box 207" hidden="1">
          <a:extLst>
            <a:ext uri="{FF2B5EF4-FFF2-40B4-BE49-F238E27FC236}">
              <a16:creationId xmlns:a16="http://schemas.microsoft.com/office/drawing/2014/main" id="{9B8362B7-FBC7-491D-A644-61880A5E89F5}"/>
            </a:ext>
          </a:extLst>
        </xdr:cNvPr>
        <xdr:cNvSpPr txBox="1">
          <a:spLocks noChangeArrowheads="1"/>
        </xdr:cNvSpPr>
      </xdr:nvSpPr>
      <xdr:spPr bwMode="auto">
        <a:xfrm>
          <a:off x="24031575" y="6565527"/>
          <a:ext cx="131445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50427</xdr:rowOff>
    </xdr:from>
    <xdr:to>
      <xdr:col>21</xdr:col>
      <xdr:colOff>438150</xdr:colOff>
      <xdr:row>32</xdr:row>
      <xdr:rowOff>130922</xdr:rowOff>
    </xdr:to>
    <xdr:sp macro="" textlink="">
      <xdr:nvSpPr>
        <xdr:cNvPr id="1766" name="Text Box 293" hidden="1">
          <a:extLst>
            <a:ext uri="{FF2B5EF4-FFF2-40B4-BE49-F238E27FC236}">
              <a16:creationId xmlns:a16="http://schemas.microsoft.com/office/drawing/2014/main" id="{2A230BC5-0DB3-4197-91EB-7905F36ACF46}"/>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383615</xdr:rowOff>
    </xdr:from>
    <xdr:to>
      <xdr:col>9</xdr:col>
      <xdr:colOff>609600</xdr:colOff>
      <xdr:row>79</xdr:row>
      <xdr:rowOff>44794</xdr:rowOff>
    </xdr:to>
    <xdr:sp macro="" textlink="">
      <xdr:nvSpPr>
        <xdr:cNvPr id="1767" name="Text Box 292" hidden="1">
          <a:extLst>
            <a:ext uri="{FF2B5EF4-FFF2-40B4-BE49-F238E27FC236}">
              <a16:creationId xmlns:a16="http://schemas.microsoft.com/office/drawing/2014/main" id="{302724B0-3879-4A11-8DDB-1B34F6BFA03A}"/>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383614</xdr:rowOff>
    </xdr:from>
    <xdr:to>
      <xdr:col>9</xdr:col>
      <xdr:colOff>628650</xdr:colOff>
      <xdr:row>79</xdr:row>
      <xdr:rowOff>93310</xdr:rowOff>
    </xdr:to>
    <xdr:sp macro="" textlink="">
      <xdr:nvSpPr>
        <xdr:cNvPr id="1768" name="Text Box 291" hidden="1">
          <a:extLst>
            <a:ext uri="{FF2B5EF4-FFF2-40B4-BE49-F238E27FC236}">
              <a16:creationId xmlns:a16="http://schemas.microsoft.com/office/drawing/2014/main" id="{1B1AAEBB-3601-4522-B067-B9776D1B569B}"/>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383614</xdr:rowOff>
    </xdr:from>
    <xdr:to>
      <xdr:col>9</xdr:col>
      <xdr:colOff>609600</xdr:colOff>
      <xdr:row>79</xdr:row>
      <xdr:rowOff>93310</xdr:rowOff>
    </xdr:to>
    <xdr:sp macro="" textlink="">
      <xdr:nvSpPr>
        <xdr:cNvPr id="1769" name="Text Box 290" hidden="1">
          <a:extLst>
            <a:ext uri="{FF2B5EF4-FFF2-40B4-BE49-F238E27FC236}">
              <a16:creationId xmlns:a16="http://schemas.microsoft.com/office/drawing/2014/main" id="{D76E5267-22E4-4560-9668-31532008CFC3}"/>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383614</xdr:rowOff>
    </xdr:from>
    <xdr:to>
      <xdr:col>9</xdr:col>
      <xdr:colOff>609600</xdr:colOff>
      <xdr:row>79</xdr:row>
      <xdr:rowOff>93310</xdr:rowOff>
    </xdr:to>
    <xdr:sp macro="" textlink="">
      <xdr:nvSpPr>
        <xdr:cNvPr id="1770" name="Text Box 289" hidden="1">
          <a:extLst>
            <a:ext uri="{FF2B5EF4-FFF2-40B4-BE49-F238E27FC236}">
              <a16:creationId xmlns:a16="http://schemas.microsoft.com/office/drawing/2014/main" id="{FFF685F7-7FF6-4F3E-AD27-9236A5DFE1EA}"/>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92783</xdr:rowOff>
    </xdr:from>
    <xdr:to>
      <xdr:col>9</xdr:col>
      <xdr:colOff>609600</xdr:colOff>
      <xdr:row>84</xdr:row>
      <xdr:rowOff>786</xdr:rowOff>
    </xdr:to>
    <xdr:sp macro="" textlink="">
      <xdr:nvSpPr>
        <xdr:cNvPr id="1771" name="Text Box 288" hidden="1">
          <a:extLst>
            <a:ext uri="{FF2B5EF4-FFF2-40B4-BE49-F238E27FC236}">
              <a16:creationId xmlns:a16="http://schemas.microsoft.com/office/drawing/2014/main" id="{B20DABFA-05D2-4643-B9EA-1B3BADE53386}"/>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6694</xdr:rowOff>
    </xdr:from>
    <xdr:to>
      <xdr:col>9</xdr:col>
      <xdr:colOff>609600</xdr:colOff>
      <xdr:row>98</xdr:row>
      <xdr:rowOff>159822</xdr:rowOff>
    </xdr:to>
    <xdr:sp macro="" textlink="">
      <xdr:nvSpPr>
        <xdr:cNvPr id="1772" name="Text Box 287" hidden="1">
          <a:extLst>
            <a:ext uri="{FF2B5EF4-FFF2-40B4-BE49-F238E27FC236}">
              <a16:creationId xmlns:a16="http://schemas.microsoft.com/office/drawing/2014/main" id="{14DC59BA-460A-4B96-AAB0-050BECEA8F8E}"/>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120994</xdr:rowOff>
    </xdr:from>
    <xdr:to>
      <xdr:col>9</xdr:col>
      <xdr:colOff>609600</xdr:colOff>
      <xdr:row>100</xdr:row>
      <xdr:rowOff>86688</xdr:rowOff>
    </xdr:to>
    <xdr:sp macro="" textlink="">
      <xdr:nvSpPr>
        <xdr:cNvPr id="1773" name="Text Box 286" hidden="1">
          <a:extLst>
            <a:ext uri="{FF2B5EF4-FFF2-40B4-BE49-F238E27FC236}">
              <a16:creationId xmlns:a16="http://schemas.microsoft.com/office/drawing/2014/main" id="{8FCCD7AA-FA1A-4181-AD5F-AABFC695DF54}"/>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45355</xdr:rowOff>
    </xdr:from>
    <xdr:to>
      <xdr:col>9</xdr:col>
      <xdr:colOff>609600</xdr:colOff>
      <xdr:row>100</xdr:row>
      <xdr:rowOff>86688</xdr:rowOff>
    </xdr:to>
    <xdr:sp macro="" textlink="">
      <xdr:nvSpPr>
        <xdr:cNvPr id="1774" name="Text Box 285" hidden="1">
          <a:extLst>
            <a:ext uri="{FF2B5EF4-FFF2-40B4-BE49-F238E27FC236}">
              <a16:creationId xmlns:a16="http://schemas.microsoft.com/office/drawing/2014/main" id="{02C9FA2D-BA0B-4F04-BDC8-AB98CE5718F7}"/>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45916</xdr:rowOff>
    </xdr:from>
    <xdr:to>
      <xdr:col>9</xdr:col>
      <xdr:colOff>609600</xdr:colOff>
      <xdr:row>101</xdr:row>
      <xdr:rowOff>41010</xdr:rowOff>
    </xdr:to>
    <xdr:sp macro="" textlink="">
      <xdr:nvSpPr>
        <xdr:cNvPr id="1775" name="Text Box 284" hidden="1">
          <a:extLst>
            <a:ext uri="{FF2B5EF4-FFF2-40B4-BE49-F238E27FC236}">
              <a16:creationId xmlns:a16="http://schemas.microsoft.com/office/drawing/2014/main" id="{81A0FD0B-0E89-4A3F-9E52-D549FA7A7700}"/>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161267</xdr:rowOff>
    </xdr:from>
    <xdr:to>
      <xdr:col>9</xdr:col>
      <xdr:colOff>609600</xdr:colOff>
      <xdr:row>121</xdr:row>
      <xdr:rowOff>10990</xdr:rowOff>
    </xdr:to>
    <xdr:sp macro="" textlink="">
      <xdr:nvSpPr>
        <xdr:cNvPr id="1776" name="Text Box 283" hidden="1">
          <a:extLst>
            <a:ext uri="{FF2B5EF4-FFF2-40B4-BE49-F238E27FC236}">
              <a16:creationId xmlns:a16="http://schemas.microsoft.com/office/drawing/2014/main" id="{C40E9208-DDF2-4891-92B7-57D5A0480C4C}"/>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179274</xdr:rowOff>
    </xdr:from>
    <xdr:to>
      <xdr:col>9</xdr:col>
      <xdr:colOff>609600</xdr:colOff>
      <xdr:row>121</xdr:row>
      <xdr:rowOff>153304</xdr:rowOff>
    </xdr:to>
    <xdr:sp macro="" textlink="">
      <xdr:nvSpPr>
        <xdr:cNvPr id="1777" name="Text Box 282" hidden="1">
          <a:extLst>
            <a:ext uri="{FF2B5EF4-FFF2-40B4-BE49-F238E27FC236}">
              <a16:creationId xmlns:a16="http://schemas.microsoft.com/office/drawing/2014/main" id="{569342E3-1DBF-45EA-A5B1-039A94520BFD}"/>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178615</xdr:rowOff>
    </xdr:from>
    <xdr:to>
      <xdr:col>9</xdr:col>
      <xdr:colOff>609600</xdr:colOff>
      <xdr:row>122</xdr:row>
      <xdr:rowOff>172354</xdr:rowOff>
    </xdr:to>
    <xdr:sp macro="" textlink="">
      <xdr:nvSpPr>
        <xdr:cNvPr id="1778" name="Text Box 281" hidden="1">
          <a:extLst>
            <a:ext uri="{FF2B5EF4-FFF2-40B4-BE49-F238E27FC236}">
              <a16:creationId xmlns:a16="http://schemas.microsoft.com/office/drawing/2014/main" id="{303CF935-091D-4C24-B228-96C907B4D722}"/>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115047</xdr:rowOff>
    </xdr:from>
    <xdr:to>
      <xdr:col>9</xdr:col>
      <xdr:colOff>609600</xdr:colOff>
      <xdr:row>122</xdr:row>
      <xdr:rowOff>172354</xdr:rowOff>
    </xdr:to>
    <xdr:sp macro="" textlink="">
      <xdr:nvSpPr>
        <xdr:cNvPr id="1779" name="Text Box 280" hidden="1">
          <a:extLst>
            <a:ext uri="{FF2B5EF4-FFF2-40B4-BE49-F238E27FC236}">
              <a16:creationId xmlns:a16="http://schemas.microsoft.com/office/drawing/2014/main" id="{5EA14166-3371-4BEF-A946-9A72D0D456C1}"/>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126</xdr:row>
      <xdr:rowOff>103064</xdr:rowOff>
    </xdr:from>
    <xdr:to>
      <xdr:col>24</xdr:col>
      <xdr:colOff>438150</xdr:colOff>
      <xdr:row>146</xdr:row>
      <xdr:rowOff>84014</xdr:rowOff>
    </xdr:to>
    <xdr:sp macro="" textlink="">
      <xdr:nvSpPr>
        <xdr:cNvPr id="1780" name="Text Box 279" hidden="1">
          <a:extLst>
            <a:ext uri="{FF2B5EF4-FFF2-40B4-BE49-F238E27FC236}">
              <a16:creationId xmlns:a16="http://schemas.microsoft.com/office/drawing/2014/main" id="{8A04A260-C6C2-4151-AB76-AC8599A34C9E}"/>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50426</xdr:rowOff>
    </xdr:from>
    <xdr:to>
      <xdr:col>25</xdr:col>
      <xdr:colOff>609600</xdr:colOff>
      <xdr:row>40</xdr:row>
      <xdr:rowOff>31377</xdr:rowOff>
    </xdr:to>
    <xdr:sp macro="" textlink="">
      <xdr:nvSpPr>
        <xdr:cNvPr id="1781" name="Text Box 278" hidden="1">
          <a:extLst>
            <a:ext uri="{FF2B5EF4-FFF2-40B4-BE49-F238E27FC236}">
              <a16:creationId xmlns:a16="http://schemas.microsoft.com/office/drawing/2014/main" id="{B36C47CA-112F-4DEB-AB8F-0C4EF58C806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27</xdr:row>
      <xdr:rowOff>85351</xdr:rowOff>
    </xdr:from>
    <xdr:to>
      <xdr:col>25</xdr:col>
      <xdr:colOff>609600</xdr:colOff>
      <xdr:row>47</xdr:row>
      <xdr:rowOff>31377</xdr:rowOff>
    </xdr:to>
    <xdr:sp macro="" textlink="">
      <xdr:nvSpPr>
        <xdr:cNvPr id="1782" name="Text Box 277" hidden="1">
          <a:extLst>
            <a:ext uri="{FF2B5EF4-FFF2-40B4-BE49-F238E27FC236}">
              <a16:creationId xmlns:a16="http://schemas.microsoft.com/office/drawing/2014/main" id="{8ED64F62-11C6-4AC0-99D4-87CF32B15678}"/>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130</xdr:row>
      <xdr:rowOff>103064</xdr:rowOff>
    </xdr:from>
    <xdr:to>
      <xdr:col>25</xdr:col>
      <xdr:colOff>609600</xdr:colOff>
      <xdr:row>150</xdr:row>
      <xdr:rowOff>103064</xdr:rowOff>
    </xdr:to>
    <xdr:sp macro="" textlink="">
      <xdr:nvSpPr>
        <xdr:cNvPr id="1783" name="Text Box 276" hidden="1">
          <a:extLst>
            <a:ext uri="{FF2B5EF4-FFF2-40B4-BE49-F238E27FC236}">
              <a16:creationId xmlns:a16="http://schemas.microsoft.com/office/drawing/2014/main" id="{D04F3E02-C50E-47EC-8888-AC2EF8ACC221}"/>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69476</xdr:rowOff>
    </xdr:from>
    <xdr:to>
      <xdr:col>16</xdr:col>
      <xdr:colOff>0</xdr:colOff>
      <xdr:row>57</xdr:row>
      <xdr:rowOff>264459</xdr:rowOff>
    </xdr:to>
    <xdr:sp macro="" textlink="">
      <xdr:nvSpPr>
        <xdr:cNvPr id="1784" name="Text Box 275" hidden="1">
          <a:extLst>
            <a:ext uri="{FF2B5EF4-FFF2-40B4-BE49-F238E27FC236}">
              <a16:creationId xmlns:a16="http://schemas.microsoft.com/office/drawing/2014/main" id="{CC74A7F6-2DA4-4ACE-893C-62891075CF97}"/>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50426</xdr:rowOff>
    </xdr:from>
    <xdr:to>
      <xdr:col>28</xdr:col>
      <xdr:colOff>628650</xdr:colOff>
      <xdr:row>39</xdr:row>
      <xdr:rowOff>141941</xdr:rowOff>
    </xdr:to>
    <xdr:sp macro="" textlink="">
      <xdr:nvSpPr>
        <xdr:cNvPr id="1785" name="Text Box 274" hidden="1">
          <a:extLst>
            <a:ext uri="{FF2B5EF4-FFF2-40B4-BE49-F238E27FC236}">
              <a16:creationId xmlns:a16="http://schemas.microsoft.com/office/drawing/2014/main" id="{01D618EB-3D6A-4F0F-AD20-7CC2762BF47C}"/>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85351</xdr:rowOff>
    </xdr:from>
    <xdr:to>
      <xdr:col>28</xdr:col>
      <xdr:colOff>628650</xdr:colOff>
      <xdr:row>47</xdr:row>
      <xdr:rowOff>126627</xdr:rowOff>
    </xdr:to>
    <xdr:sp macro="" textlink="">
      <xdr:nvSpPr>
        <xdr:cNvPr id="1786" name="Text Box 273" hidden="1">
          <a:extLst>
            <a:ext uri="{FF2B5EF4-FFF2-40B4-BE49-F238E27FC236}">
              <a16:creationId xmlns:a16="http://schemas.microsoft.com/office/drawing/2014/main" id="{399F87A0-36FD-4F20-A976-519721597537}"/>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130</xdr:row>
      <xdr:rowOff>103064</xdr:rowOff>
    </xdr:from>
    <xdr:to>
      <xdr:col>28</xdr:col>
      <xdr:colOff>628650</xdr:colOff>
      <xdr:row>151</xdr:row>
      <xdr:rowOff>10990</xdr:rowOff>
    </xdr:to>
    <xdr:sp macro="" textlink="">
      <xdr:nvSpPr>
        <xdr:cNvPr id="1787" name="Text Box 272" hidden="1">
          <a:extLst>
            <a:ext uri="{FF2B5EF4-FFF2-40B4-BE49-F238E27FC236}">
              <a16:creationId xmlns:a16="http://schemas.microsoft.com/office/drawing/2014/main" id="{1EC86F4A-A406-4F20-A825-C5ACA69547DE}"/>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50426</xdr:rowOff>
    </xdr:from>
    <xdr:to>
      <xdr:col>29</xdr:col>
      <xdr:colOff>619125</xdr:colOff>
      <xdr:row>40</xdr:row>
      <xdr:rowOff>88527</xdr:rowOff>
    </xdr:to>
    <xdr:sp macro="" textlink="">
      <xdr:nvSpPr>
        <xdr:cNvPr id="1788" name="Text Box 271" hidden="1">
          <a:extLst>
            <a:ext uri="{FF2B5EF4-FFF2-40B4-BE49-F238E27FC236}">
              <a16:creationId xmlns:a16="http://schemas.microsoft.com/office/drawing/2014/main" id="{88CA9565-6683-4390-87A9-3A7612FF041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85351</xdr:rowOff>
    </xdr:from>
    <xdr:to>
      <xdr:col>29</xdr:col>
      <xdr:colOff>619125</xdr:colOff>
      <xdr:row>47</xdr:row>
      <xdr:rowOff>69477</xdr:rowOff>
    </xdr:to>
    <xdr:sp macro="" textlink="">
      <xdr:nvSpPr>
        <xdr:cNvPr id="1789" name="Text Box 270" hidden="1">
          <a:extLst>
            <a:ext uri="{FF2B5EF4-FFF2-40B4-BE49-F238E27FC236}">
              <a16:creationId xmlns:a16="http://schemas.microsoft.com/office/drawing/2014/main" id="{63C3FB88-1DCE-4747-9A1B-2BF654EBD686}"/>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130</xdr:row>
      <xdr:rowOff>172354</xdr:rowOff>
    </xdr:from>
    <xdr:to>
      <xdr:col>29</xdr:col>
      <xdr:colOff>619125</xdr:colOff>
      <xdr:row>151</xdr:row>
      <xdr:rowOff>10990</xdr:rowOff>
    </xdr:to>
    <xdr:sp macro="" textlink="">
      <xdr:nvSpPr>
        <xdr:cNvPr id="1790" name="Text Box 269" hidden="1">
          <a:extLst>
            <a:ext uri="{FF2B5EF4-FFF2-40B4-BE49-F238E27FC236}">
              <a16:creationId xmlns:a16="http://schemas.microsoft.com/office/drawing/2014/main" id="{B0644EAB-2AFC-42B7-A9BC-1C38D4A9F8A8}"/>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42</xdr:row>
      <xdr:rowOff>31376</xdr:rowOff>
    </xdr:from>
    <xdr:to>
      <xdr:col>16</xdr:col>
      <xdr:colOff>0</xdr:colOff>
      <xdr:row>61</xdr:row>
      <xdr:rowOff>255494</xdr:rowOff>
    </xdr:to>
    <xdr:sp macro="" textlink="">
      <xdr:nvSpPr>
        <xdr:cNvPr id="1791" name="Text Box 268" hidden="1">
          <a:extLst>
            <a:ext uri="{FF2B5EF4-FFF2-40B4-BE49-F238E27FC236}">
              <a16:creationId xmlns:a16="http://schemas.microsoft.com/office/drawing/2014/main" id="{86801F19-93DF-46BA-B34A-D78A725681FE}"/>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42</xdr:row>
      <xdr:rowOff>31376</xdr:rowOff>
    </xdr:from>
    <xdr:to>
      <xdr:col>17</xdr:col>
      <xdr:colOff>666750</xdr:colOff>
      <xdr:row>61</xdr:row>
      <xdr:rowOff>255494</xdr:rowOff>
    </xdr:to>
    <xdr:sp macro="" textlink="">
      <xdr:nvSpPr>
        <xdr:cNvPr id="1792" name="Text Box 267" hidden="1">
          <a:extLst>
            <a:ext uri="{FF2B5EF4-FFF2-40B4-BE49-F238E27FC236}">
              <a16:creationId xmlns:a16="http://schemas.microsoft.com/office/drawing/2014/main" id="{B481C351-CC2F-4D40-9D32-68F41E71A33E}"/>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23</xdr:row>
      <xdr:rowOff>532218</xdr:rowOff>
    </xdr:from>
    <xdr:to>
      <xdr:col>34</xdr:col>
      <xdr:colOff>161925</xdr:colOff>
      <xdr:row>44</xdr:row>
      <xdr:rowOff>141941</xdr:rowOff>
    </xdr:to>
    <xdr:sp macro="" textlink="">
      <xdr:nvSpPr>
        <xdr:cNvPr id="1793" name="Text Box 266" hidden="1">
          <a:extLst>
            <a:ext uri="{FF2B5EF4-FFF2-40B4-BE49-F238E27FC236}">
              <a16:creationId xmlns:a16="http://schemas.microsoft.com/office/drawing/2014/main" id="{33D255BE-36C9-46B7-999C-096C972BD717}"/>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59</xdr:row>
      <xdr:rowOff>383615</xdr:rowOff>
    </xdr:from>
    <xdr:to>
      <xdr:col>18</xdr:col>
      <xdr:colOff>571500</xdr:colOff>
      <xdr:row>79</xdr:row>
      <xdr:rowOff>44794</xdr:rowOff>
    </xdr:to>
    <xdr:sp macro="" textlink="">
      <xdr:nvSpPr>
        <xdr:cNvPr id="1794" name="Text Box 265" hidden="1">
          <a:extLst>
            <a:ext uri="{FF2B5EF4-FFF2-40B4-BE49-F238E27FC236}">
              <a16:creationId xmlns:a16="http://schemas.microsoft.com/office/drawing/2014/main" id="{8B6ADCEA-DA3A-4CE9-8870-DB87B893769F}"/>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38808</xdr:rowOff>
    </xdr:from>
    <xdr:to>
      <xdr:col>18</xdr:col>
      <xdr:colOff>609600</xdr:colOff>
      <xdr:row>83</xdr:row>
      <xdr:rowOff>58782</xdr:rowOff>
    </xdr:to>
    <xdr:sp macro="" textlink="">
      <xdr:nvSpPr>
        <xdr:cNvPr id="1795" name="Text Box 264" hidden="1">
          <a:extLst>
            <a:ext uri="{FF2B5EF4-FFF2-40B4-BE49-F238E27FC236}">
              <a16:creationId xmlns:a16="http://schemas.microsoft.com/office/drawing/2014/main" id="{59D5D33F-0CB7-4328-B561-623F5BE39969}"/>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42</xdr:row>
      <xdr:rowOff>31376</xdr:rowOff>
    </xdr:from>
    <xdr:to>
      <xdr:col>18</xdr:col>
      <xdr:colOff>609600</xdr:colOff>
      <xdr:row>61</xdr:row>
      <xdr:rowOff>255494</xdr:rowOff>
    </xdr:to>
    <xdr:sp macro="" textlink="">
      <xdr:nvSpPr>
        <xdr:cNvPr id="1796" name="Text Box 263" hidden="1">
          <a:extLst>
            <a:ext uri="{FF2B5EF4-FFF2-40B4-BE49-F238E27FC236}">
              <a16:creationId xmlns:a16="http://schemas.microsoft.com/office/drawing/2014/main" id="{C0D0E71D-74FF-47DE-8943-4787F7D794E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50426</xdr:rowOff>
    </xdr:from>
    <xdr:to>
      <xdr:col>30</xdr:col>
      <xdr:colOff>523875</xdr:colOff>
      <xdr:row>40</xdr:row>
      <xdr:rowOff>126627</xdr:rowOff>
    </xdr:to>
    <xdr:sp macro="" textlink="">
      <xdr:nvSpPr>
        <xdr:cNvPr id="1797" name="Text Box 262" hidden="1">
          <a:extLst>
            <a:ext uri="{FF2B5EF4-FFF2-40B4-BE49-F238E27FC236}">
              <a16:creationId xmlns:a16="http://schemas.microsoft.com/office/drawing/2014/main" id="{BA383444-EADD-4EED-9528-E14AEBD90918}"/>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85351</xdr:rowOff>
    </xdr:from>
    <xdr:to>
      <xdr:col>30</xdr:col>
      <xdr:colOff>523875</xdr:colOff>
      <xdr:row>47</xdr:row>
      <xdr:rowOff>126627</xdr:rowOff>
    </xdr:to>
    <xdr:sp macro="" textlink="">
      <xdr:nvSpPr>
        <xdr:cNvPr id="1798" name="Text Box 261" hidden="1">
          <a:extLst>
            <a:ext uri="{FF2B5EF4-FFF2-40B4-BE49-F238E27FC236}">
              <a16:creationId xmlns:a16="http://schemas.microsoft.com/office/drawing/2014/main" id="{D526BAED-91F5-428E-B9F7-FE10028EBAAC}"/>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133</xdr:row>
      <xdr:rowOff>49090</xdr:rowOff>
    </xdr:from>
    <xdr:to>
      <xdr:col>30</xdr:col>
      <xdr:colOff>523875</xdr:colOff>
      <xdr:row>152</xdr:row>
      <xdr:rowOff>58449</xdr:rowOff>
    </xdr:to>
    <xdr:sp macro="" textlink="">
      <xdr:nvSpPr>
        <xdr:cNvPr id="1799" name="Text Box 260" hidden="1">
          <a:extLst>
            <a:ext uri="{FF2B5EF4-FFF2-40B4-BE49-F238E27FC236}">
              <a16:creationId xmlns:a16="http://schemas.microsoft.com/office/drawing/2014/main" id="{BB612CE1-6304-4281-AFF6-E01C98C067AD}"/>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69476</xdr:rowOff>
    </xdr:from>
    <xdr:to>
      <xdr:col>31</xdr:col>
      <xdr:colOff>523875</xdr:colOff>
      <xdr:row>40</xdr:row>
      <xdr:rowOff>126627</xdr:rowOff>
    </xdr:to>
    <xdr:sp macro="" textlink="">
      <xdr:nvSpPr>
        <xdr:cNvPr id="1800" name="Text Box 259" hidden="1">
          <a:extLst>
            <a:ext uri="{FF2B5EF4-FFF2-40B4-BE49-F238E27FC236}">
              <a16:creationId xmlns:a16="http://schemas.microsoft.com/office/drawing/2014/main" id="{A0A083D6-EEB1-40B4-B9A5-00B2FBA303BC}"/>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85351</xdr:rowOff>
    </xdr:from>
    <xdr:to>
      <xdr:col>31</xdr:col>
      <xdr:colOff>523875</xdr:colOff>
      <xdr:row>47</xdr:row>
      <xdr:rowOff>126627</xdr:rowOff>
    </xdr:to>
    <xdr:sp macro="" textlink="">
      <xdr:nvSpPr>
        <xdr:cNvPr id="1801" name="Text Box 258" hidden="1">
          <a:extLst>
            <a:ext uri="{FF2B5EF4-FFF2-40B4-BE49-F238E27FC236}">
              <a16:creationId xmlns:a16="http://schemas.microsoft.com/office/drawing/2014/main" id="{B327FD1F-2CBC-4E99-8F65-AB45065DEACE}"/>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133</xdr:row>
      <xdr:rowOff>49090</xdr:rowOff>
    </xdr:from>
    <xdr:to>
      <xdr:col>31</xdr:col>
      <xdr:colOff>523875</xdr:colOff>
      <xdr:row>152</xdr:row>
      <xdr:rowOff>58449</xdr:rowOff>
    </xdr:to>
    <xdr:sp macro="" textlink="">
      <xdr:nvSpPr>
        <xdr:cNvPr id="1802" name="Text Box 257" hidden="1">
          <a:extLst>
            <a:ext uri="{FF2B5EF4-FFF2-40B4-BE49-F238E27FC236}">
              <a16:creationId xmlns:a16="http://schemas.microsoft.com/office/drawing/2014/main" id="{E6ACDCD4-AF53-46CA-AD5E-003CC9CCE624}"/>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20</xdr:row>
      <xdr:rowOff>50426</xdr:rowOff>
    </xdr:from>
    <xdr:to>
      <xdr:col>31</xdr:col>
      <xdr:colOff>676275</xdr:colOff>
      <xdr:row>40</xdr:row>
      <xdr:rowOff>69477</xdr:rowOff>
    </xdr:to>
    <xdr:sp macro="" textlink="">
      <xdr:nvSpPr>
        <xdr:cNvPr id="1803" name="Text Box 256" hidden="1">
          <a:extLst>
            <a:ext uri="{FF2B5EF4-FFF2-40B4-BE49-F238E27FC236}">
              <a16:creationId xmlns:a16="http://schemas.microsoft.com/office/drawing/2014/main" id="{FC279115-751C-4FA9-B205-566DEAD14DBE}"/>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27</xdr:row>
      <xdr:rowOff>85351</xdr:rowOff>
    </xdr:from>
    <xdr:to>
      <xdr:col>31</xdr:col>
      <xdr:colOff>676275</xdr:colOff>
      <xdr:row>47</xdr:row>
      <xdr:rowOff>69477</xdr:rowOff>
    </xdr:to>
    <xdr:sp macro="" textlink="">
      <xdr:nvSpPr>
        <xdr:cNvPr id="1804" name="Text Box 255" hidden="1">
          <a:extLst>
            <a:ext uri="{FF2B5EF4-FFF2-40B4-BE49-F238E27FC236}">
              <a16:creationId xmlns:a16="http://schemas.microsoft.com/office/drawing/2014/main" id="{8D6D8229-F62B-4E3B-AA6C-CEEF899BF5C4}"/>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133</xdr:row>
      <xdr:rowOff>10990</xdr:rowOff>
    </xdr:from>
    <xdr:to>
      <xdr:col>32</xdr:col>
      <xdr:colOff>409575</xdr:colOff>
      <xdr:row>152</xdr:row>
      <xdr:rowOff>84016</xdr:rowOff>
    </xdr:to>
    <xdr:sp macro="" textlink="">
      <xdr:nvSpPr>
        <xdr:cNvPr id="1805" name="Text Box 253" hidden="1">
          <a:extLst>
            <a:ext uri="{FF2B5EF4-FFF2-40B4-BE49-F238E27FC236}">
              <a16:creationId xmlns:a16="http://schemas.microsoft.com/office/drawing/2014/main" id="{32E85982-CC45-4869-893F-9F8AC50F7DD2}"/>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20</xdr:row>
      <xdr:rowOff>69476</xdr:rowOff>
    </xdr:from>
    <xdr:to>
      <xdr:col>33</xdr:col>
      <xdr:colOff>276225</xdr:colOff>
      <xdr:row>40</xdr:row>
      <xdr:rowOff>126627</xdr:rowOff>
    </xdr:to>
    <xdr:sp macro="" textlink="">
      <xdr:nvSpPr>
        <xdr:cNvPr id="1806" name="Text Box 252" hidden="1">
          <a:extLst>
            <a:ext uri="{FF2B5EF4-FFF2-40B4-BE49-F238E27FC236}">
              <a16:creationId xmlns:a16="http://schemas.microsoft.com/office/drawing/2014/main" id="{271F793E-1564-4D8E-BEEE-44C5534093D5}"/>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27</xdr:row>
      <xdr:rowOff>85351</xdr:rowOff>
    </xdr:from>
    <xdr:to>
      <xdr:col>33</xdr:col>
      <xdr:colOff>276225</xdr:colOff>
      <xdr:row>46</xdr:row>
      <xdr:rowOff>141941</xdr:rowOff>
    </xdr:to>
    <xdr:sp macro="" textlink="">
      <xdr:nvSpPr>
        <xdr:cNvPr id="1807" name="Text Box 251" hidden="1">
          <a:extLst>
            <a:ext uri="{FF2B5EF4-FFF2-40B4-BE49-F238E27FC236}">
              <a16:creationId xmlns:a16="http://schemas.microsoft.com/office/drawing/2014/main" id="{C02267BE-0BC1-4986-B785-CC498A524BE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20</xdr:row>
      <xdr:rowOff>69476</xdr:rowOff>
    </xdr:from>
    <xdr:to>
      <xdr:col>30</xdr:col>
      <xdr:colOff>530225</xdr:colOff>
      <xdr:row>23</xdr:row>
      <xdr:rowOff>343274</xdr:rowOff>
    </xdr:to>
    <xdr:sp macro="" textlink="">
      <xdr:nvSpPr>
        <xdr:cNvPr id="1808" name="Text Box 294" hidden="1">
          <a:extLst>
            <a:ext uri="{FF2B5EF4-FFF2-40B4-BE49-F238E27FC236}">
              <a16:creationId xmlns:a16="http://schemas.microsoft.com/office/drawing/2014/main" id="{EFB3062D-4591-4075-B7AB-FE0C0E417D8A}"/>
            </a:ext>
          </a:extLst>
        </xdr:cNvPr>
        <xdr:cNvSpPr txBox="1">
          <a:spLocks noChangeArrowheads="1"/>
        </xdr:cNvSpPr>
      </xdr:nvSpPr>
      <xdr:spPr bwMode="auto">
        <a:xfrm>
          <a:off x="24790400" y="4584326"/>
          <a:ext cx="1333500" cy="8135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29</xdr:row>
      <xdr:rowOff>69477</xdr:rowOff>
    </xdr:from>
    <xdr:to>
      <xdr:col>30</xdr:col>
      <xdr:colOff>530225</xdr:colOff>
      <xdr:row>33</xdr:row>
      <xdr:rowOff>152587</xdr:rowOff>
    </xdr:to>
    <xdr:sp macro="" textlink="">
      <xdr:nvSpPr>
        <xdr:cNvPr id="1809" name="Text Box 295" hidden="1">
          <a:extLst>
            <a:ext uri="{FF2B5EF4-FFF2-40B4-BE49-F238E27FC236}">
              <a16:creationId xmlns:a16="http://schemas.microsoft.com/office/drawing/2014/main" id="{3F0C1FC8-16AC-4534-A493-29B797B8E09A}"/>
            </a:ext>
          </a:extLst>
        </xdr:cNvPr>
        <xdr:cNvSpPr txBox="1">
          <a:spLocks noChangeArrowheads="1"/>
        </xdr:cNvSpPr>
      </xdr:nvSpPr>
      <xdr:spPr bwMode="auto">
        <a:xfrm>
          <a:off x="24790400" y="6565527"/>
          <a:ext cx="133350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134</xdr:row>
      <xdr:rowOff>172355</xdr:rowOff>
    </xdr:from>
    <xdr:to>
      <xdr:col>30</xdr:col>
      <xdr:colOff>530225</xdr:colOff>
      <xdr:row>139</xdr:row>
      <xdr:rowOff>58447</xdr:rowOff>
    </xdr:to>
    <xdr:sp macro="" textlink="">
      <xdr:nvSpPr>
        <xdr:cNvPr id="1810" name="Text Box 296" hidden="1">
          <a:extLst>
            <a:ext uri="{FF2B5EF4-FFF2-40B4-BE49-F238E27FC236}">
              <a16:creationId xmlns:a16="http://schemas.microsoft.com/office/drawing/2014/main" id="{35DF6BED-4C64-4C4A-9A70-08E8A5CA255C}"/>
            </a:ext>
          </a:extLst>
        </xdr:cNvPr>
        <xdr:cNvSpPr txBox="1">
          <a:spLocks noChangeArrowheads="1"/>
        </xdr:cNvSpPr>
      </xdr:nvSpPr>
      <xdr:spPr bwMode="auto">
        <a:xfrm>
          <a:off x="24790400" y="27975830"/>
          <a:ext cx="1333500" cy="7909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50427</xdr:rowOff>
    </xdr:from>
    <xdr:to>
      <xdr:col>21</xdr:col>
      <xdr:colOff>438150</xdr:colOff>
      <xdr:row>32</xdr:row>
      <xdr:rowOff>130922</xdr:rowOff>
    </xdr:to>
    <xdr:sp macro="" textlink="">
      <xdr:nvSpPr>
        <xdr:cNvPr id="1811" name="Text Box 341" hidden="1">
          <a:extLst>
            <a:ext uri="{FF2B5EF4-FFF2-40B4-BE49-F238E27FC236}">
              <a16:creationId xmlns:a16="http://schemas.microsoft.com/office/drawing/2014/main" id="{62ACE7AF-4D47-4A52-B248-921A8EC25722}"/>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383615</xdr:rowOff>
    </xdr:from>
    <xdr:to>
      <xdr:col>9</xdr:col>
      <xdr:colOff>609600</xdr:colOff>
      <xdr:row>79</xdr:row>
      <xdr:rowOff>44794</xdr:rowOff>
    </xdr:to>
    <xdr:sp macro="" textlink="">
      <xdr:nvSpPr>
        <xdr:cNvPr id="1812" name="Text Box 340" hidden="1">
          <a:extLst>
            <a:ext uri="{FF2B5EF4-FFF2-40B4-BE49-F238E27FC236}">
              <a16:creationId xmlns:a16="http://schemas.microsoft.com/office/drawing/2014/main" id="{B63562FD-C4C1-4108-B754-7B6AC37CC261}"/>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383614</xdr:rowOff>
    </xdr:from>
    <xdr:to>
      <xdr:col>9</xdr:col>
      <xdr:colOff>628650</xdr:colOff>
      <xdr:row>79</xdr:row>
      <xdr:rowOff>93310</xdr:rowOff>
    </xdr:to>
    <xdr:sp macro="" textlink="">
      <xdr:nvSpPr>
        <xdr:cNvPr id="1813" name="Text Box 339" hidden="1">
          <a:extLst>
            <a:ext uri="{FF2B5EF4-FFF2-40B4-BE49-F238E27FC236}">
              <a16:creationId xmlns:a16="http://schemas.microsoft.com/office/drawing/2014/main" id="{94C6B422-3D47-478B-BF67-65AE5F9AB7B4}"/>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383614</xdr:rowOff>
    </xdr:from>
    <xdr:to>
      <xdr:col>9</xdr:col>
      <xdr:colOff>609600</xdr:colOff>
      <xdr:row>79</xdr:row>
      <xdr:rowOff>93310</xdr:rowOff>
    </xdr:to>
    <xdr:sp macro="" textlink="">
      <xdr:nvSpPr>
        <xdr:cNvPr id="1814" name="Text Box 338" hidden="1">
          <a:extLst>
            <a:ext uri="{FF2B5EF4-FFF2-40B4-BE49-F238E27FC236}">
              <a16:creationId xmlns:a16="http://schemas.microsoft.com/office/drawing/2014/main" id="{B087BF00-46E9-4D06-9DDA-2958EB587EB5}"/>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383614</xdr:rowOff>
    </xdr:from>
    <xdr:to>
      <xdr:col>9</xdr:col>
      <xdr:colOff>609600</xdr:colOff>
      <xdr:row>79</xdr:row>
      <xdr:rowOff>93310</xdr:rowOff>
    </xdr:to>
    <xdr:sp macro="" textlink="">
      <xdr:nvSpPr>
        <xdr:cNvPr id="1815" name="Text Box 337" hidden="1">
          <a:extLst>
            <a:ext uri="{FF2B5EF4-FFF2-40B4-BE49-F238E27FC236}">
              <a16:creationId xmlns:a16="http://schemas.microsoft.com/office/drawing/2014/main" id="{5420993F-3337-4222-B071-CB9DCCC73179}"/>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92783</xdr:rowOff>
    </xdr:from>
    <xdr:to>
      <xdr:col>9</xdr:col>
      <xdr:colOff>609600</xdr:colOff>
      <xdr:row>84</xdr:row>
      <xdr:rowOff>786</xdr:rowOff>
    </xdr:to>
    <xdr:sp macro="" textlink="">
      <xdr:nvSpPr>
        <xdr:cNvPr id="1816" name="Text Box 336" hidden="1">
          <a:extLst>
            <a:ext uri="{FF2B5EF4-FFF2-40B4-BE49-F238E27FC236}">
              <a16:creationId xmlns:a16="http://schemas.microsoft.com/office/drawing/2014/main" id="{FB94C5C8-DD88-4578-A106-9CF7FD0035AB}"/>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6694</xdr:rowOff>
    </xdr:from>
    <xdr:to>
      <xdr:col>9</xdr:col>
      <xdr:colOff>609600</xdr:colOff>
      <xdr:row>98</xdr:row>
      <xdr:rowOff>159822</xdr:rowOff>
    </xdr:to>
    <xdr:sp macro="" textlink="">
      <xdr:nvSpPr>
        <xdr:cNvPr id="1817" name="Text Box 335" hidden="1">
          <a:extLst>
            <a:ext uri="{FF2B5EF4-FFF2-40B4-BE49-F238E27FC236}">
              <a16:creationId xmlns:a16="http://schemas.microsoft.com/office/drawing/2014/main" id="{7965624D-7969-440F-B54A-2F5C423D3F4C}"/>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120994</xdr:rowOff>
    </xdr:from>
    <xdr:to>
      <xdr:col>9</xdr:col>
      <xdr:colOff>609600</xdr:colOff>
      <xdr:row>100</xdr:row>
      <xdr:rowOff>86688</xdr:rowOff>
    </xdr:to>
    <xdr:sp macro="" textlink="">
      <xdr:nvSpPr>
        <xdr:cNvPr id="1818" name="Text Box 334" hidden="1">
          <a:extLst>
            <a:ext uri="{FF2B5EF4-FFF2-40B4-BE49-F238E27FC236}">
              <a16:creationId xmlns:a16="http://schemas.microsoft.com/office/drawing/2014/main" id="{28D4A4C2-C4A6-4BF4-9F19-710B8E8B105B}"/>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45355</xdr:rowOff>
    </xdr:from>
    <xdr:to>
      <xdr:col>9</xdr:col>
      <xdr:colOff>609600</xdr:colOff>
      <xdr:row>100</xdr:row>
      <xdr:rowOff>86688</xdr:rowOff>
    </xdr:to>
    <xdr:sp macro="" textlink="">
      <xdr:nvSpPr>
        <xdr:cNvPr id="1819" name="Text Box 333" hidden="1">
          <a:extLst>
            <a:ext uri="{FF2B5EF4-FFF2-40B4-BE49-F238E27FC236}">
              <a16:creationId xmlns:a16="http://schemas.microsoft.com/office/drawing/2014/main" id="{8E5B3575-F21B-4AA8-BB8D-C2B9DBCE651D}"/>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45916</xdr:rowOff>
    </xdr:from>
    <xdr:to>
      <xdr:col>9</xdr:col>
      <xdr:colOff>609600</xdr:colOff>
      <xdr:row>101</xdr:row>
      <xdr:rowOff>41010</xdr:rowOff>
    </xdr:to>
    <xdr:sp macro="" textlink="">
      <xdr:nvSpPr>
        <xdr:cNvPr id="1820" name="Text Box 332" hidden="1">
          <a:extLst>
            <a:ext uri="{FF2B5EF4-FFF2-40B4-BE49-F238E27FC236}">
              <a16:creationId xmlns:a16="http://schemas.microsoft.com/office/drawing/2014/main" id="{35DE28F9-3647-46B3-956F-DA9DB9AB984C}"/>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161267</xdr:rowOff>
    </xdr:from>
    <xdr:to>
      <xdr:col>9</xdr:col>
      <xdr:colOff>609600</xdr:colOff>
      <xdr:row>121</xdr:row>
      <xdr:rowOff>10990</xdr:rowOff>
    </xdr:to>
    <xdr:sp macro="" textlink="">
      <xdr:nvSpPr>
        <xdr:cNvPr id="1821" name="Text Box 331" hidden="1">
          <a:extLst>
            <a:ext uri="{FF2B5EF4-FFF2-40B4-BE49-F238E27FC236}">
              <a16:creationId xmlns:a16="http://schemas.microsoft.com/office/drawing/2014/main" id="{4DFC36B6-CB5A-4CC7-915B-FD8FD3F763B1}"/>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179274</xdr:rowOff>
    </xdr:from>
    <xdr:to>
      <xdr:col>9</xdr:col>
      <xdr:colOff>609600</xdr:colOff>
      <xdr:row>121</xdr:row>
      <xdr:rowOff>153304</xdr:rowOff>
    </xdr:to>
    <xdr:sp macro="" textlink="">
      <xdr:nvSpPr>
        <xdr:cNvPr id="1822" name="Text Box 330" hidden="1">
          <a:extLst>
            <a:ext uri="{FF2B5EF4-FFF2-40B4-BE49-F238E27FC236}">
              <a16:creationId xmlns:a16="http://schemas.microsoft.com/office/drawing/2014/main" id="{60862CA9-C864-44CB-B17D-C3B434BB70FF}"/>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178615</xdr:rowOff>
    </xdr:from>
    <xdr:to>
      <xdr:col>9</xdr:col>
      <xdr:colOff>609600</xdr:colOff>
      <xdr:row>122</xdr:row>
      <xdr:rowOff>172354</xdr:rowOff>
    </xdr:to>
    <xdr:sp macro="" textlink="">
      <xdr:nvSpPr>
        <xdr:cNvPr id="1823" name="Text Box 329" hidden="1">
          <a:extLst>
            <a:ext uri="{FF2B5EF4-FFF2-40B4-BE49-F238E27FC236}">
              <a16:creationId xmlns:a16="http://schemas.microsoft.com/office/drawing/2014/main" id="{BA674DF8-B713-41F6-AE55-87743846867C}"/>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115047</xdr:rowOff>
    </xdr:from>
    <xdr:to>
      <xdr:col>9</xdr:col>
      <xdr:colOff>609600</xdr:colOff>
      <xdr:row>122</xdr:row>
      <xdr:rowOff>172354</xdr:rowOff>
    </xdr:to>
    <xdr:sp macro="" textlink="">
      <xdr:nvSpPr>
        <xdr:cNvPr id="1824" name="Text Box 328" hidden="1">
          <a:extLst>
            <a:ext uri="{FF2B5EF4-FFF2-40B4-BE49-F238E27FC236}">
              <a16:creationId xmlns:a16="http://schemas.microsoft.com/office/drawing/2014/main" id="{8D8F3519-ADF5-48C4-9C90-16352C19BB1A}"/>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126</xdr:row>
      <xdr:rowOff>103064</xdr:rowOff>
    </xdr:from>
    <xdr:to>
      <xdr:col>24</xdr:col>
      <xdr:colOff>438150</xdr:colOff>
      <xdr:row>146</xdr:row>
      <xdr:rowOff>84014</xdr:rowOff>
    </xdr:to>
    <xdr:sp macro="" textlink="">
      <xdr:nvSpPr>
        <xdr:cNvPr id="1825" name="Text Box 327" hidden="1">
          <a:extLst>
            <a:ext uri="{FF2B5EF4-FFF2-40B4-BE49-F238E27FC236}">
              <a16:creationId xmlns:a16="http://schemas.microsoft.com/office/drawing/2014/main" id="{2FD53177-0460-4950-B22F-E1AB6E4B2A6B}"/>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50426</xdr:rowOff>
    </xdr:from>
    <xdr:to>
      <xdr:col>25</xdr:col>
      <xdr:colOff>609600</xdr:colOff>
      <xdr:row>40</xdr:row>
      <xdr:rowOff>31377</xdr:rowOff>
    </xdr:to>
    <xdr:sp macro="" textlink="">
      <xdr:nvSpPr>
        <xdr:cNvPr id="1826" name="Text Box 326" hidden="1">
          <a:extLst>
            <a:ext uri="{FF2B5EF4-FFF2-40B4-BE49-F238E27FC236}">
              <a16:creationId xmlns:a16="http://schemas.microsoft.com/office/drawing/2014/main" id="{163154CA-D177-4107-B4BC-C40BAF94C292}"/>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27</xdr:row>
      <xdr:rowOff>85351</xdr:rowOff>
    </xdr:from>
    <xdr:to>
      <xdr:col>25</xdr:col>
      <xdr:colOff>609600</xdr:colOff>
      <xdr:row>47</xdr:row>
      <xdr:rowOff>31377</xdr:rowOff>
    </xdr:to>
    <xdr:sp macro="" textlink="">
      <xdr:nvSpPr>
        <xdr:cNvPr id="1827" name="Text Box 325" hidden="1">
          <a:extLst>
            <a:ext uri="{FF2B5EF4-FFF2-40B4-BE49-F238E27FC236}">
              <a16:creationId xmlns:a16="http://schemas.microsoft.com/office/drawing/2014/main" id="{B72BE77D-230B-43A9-8DD5-5E365367B38A}"/>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130</xdr:row>
      <xdr:rowOff>103064</xdr:rowOff>
    </xdr:from>
    <xdr:to>
      <xdr:col>25</xdr:col>
      <xdr:colOff>609600</xdr:colOff>
      <xdr:row>150</xdr:row>
      <xdr:rowOff>103064</xdr:rowOff>
    </xdr:to>
    <xdr:sp macro="" textlink="">
      <xdr:nvSpPr>
        <xdr:cNvPr id="1828" name="Text Box 324" hidden="1">
          <a:extLst>
            <a:ext uri="{FF2B5EF4-FFF2-40B4-BE49-F238E27FC236}">
              <a16:creationId xmlns:a16="http://schemas.microsoft.com/office/drawing/2014/main" id="{B722FA6F-EA92-4CD9-8724-D433DCFB939D}"/>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69476</xdr:rowOff>
    </xdr:from>
    <xdr:to>
      <xdr:col>16</xdr:col>
      <xdr:colOff>0</xdr:colOff>
      <xdr:row>57</xdr:row>
      <xdr:rowOff>264459</xdr:rowOff>
    </xdr:to>
    <xdr:sp macro="" textlink="">
      <xdr:nvSpPr>
        <xdr:cNvPr id="1829" name="Text Box 323" hidden="1">
          <a:extLst>
            <a:ext uri="{FF2B5EF4-FFF2-40B4-BE49-F238E27FC236}">
              <a16:creationId xmlns:a16="http://schemas.microsoft.com/office/drawing/2014/main" id="{F9956E15-3997-48F2-A281-161A0F6E1664}"/>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50426</xdr:rowOff>
    </xdr:from>
    <xdr:to>
      <xdr:col>28</xdr:col>
      <xdr:colOff>628650</xdr:colOff>
      <xdr:row>39</xdr:row>
      <xdr:rowOff>141941</xdr:rowOff>
    </xdr:to>
    <xdr:sp macro="" textlink="">
      <xdr:nvSpPr>
        <xdr:cNvPr id="1830" name="Text Box 322" hidden="1">
          <a:extLst>
            <a:ext uri="{FF2B5EF4-FFF2-40B4-BE49-F238E27FC236}">
              <a16:creationId xmlns:a16="http://schemas.microsoft.com/office/drawing/2014/main" id="{1E7E1A2D-C4B7-4F9C-97EB-1A4ECD461113}"/>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85351</xdr:rowOff>
    </xdr:from>
    <xdr:to>
      <xdr:col>28</xdr:col>
      <xdr:colOff>628650</xdr:colOff>
      <xdr:row>47</xdr:row>
      <xdr:rowOff>126627</xdr:rowOff>
    </xdr:to>
    <xdr:sp macro="" textlink="">
      <xdr:nvSpPr>
        <xdr:cNvPr id="1831" name="Text Box 321" hidden="1">
          <a:extLst>
            <a:ext uri="{FF2B5EF4-FFF2-40B4-BE49-F238E27FC236}">
              <a16:creationId xmlns:a16="http://schemas.microsoft.com/office/drawing/2014/main" id="{E3FB1830-BA64-4424-AFE9-CF88C725379E}"/>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130</xdr:row>
      <xdr:rowOff>103064</xdr:rowOff>
    </xdr:from>
    <xdr:to>
      <xdr:col>28</xdr:col>
      <xdr:colOff>628650</xdr:colOff>
      <xdr:row>151</xdr:row>
      <xdr:rowOff>10990</xdr:rowOff>
    </xdr:to>
    <xdr:sp macro="" textlink="">
      <xdr:nvSpPr>
        <xdr:cNvPr id="1832" name="Text Box 320" hidden="1">
          <a:extLst>
            <a:ext uri="{FF2B5EF4-FFF2-40B4-BE49-F238E27FC236}">
              <a16:creationId xmlns:a16="http://schemas.microsoft.com/office/drawing/2014/main" id="{FE9865F1-C1F7-49D0-AFC2-34354BF416E6}"/>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50426</xdr:rowOff>
    </xdr:from>
    <xdr:to>
      <xdr:col>29</xdr:col>
      <xdr:colOff>619125</xdr:colOff>
      <xdr:row>40</xdr:row>
      <xdr:rowOff>88527</xdr:rowOff>
    </xdr:to>
    <xdr:sp macro="" textlink="">
      <xdr:nvSpPr>
        <xdr:cNvPr id="1833" name="Text Box 319" hidden="1">
          <a:extLst>
            <a:ext uri="{FF2B5EF4-FFF2-40B4-BE49-F238E27FC236}">
              <a16:creationId xmlns:a16="http://schemas.microsoft.com/office/drawing/2014/main" id="{B5067E3F-1543-4CE3-8923-1428D1EC263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85351</xdr:rowOff>
    </xdr:from>
    <xdr:to>
      <xdr:col>29</xdr:col>
      <xdr:colOff>619125</xdr:colOff>
      <xdr:row>47</xdr:row>
      <xdr:rowOff>69477</xdr:rowOff>
    </xdr:to>
    <xdr:sp macro="" textlink="">
      <xdr:nvSpPr>
        <xdr:cNvPr id="1834" name="Text Box 318" hidden="1">
          <a:extLst>
            <a:ext uri="{FF2B5EF4-FFF2-40B4-BE49-F238E27FC236}">
              <a16:creationId xmlns:a16="http://schemas.microsoft.com/office/drawing/2014/main" id="{589332E9-9C78-4274-81F9-089E158A79A7}"/>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130</xdr:row>
      <xdr:rowOff>172354</xdr:rowOff>
    </xdr:from>
    <xdr:to>
      <xdr:col>29</xdr:col>
      <xdr:colOff>619125</xdr:colOff>
      <xdr:row>151</xdr:row>
      <xdr:rowOff>10990</xdr:rowOff>
    </xdr:to>
    <xdr:sp macro="" textlink="">
      <xdr:nvSpPr>
        <xdr:cNvPr id="1835" name="Text Box 317" hidden="1">
          <a:extLst>
            <a:ext uri="{FF2B5EF4-FFF2-40B4-BE49-F238E27FC236}">
              <a16:creationId xmlns:a16="http://schemas.microsoft.com/office/drawing/2014/main" id="{4B9A3E2C-1890-4276-9EA3-461940E367D9}"/>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42</xdr:row>
      <xdr:rowOff>31376</xdr:rowOff>
    </xdr:from>
    <xdr:to>
      <xdr:col>16</xdr:col>
      <xdr:colOff>0</xdr:colOff>
      <xdr:row>61</xdr:row>
      <xdr:rowOff>255494</xdr:rowOff>
    </xdr:to>
    <xdr:sp macro="" textlink="">
      <xdr:nvSpPr>
        <xdr:cNvPr id="1836" name="Text Box 316" hidden="1">
          <a:extLst>
            <a:ext uri="{FF2B5EF4-FFF2-40B4-BE49-F238E27FC236}">
              <a16:creationId xmlns:a16="http://schemas.microsoft.com/office/drawing/2014/main" id="{F753B77A-F0B5-458F-866C-A5A59A553C18}"/>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42</xdr:row>
      <xdr:rowOff>31376</xdr:rowOff>
    </xdr:from>
    <xdr:to>
      <xdr:col>17</xdr:col>
      <xdr:colOff>666750</xdr:colOff>
      <xdr:row>61</xdr:row>
      <xdr:rowOff>255494</xdr:rowOff>
    </xdr:to>
    <xdr:sp macro="" textlink="">
      <xdr:nvSpPr>
        <xdr:cNvPr id="1837" name="Text Box 315" hidden="1">
          <a:extLst>
            <a:ext uri="{FF2B5EF4-FFF2-40B4-BE49-F238E27FC236}">
              <a16:creationId xmlns:a16="http://schemas.microsoft.com/office/drawing/2014/main" id="{F583C72A-9FAD-481C-898D-033C5A398DA3}"/>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23</xdr:row>
      <xdr:rowOff>532218</xdr:rowOff>
    </xdr:from>
    <xdr:to>
      <xdr:col>34</xdr:col>
      <xdr:colOff>161925</xdr:colOff>
      <xdr:row>44</xdr:row>
      <xdr:rowOff>141941</xdr:rowOff>
    </xdr:to>
    <xdr:sp macro="" textlink="">
      <xdr:nvSpPr>
        <xdr:cNvPr id="1838" name="Text Box 314" hidden="1">
          <a:extLst>
            <a:ext uri="{FF2B5EF4-FFF2-40B4-BE49-F238E27FC236}">
              <a16:creationId xmlns:a16="http://schemas.microsoft.com/office/drawing/2014/main" id="{2DFD0D15-61D6-4B07-9882-58E9854C6DEB}"/>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59</xdr:row>
      <xdr:rowOff>383615</xdr:rowOff>
    </xdr:from>
    <xdr:to>
      <xdr:col>18</xdr:col>
      <xdr:colOff>571500</xdr:colOff>
      <xdr:row>79</xdr:row>
      <xdr:rowOff>44794</xdr:rowOff>
    </xdr:to>
    <xdr:sp macro="" textlink="">
      <xdr:nvSpPr>
        <xdr:cNvPr id="1839" name="Text Box 313" hidden="1">
          <a:extLst>
            <a:ext uri="{FF2B5EF4-FFF2-40B4-BE49-F238E27FC236}">
              <a16:creationId xmlns:a16="http://schemas.microsoft.com/office/drawing/2014/main" id="{E9331A84-6B80-4EBD-9EB8-36A4B01B7F11}"/>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38808</xdr:rowOff>
    </xdr:from>
    <xdr:to>
      <xdr:col>18</xdr:col>
      <xdr:colOff>609600</xdr:colOff>
      <xdr:row>83</xdr:row>
      <xdr:rowOff>58782</xdr:rowOff>
    </xdr:to>
    <xdr:sp macro="" textlink="">
      <xdr:nvSpPr>
        <xdr:cNvPr id="1840" name="Text Box 312" hidden="1">
          <a:extLst>
            <a:ext uri="{FF2B5EF4-FFF2-40B4-BE49-F238E27FC236}">
              <a16:creationId xmlns:a16="http://schemas.microsoft.com/office/drawing/2014/main" id="{DCD5BC34-7235-492B-97C8-2FCB912FFBCA}"/>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42</xdr:row>
      <xdr:rowOff>31376</xdr:rowOff>
    </xdr:from>
    <xdr:to>
      <xdr:col>18</xdr:col>
      <xdr:colOff>609600</xdr:colOff>
      <xdr:row>61</xdr:row>
      <xdr:rowOff>255494</xdr:rowOff>
    </xdr:to>
    <xdr:sp macro="" textlink="">
      <xdr:nvSpPr>
        <xdr:cNvPr id="1841" name="Text Box 311" hidden="1">
          <a:extLst>
            <a:ext uri="{FF2B5EF4-FFF2-40B4-BE49-F238E27FC236}">
              <a16:creationId xmlns:a16="http://schemas.microsoft.com/office/drawing/2014/main" id="{2765F48D-A284-47AD-B018-2480CAB7A8C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50426</xdr:rowOff>
    </xdr:from>
    <xdr:to>
      <xdr:col>30</xdr:col>
      <xdr:colOff>523875</xdr:colOff>
      <xdr:row>40</xdr:row>
      <xdr:rowOff>126627</xdr:rowOff>
    </xdr:to>
    <xdr:sp macro="" textlink="">
      <xdr:nvSpPr>
        <xdr:cNvPr id="1842" name="Text Box 310" hidden="1">
          <a:extLst>
            <a:ext uri="{FF2B5EF4-FFF2-40B4-BE49-F238E27FC236}">
              <a16:creationId xmlns:a16="http://schemas.microsoft.com/office/drawing/2014/main" id="{C691720E-409C-433D-AD91-6AD199E3D9BA}"/>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85351</xdr:rowOff>
    </xdr:from>
    <xdr:to>
      <xdr:col>30</xdr:col>
      <xdr:colOff>523875</xdr:colOff>
      <xdr:row>47</xdr:row>
      <xdr:rowOff>126627</xdr:rowOff>
    </xdr:to>
    <xdr:sp macro="" textlink="">
      <xdr:nvSpPr>
        <xdr:cNvPr id="1843" name="Text Box 309" hidden="1">
          <a:extLst>
            <a:ext uri="{FF2B5EF4-FFF2-40B4-BE49-F238E27FC236}">
              <a16:creationId xmlns:a16="http://schemas.microsoft.com/office/drawing/2014/main" id="{B31EE95C-891B-476A-98ED-56F58F612E7A}"/>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133</xdr:row>
      <xdr:rowOff>49090</xdr:rowOff>
    </xdr:from>
    <xdr:to>
      <xdr:col>30</xdr:col>
      <xdr:colOff>523875</xdr:colOff>
      <xdr:row>152</xdr:row>
      <xdr:rowOff>58449</xdr:rowOff>
    </xdr:to>
    <xdr:sp macro="" textlink="">
      <xdr:nvSpPr>
        <xdr:cNvPr id="1844" name="Text Box 308" hidden="1">
          <a:extLst>
            <a:ext uri="{FF2B5EF4-FFF2-40B4-BE49-F238E27FC236}">
              <a16:creationId xmlns:a16="http://schemas.microsoft.com/office/drawing/2014/main" id="{B98E7D60-1746-4DC3-A7B4-18BF0C0E7BA8}"/>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69476</xdr:rowOff>
    </xdr:from>
    <xdr:to>
      <xdr:col>31</xdr:col>
      <xdr:colOff>523875</xdr:colOff>
      <xdr:row>40</xdr:row>
      <xdr:rowOff>126627</xdr:rowOff>
    </xdr:to>
    <xdr:sp macro="" textlink="">
      <xdr:nvSpPr>
        <xdr:cNvPr id="1845" name="Text Box 307" hidden="1">
          <a:extLst>
            <a:ext uri="{FF2B5EF4-FFF2-40B4-BE49-F238E27FC236}">
              <a16:creationId xmlns:a16="http://schemas.microsoft.com/office/drawing/2014/main" id="{B651A87E-D9A1-4A0E-B013-65A6029695C4}"/>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85351</xdr:rowOff>
    </xdr:from>
    <xdr:to>
      <xdr:col>31</xdr:col>
      <xdr:colOff>523875</xdr:colOff>
      <xdr:row>47</xdr:row>
      <xdr:rowOff>126627</xdr:rowOff>
    </xdr:to>
    <xdr:sp macro="" textlink="">
      <xdr:nvSpPr>
        <xdr:cNvPr id="1846" name="Text Box 306" hidden="1">
          <a:extLst>
            <a:ext uri="{FF2B5EF4-FFF2-40B4-BE49-F238E27FC236}">
              <a16:creationId xmlns:a16="http://schemas.microsoft.com/office/drawing/2014/main" id="{223C17D4-4772-4E81-9226-9732E14547DC}"/>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133</xdr:row>
      <xdr:rowOff>49090</xdr:rowOff>
    </xdr:from>
    <xdr:to>
      <xdr:col>31</xdr:col>
      <xdr:colOff>523875</xdr:colOff>
      <xdr:row>152</xdr:row>
      <xdr:rowOff>58449</xdr:rowOff>
    </xdr:to>
    <xdr:sp macro="" textlink="">
      <xdr:nvSpPr>
        <xdr:cNvPr id="1847" name="Text Box 305" hidden="1">
          <a:extLst>
            <a:ext uri="{FF2B5EF4-FFF2-40B4-BE49-F238E27FC236}">
              <a16:creationId xmlns:a16="http://schemas.microsoft.com/office/drawing/2014/main" id="{392BD3C1-19BB-407B-9931-F2F7E52B1175}"/>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20</xdr:row>
      <xdr:rowOff>50426</xdr:rowOff>
    </xdr:from>
    <xdr:to>
      <xdr:col>31</xdr:col>
      <xdr:colOff>676275</xdr:colOff>
      <xdr:row>40</xdr:row>
      <xdr:rowOff>69477</xdr:rowOff>
    </xdr:to>
    <xdr:sp macro="" textlink="">
      <xdr:nvSpPr>
        <xdr:cNvPr id="1848" name="Text Box 304" hidden="1">
          <a:extLst>
            <a:ext uri="{FF2B5EF4-FFF2-40B4-BE49-F238E27FC236}">
              <a16:creationId xmlns:a16="http://schemas.microsoft.com/office/drawing/2014/main" id="{5F535D5C-2206-490C-AF62-F4B2C6C5EEA9}"/>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27</xdr:row>
      <xdr:rowOff>85351</xdr:rowOff>
    </xdr:from>
    <xdr:to>
      <xdr:col>31</xdr:col>
      <xdr:colOff>676275</xdr:colOff>
      <xdr:row>47</xdr:row>
      <xdr:rowOff>69477</xdr:rowOff>
    </xdr:to>
    <xdr:sp macro="" textlink="">
      <xdr:nvSpPr>
        <xdr:cNvPr id="1849" name="Text Box 303" hidden="1">
          <a:extLst>
            <a:ext uri="{FF2B5EF4-FFF2-40B4-BE49-F238E27FC236}">
              <a16:creationId xmlns:a16="http://schemas.microsoft.com/office/drawing/2014/main" id="{333073A2-F818-4F18-A546-EAF1C3C58B2F}"/>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133</xdr:row>
      <xdr:rowOff>10990</xdr:rowOff>
    </xdr:from>
    <xdr:to>
      <xdr:col>32</xdr:col>
      <xdr:colOff>409575</xdr:colOff>
      <xdr:row>152</xdr:row>
      <xdr:rowOff>84016</xdr:rowOff>
    </xdr:to>
    <xdr:sp macro="" textlink="">
      <xdr:nvSpPr>
        <xdr:cNvPr id="1850" name="Text Box 302" hidden="1">
          <a:extLst>
            <a:ext uri="{FF2B5EF4-FFF2-40B4-BE49-F238E27FC236}">
              <a16:creationId xmlns:a16="http://schemas.microsoft.com/office/drawing/2014/main" id="{A2583817-A506-4D29-A754-F86284EFEF26}"/>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20</xdr:row>
      <xdr:rowOff>69476</xdr:rowOff>
    </xdr:from>
    <xdr:to>
      <xdr:col>33</xdr:col>
      <xdr:colOff>276225</xdr:colOff>
      <xdr:row>40</xdr:row>
      <xdr:rowOff>126627</xdr:rowOff>
    </xdr:to>
    <xdr:sp macro="" textlink="">
      <xdr:nvSpPr>
        <xdr:cNvPr id="1851" name="Text Box 301" hidden="1">
          <a:extLst>
            <a:ext uri="{FF2B5EF4-FFF2-40B4-BE49-F238E27FC236}">
              <a16:creationId xmlns:a16="http://schemas.microsoft.com/office/drawing/2014/main" id="{AAC23458-86F3-41F1-851C-53E2BA8A61C4}"/>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27</xdr:row>
      <xdr:rowOff>85351</xdr:rowOff>
    </xdr:from>
    <xdr:to>
      <xdr:col>33</xdr:col>
      <xdr:colOff>276225</xdr:colOff>
      <xdr:row>46</xdr:row>
      <xdr:rowOff>141941</xdr:rowOff>
    </xdr:to>
    <xdr:sp macro="" textlink="">
      <xdr:nvSpPr>
        <xdr:cNvPr id="1852" name="Text Box 300" hidden="1">
          <a:extLst>
            <a:ext uri="{FF2B5EF4-FFF2-40B4-BE49-F238E27FC236}">
              <a16:creationId xmlns:a16="http://schemas.microsoft.com/office/drawing/2014/main" id="{F978BFE6-9A3F-4EEF-94BC-FE393BC2C9D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20</xdr:row>
      <xdr:rowOff>69476</xdr:rowOff>
    </xdr:from>
    <xdr:to>
      <xdr:col>34</xdr:col>
      <xdr:colOff>180975</xdr:colOff>
      <xdr:row>39</xdr:row>
      <xdr:rowOff>141941</xdr:rowOff>
    </xdr:to>
    <xdr:sp macro="" textlink="">
      <xdr:nvSpPr>
        <xdr:cNvPr id="1853" name="Text Box 299" hidden="1">
          <a:extLst>
            <a:ext uri="{FF2B5EF4-FFF2-40B4-BE49-F238E27FC236}">
              <a16:creationId xmlns:a16="http://schemas.microsoft.com/office/drawing/2014/main" id="{F3A3F53B-13C3-414E-A422-1328F07946D5}"/>
            </a:ext>
          </a:extLst>
        </xdr:cNvPr>
        <xdr:cNvSpPr txBox="1">
          <a:spLocks noChangeArrowheads="1"/>
        </xdr:cNvSpPr>
      </xdr:nvSpPr>
      <xdr:spPr bwMode="auto">
        <a:xfrm>
          <a:off x="24784050" y="4584326"/>
          <a:ext cx="4867275" cy="38634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29</xdr:row>
      <xdr:rowOff>69477</xdr:rowOff>
    </xdr:from>
    <xdr:to>
      <xdr:col>34</xdr:col>
      <xdr:colOff>180975</xdr:colOff>
      <xdr:row>48</xdr:row>
      <xdr:rowOff>141941</xdr:rowOff>
    </xdr:to>
    <xdr:sp macro="" textlink="">
      <xdr:nvSpPr>
        <xdr:cNvPr id="1854" name="Text Box 298" hidden="1">
          <a:extLst>
            <a:ext uri="{FF2B5EF4-FFF2-40B4-BE49-F238E27FC236}">
              <a16:creationId xmlns:a16="http://schemas.microsoft.com/office/drawing/2014/main" id="{2F17AC36-795C-4B4D-9AC4-C3C3B58EEBB0}"/>
            </a:ext>
          </a:extLst>
        </xdr:cNvPr>
        <xdr:cNvSpPr txBox="1">
          <a:spLocks noChangeArrowheads="1"/>
        </xdr:cNvSpPr>
      </xdr:nvSpPr>
      <xdr:spPr bwMode="auto">
        <a:xfrm>
          <a:off x="24784050" y="6565527"/>
          <a:ext cx="4867275" cy="35109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134</xdr:row>
      <xdr:rowOff>172355</xdr:rowOff>
    </xdr:from>
    <xdr:to>
      <xdr:col>34</xdr:col>
      <xdr:colOff>180975</xdr:colOff>
      <xdr:row>154</xdr:row>
      <xdr:rowOff>58448</xdr:rowOff>
    </xdr:to>
    <xdr:sp macro="" textlink="">
      <xdr:nvSpPr>
        <xdr:cNvPr id="1855" name="Text Box 297" hidden="1">
          <a:extLst>
            <a:ext uri="{FF2B5EF4-FFF2-40B4-BE49-F238E27FC236}">
              <a16:creationId xmlns:a16="http://schemas.microsoft.com/office/drawing/2014/main" id="{70B17D1C-A1AC-4A34-905E-51CC1C2959E1}"/>
            </a:ext>
          </a:extLst>
        </xdr:cNvPr>
        <xdr:cNvSpPr txBox="1">
          <a:spLocks noChangeArrowheads="1"/>
        </xdr:cNvSpPr>
      </xdr:nvSpPr>
      <xdr:spPr bwMode="auto">
        <a:xfrm>
          <a:off x="24784050" y="27975830"/>
          <a:ext cx="4867275" cy="3505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6</xdr:row>
      <xdr:rowOff>95250</xdr:rowOff>
    </xdr:from>
    <xdr:to>
      <xdr:col>21</xdr:col>
      <xdr:colOff>438150</xdr:colOff>
      <xdr:row>26</xdr:row>
      <xdr:rowOff>168275</xdr:rowOff>
    </xdr:to>
    <xdr:sp macro="" textlink="">
      <xdr:nvSpPr>
        <xdr:cNvPr id="1856" name="Text Box 1410" hidden="1">
          <a:extLst>
            <a:ext uri="{FF2B5EF4-FFF2-40B4-BE49-F238E27FC236}">
              <a16:creationId xmlns:a16="http://schemas.microsoft.com/office/drawing/2014/main" id="{18FB5E5A-8FB7-4FCC-A69A-BF7C110DA835}"/>
            </a:ext>
          </a:extLst>
        </xdr:cNvPr>
        <xdr:cNvSpPr txBox="1">
          <a:spLocks noChangeArrowheads="1"/>
        </xdr:cNvSpPr>
      </xdr:nvSpPr>
      <xdr:spPr bwMode="auto">
        <a:xfrm>
          <a:off x="15335250" y="2076450"/>
          <a:ext cx="36957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58</xdr:row>
      <xdr:rowOff>66675</xdr:rowOff>
    </xdr:from>
    <xdr:to>
      <xdr:col>9</xdr:col>
      <xdr:colOff>609600</xdr:colOff>
      <xdr:row>78</xdr:row>
      <xdr:rowOff>19050</xdr:rowOff>
    </xdr:to>
    <xdr:sp macro="" textlink="">
      <xdr:nvSpPr>
        <xdr:cNvPr id="1857" name="Text Box 1409" hidden="1">
          <a:extLst>
            <a:ext uri="{FF2B5EF4-FFF2-40B4-BE49-F238E27FC236}">
              <a16:creationId xmlns:a16="http://schemas.microsoft.com/office/drawing/2014/main" id="{21E93012-A755-4C13-B1EE-77D57664B46C}"/>
            </a:ext>
          </a:extLst>
        </xdr:cNvPr>
        <xdr:cNvSpPr txBox="1">
          <a:spLocks noChangeArrowheads="1"/>
        </xdr:cNvSpPr>
      </xdr:nvSpPr>
      <xdr:spPr bwMode="auto">
        <a:xfrm>
          <a:off x="4486275" y="12153900"/>
          <a:ext cx="43624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63500</xdr:rowOff>
    </xdr:from>
    <xdr:to>
      <xdr:col>9</xdr:col>
      <xdr:colOff>628650</xdr:colOff>
      <xdr:row>80</xdr:row>
      <xdr:rowOff>57150</xdr:rowOff>
    </xdr:to>
    <xdr:sp macro="" textlink="">
      <xdr:nvSpPr>
        <xdr:cNvPr id="1858" name="Text Box 1408" hidden="1">
          <a:extLst>
            <a:ext uri="{FF2B5EF4-FFF2-40B4-BE49-F238E27FC236}">
              <a16:creationId xmlns:a16="http://schemas.microsoft.com/office/drawing/2014/main" id="{4EB4D916-1549-4DFB-AEB4-5E1A4D6AFC9B}"/>
            </a:ext>
          </a:extLst>
        </xdr:cNvPr>
        <xdr:cNvSpPr txBox="1">
          <a:spLocks noChangeArrowheads="1"/>
        </xdr:cNvSpPr>
      </xdr:nvSpPr>
      <xdr:spPr bwMode="auto">
        <a:xfrm>
          <a:off x="450532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63500</xdr:rowOff>
    </xdr:from>
    <xdr:to>
      <xdr:col>9</xdr:col>
      <xdr:colOff>609600</xdr:colOff>
      <xdr:row>80</xdr:row>
      <xdr:rowOff>57150</xdr:rowOff>
    </xdr:to>
    <xdr:sp macro="" textlink="">
      <xdr:nvSpPr>
        <xdr:cNvPr id="1859" name="Text Box 1407" hidden="1">
          <a:extLst>
            <a:ext uri="{FF2B5EF4-FFF2-40B4-BE49-F238E27FC236}">
              <a16:creationId xmlns:a16="http://schemas.microsoft.com/office/drawing/2014/main" id="{FA6B4827-899E-43C7-AFB0-ED11A15DD459}"/>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61</xdr:row>
      <xdr:rowOff>63500</xdr:rowOff>
    </xdr:from>
    <xdr:to>
      <xdr:col>9</xdr:col>
      <xdr:colOff>609600</xdr:colOff>
      <xdr:row>80</xdr:row>
      <xdr:rowOff>57150</xdr:rowOff>
    </xdr:to>
    <xdr:sp macro="" textlink="">
      <xdr:nvSpPr>
        <xdr:cNvPr id="1860" name="Text Box 1406" hidden="1">
          <a:extLst>
            <a:ext uri="{FF2B5EF4-FFF2-40B4-BE49-F238E27FC236}">
              <a16:creationId xmlns:a16="http://schemas.microsoft.com/office/drawing/2014/main" id="{424076BE-C1C7-4FEC-8174-63572FC1CEFE}"/>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161925</xdr:rowOff>
    </xdr:from>
    <xdr:to>
      <xdr:col>9</xdr:col>
      <xdr:colOff>609600</xdr:colOff>
      <xdr:row>83</xdr:row>
      <xdr:rowOff>171450</xdr:rowOff>
    </xdr:to>
    <xdr:sp macro="" textlink="">
      <xdr:nvSpPr>
        <xdr:cNvPr id="1861" name="Text Box 1405" hidden="1">
          <a:extLst>
            <a:ext uri="{FF2B5EF4-FFF2-40B4-BE49-F238E27FC236}">
              <a16:creationId xmlns:a16="http://schemas.microsoft.com/office/drawing/2014/main" id="{9E116B68-2BBF-45C3-B2CF-6BF0F6D5A457}"/>
            </a:ext>
          </a:extLst>
        </xdr:cNvPr>
        <xdr:cNvSpPr txBox="1">
          <a:spLocks noChangeArrowheads="1"/>
        </xdr:cNvSpPr>
      </xdr:nvSpPr>
      <xdr:spPr bwMode="auto">
        <a:xfrm>
          <a:off x="4486275" y="14201775"/>
          <a:ext cx="4362450" cy="403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130175</xdr:rowOff>
    </xdr:from>
    <xdr:to>
      <xdr:col>9</xdr:col>
      <xdr:colOff>609600</xdr:colOff>
      <xdr:row>102</xdr:row>
      <xdr:rowOff>66675</xdr:rowOff>
    </xdr:to>
    <xdr:sp macro="" textlink="">
      <xdr:nvSpPr>
        <xdr:cNvPr id="1862" name="Text Box 1404" hidden="1">
          <a:extLst>
            <a:ext uri="{FF2B5EF4-FFF2-40B4-BE49-F238E27FC236}">
              <a16:creationId xmlns:a16="http://schemas.microsoft.com/office/drawing/2014/main" id="{F93AC6FB-F2FF-4FA3-B0F5-18B44F762B8A}"/>
            </a:ext>
          </a:extLst>
        </xdr:cNvPr>
        <xdr:cNvSpPr txBox="1">
          <a:spLocks noChangeArrowheads="1"/>
        </xdr:cNvSpPr>
      </xdr:nvSpPr>
      <xdr:spPr bwMode="auto">
        <a:xfrm>
          <a:off x="4486275" y="17840325"/>
          <a:ext cx="4362450" cy="39338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53975</xdr:rowOff>
    </xdr:from>
    <xdr:to>
      <xdr:col>9</xdr:col>
      <xdr:colOff>609600</xdr:colOff>
      <xdr:row>102</xdr:row>
      <xdr:rowOff>152400</xdr:rowOff>
    </xdr:to>
    <xdr:sp macro="" textlink="">
      <xdr:nvSpPr>
        <xdr:cNvPr id="1863" name="Text Box 1403" hidden="1">
          <a:extLst>
            <a:ext uri="{FF2B5EF4-FFF2-40B4-BE49-F238E27FC236}">
              <a16:creationId xmlns:a16="http://schemas.microsoft.com/office/drawing/2014/main" id="{4BD71DE7-E0E9-4727-B9D4-21ED075CB787}"/>
            </a:ext>
          </a:extLst>
        </xdr:cNvPr>
        <xdr:cNvSpPr txBox="1">
          <a:spLocks noChangeArrowheads="1"/>
        </xdr:cNvSpPr>
      </xdr:nvSpPr>
      <xdr:spPr bwMode="auto">
        <a:xfrm>
          <a:off x="4486275" y="17945100"/>
          <a:ext cx="4362450" cy="3914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168275</xdr:rowOff>
    </xdr:from>
    <xdr:to>
      <xdr:col>9</xdr:col>
      <xdr:colOff>609600</xdr:colOff>
      <xdr:row>102</xdr:row>
      <xdr:rowOff>152400</xdr:rowOff>
    </xdr:to>
    <xdr:sp macro="" textlink="">
      <xdr:nvSpPr>
        <xdr:cNvPr id="1864" name="Text Box 1402" hidden="1">
          <a:extLst>
            <a:ext uri="{FF2B5EF4-FFF2-40B4-BE49-F238E27FC236}">
              <a16:creationId xmlns:a16="http://schemas.microsoft.com/office/drawing/2014/main" id="{DC0FF0C9-5FA5-4596-9C49-28DB651573B9}"/>
            </a:ext>
          </a:extLst>
        </xdr:cNvPr>
        <xdr:cNvSpPr txBox="1">
          <a:spLocks noChangeArrowheads="1"/>
        </xdr:cNvSpPr>
      </xdr:nvSpPr>
      <xdr:spPr bwMode="auto">
        <a:xfrm>
          <a:off x="4486275" y="18059400"/>
          <a:ext cx="4362450" cy="3800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171450</xdr:rowOff>
    </xdr:from>
    <xdr:to>
      <xdr:col>9</xdr:col>
      <xdr:colOff>609600</xdr:colOff>
      <xdr:row>104</xdr:row>
      <xdr:rowOff>28575</xdr:rowOff>
    </xdr:to>
    <xdr:sp macro="" textlink="">
      <xdr:nvSpPr>
        <xdr:cNvPr id="1865" name="Text Box 1401" hidden="1">
          <a:extLst>
            <a:ext uri="{FF2B5EF4-FFF2-40B4-BE49-F238E27FC236}">
              <a16:creationId xmlns:a16="http://schemas.microsoft.com/office/drawing/2014/main" id="{C325D783-FCCF-4B7C-A9A8-FBA23716DD6D}"/>
            </a:ext>
          </a:extLst>
        </xdr:cNvPr>
        <xdr:cNvSpPr txBox="1">
          <a:spLocks noChangeArrowheads="1"/>
        </xdr:cNvSpPr>
      </xdr:nvSpPr>
      <xdr:spPr bwMode="auto">
        <a:xfrm>
          <a:off x="4486275" y="18240375"/>
          <a:ext cx="4362450"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225425</xdr:rowOff>
    </xdr:from>
    <xdr:to>
      <xdr:col>9</xdr:col>
      <xdr:colOff>609600</xdr:colOff>
      <xdr:row>123</xdr:row>
      <xdr:rowOff>57150</xdr:rowOff>
    </xdr:to>
    <xdr:sp macro="" textlink="">
      <xdr:nvSpPr>
        <xdr:cNvPr id="1866" name="Text Box 1400" hidden="1">
          <a:extLst>
            <a:ext uri="{FF2B5EF4-FFF2-40B4-BE49-F238E27FC236}">
              <a16:creationId xmlns:a16="http://schemas.microsoft.com/office/drawing/2014/main" id="{BFBFA3ED-2D18-4F6A-ABE4-B3A03F64A7BC}"/>
            </a:ext>
          </a:extLst>
        </xdr:cNvPr>
        <xdr:cNvSpPr txBox="1">
          <a:spLocks noChangeArrowheads="1"/>
        </xdr:cNvSpPr>
      </xdr:nvSpPr>
      <xdr:spPr bwMode="auto">
        <a:xfrm>
          <a:off x="4486275" y="221932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171450</xdr:rowOff>
    </xdr:from>
    <xdr:to>
      <xdr:col>9</xdr:col>
      <xdr:colOff>609600</xdr:colOff>
      <xdr:row>124</xdr:row>
      <xdr:rowOff>19050</xdr:rowOff>
    </xdr:to>
    <xdr:sp macro="" textlink="">
      <xdr:nvSpPr>
        <xdr:cNvPr id="1867" name="Text Box 1399" hidden="1">
          <a:extLst>
            <a:ext uri="{FF2B5EF4-FFF2-40B4-BE49-F238E27FC236}">
              <a16:creationId xmlns:a16="http://schemas.microsoft.com/office/drawing/2014/main" id="{16DF6AF2-BA13-4D5F-A43C-AF46B18844B4}"/>
            </a:ext>
          </a:extLst>
        </xdr:cNvPr>
        <xdr:cNvSpPr txBox="1">
          <a:spLocks noChangeArrowheads="1"/>
        </xdr:cNvSpPr>
      </xdr:nvSpPr>
      <xdr:spPr bwMode="auto">
        <a:xfrm>
          <a:off x="4486275" y="22374225"/>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168275</xdr:rowOff>
    </xdr:from>
    <xdr:to>
      <xdr:col>9</xdr:col>
      <xdr:colOff>609600</xdr:colOff>
      <xdr:row>125</xdr:row>
      <xdr:rowOff>114300</xdr:rowOff>
    </xdr:to>
    <xdr:sp macro="" textlink="">
      <xdr:nvSpPr>
        <xdr:cNvPr id="1868" name="Text Box 1398" hidden="1">
          <a:extLst>
            <a:ext uri="{FF2B5EF4-FFF2-40B4-BE49-F238E27FC236}">
              <a16:creationId xmlns:a16="http://schemas.microsoft.com/office/drawing/2014/main" id="{5B7BA305-01E4-4DB9-A88C-FB0411D4A084}"/>
            </a:ext>
          </a:extLst>
        </xdr:cNvPr>
        <xdr:cNvSpPr txBox="1">
          <a:spLocks noChangeArrowheads="1"/>
        </xdr:cNvSpPr>
      </xdr:nvSpPr>
      <xdr:spPr bwMode="auto">
        <a:xfrm>
          <a:off x="4486275" y="22612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114300</xdr:rowOff>
    </xdr:from>
    <xdr:to>
      <xdr:col>9</xdr:col>
      <xdr:colOff>609600</xdr:colOff>
      <xdr:row>125</xdr:row>
      <xdr:rowOff>114300</xdr:rowOff>
    </xdr:to>
    <xdr:sp macro="" textlink="">
      <xdr:nvSpPr>
        <xdr:cNvPr id="1869" name="Text Box 1397" hidden="1">
          <a:extLst>
            <a:ext uri="{FF2B5EF4-FFF2-40B4-BE49-F238E27FC236}">
              <a16:creationId xmlns:a16="http://schemas.microsoft.com/office/drawing/2014/main" id="{AE1BB838-97B4-4E8F-9C67-EA7ABA406989}"/>
            </a:ext>
          </a:extLst>
        </xdr:cNvPr>
        <xdr:cNvSpPr txBox="1">
          <a:spLocks noChangeArrowheads="1"/>
        </xdr:cNvSpPr>
      </xdr:nvSpPr>
      <xdr:spPr bwMode="auto">
        <a:xfrm>
          <a:off x="4486275" y="22555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129</xdr:row>
      <xdr:rowOff>57150</xdr:rowOff>
    </xdr:from>
    <xdr:to>
      <xdr:col>24</xdr:col>
      <xdr:colOff>438150</xdr:colOff>
      <xdr:row>149</xdr:row>
      <xdr:rowOff>38100</xdr:rowOff>
    </xdr:to>
    <xdr:sp macro="" textlink="">
      <xdr:nvSpPr>
        <xdr:cNvPr id="1870" name="Text Box 1396" hidden="1">
          <a:extLst>
            <a:ext uri="{FF2B5EF4-FFF2-40B4-BE49-F238E27FC236}">
              <a16:creationId xmlns:a16="http://schemas.microsoft.com/office/drawing/2014/main" id="{C59E7E02-A51B-47A1-8B48-62309A069774}"/>
            </a:ext>
          </a:extLst>
        </xdr:cNvPr>
        <xdr:cNvSpPr txBox="1">
          <a:spLocks noChangeArrowheads="1"/>
        </xdr:cNvSpPr>
      </xdr:nvSpPr>
      <xdr:spPr bwMode="auto">
        <a:xfrm>
          <a:off x="17697450" y="26955750"/>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15</xdr:row>
      <xdr:rowOff>95250</xdr:rowOff>
    </xdr:from>
    <xdr:to>
      <xdr:col>25</xdr:col>
      <xdr:colOff>609600</xdr:colOff>
      <xdr:row>35</xdr:row>
      <xdr:rowOff>76200</xdr:rowOff>
    </xdr:to>
    <xdr:sp macro="" textlink="">
      <xdr:nvSpPr>
        <xdr:cNvPr id="1871" name="Text Box 1395" hidden="1">
          <a:extLst>
            <a:ext uri="{FF2B5EF4-FFF2-40B4-BE49-F238E27FC236}">
              <a16:creationId xmlns:a16="http://schemas.microsoft.com/office/drawing/2014/main" id="{545A6BD5-1AE5-4F77-A450-7957BAD116E3}"/>
            </a:ext>
          </a:extLst>
        </xdr:cNvPr>
        <xdr:cNvSpPr txBox="1">
          <a:spLocks noChangeArrowheads="1"/>
        </xdr:cNvSpPr>
      </xdr:nvSpPr>
      <xdr:spPr bwMode="auto">
        <a:xfrm>
          <a:off x="18516600" y="3705225"/>
          <a:ext cx="3733800" cy="3952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23</xdr:row>
      <xdr:rowOff>482600</xdr:rowOff>
    </xdr:from>
    <xdr:to>
      <xdr:col>25</xdr:col>
      <xdr:colOff>609600</xdr:colOff>
      <xdr:row>43</xdr:row>
      <xdr:rowOff>76200</xdr:rowOff>
    </xdr:to>
    <xdr:sp macro="" textlink="">
      <xdr:nvSpPr>
        <xdr:cNvPr id="1872" name="Text Box 1394" hidden="1">
          <a:extLst>
            <a:ext uri="{FF2B5EF4-FFF2-40B4-BE49-F238E27FC236}">
              <a16:creationId xmlns:a16="http://schemas.microsoft.com/office/drawing/2014/main" id="{183BD337-0FB2-4920-9F36-8C2C286CD999}"/>
            </a:ext>
          </a:extLst>
        </xdr:cNvPr>
        <xdr:cNvSpPr txBox="1">
          <a:spLocks noChangeArrowheads="1"/>
        </xdr:cNvSpPr>
      </xdr:nvSpPr>
      <xdr:spPr bwMode="auto">
        <a:xfrm>
          <a:off x="18516600" y="5543550"/>
          <a:ext cx="37338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133</xdr:row>
      <xdr:rowOff>57150</xdr:rowOff>
    </xdr:from>
    <xdr:to>
      <xdr:col>25</xdr:col>
      <xdr:colOff>609600</xdr:colOff>
      <xdr:row>153</xdr:row>
      <xdr:rowOff>57150</xdr:rowOff>
    </xdr:to>
    <xdr:sp macro="" textlink="">
      <xdr:nvSpPr>
        <xdr:cNvPr id="1873" name="Text Box 1393" hidden="1">
          <a:extLst>
            <a:ext uri="{FF2B5EF4-FFF2-40B4-BE49-F238E27FC236}">
              <a16:creationId xmlns:a16="http://schemas.microsoft.com/office/drawing/2014/main" id="{2261400D-8727-4043-AD17-B0BA23582C54}"/>
            </a:ext>
          </a:extLst>
        </xdr:cNvPr>
        <xdr:cNvSpPr txBox="1">
          <a:spLocks noChangeArrowheads="1"/>
        </xdr:cNvSpPr>
      </xdr:nvSpPr>
      <xdr:spPr bwMode="auto">
        <a:xfrm>
          <a:off x="18516600" y="2767965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34</xdr:row>
      <xdr:rowOff>114300</xdr:rowOff>
    </xdr:from>
    <xdr:to>
      <xdr:col>16</xdr:col>
      <xdr:colOff>0</xdr:colOff>
      <xdr:row>54</xdr:row>
      <xdr:rowOff>114300</xdr:rowOff>
    </xdr:to>
    <xdr:sp macro="" textlink="">
      <xdr:nvSpPr>
        <xdr:cNvPr id="1874" name="Text Box 1392" hidden="1">
          <a:extLst>
            <a:ext uri="{FF2B5EF4-FFF2-40B4-BE49-F238E27FC236}">
              <a16:creationId xmlns:a16="http://schemas.microsoft.com/office/drawing/2014/main" id="{E075BC10-E78B-4C11-BD19-CB1B3BCB6AAB}"/>
            </a:ext>
          </a:extLst>
        </xdr:cNvPr>
        <xdr:cNvSpPr txBox="1">
          <a:spLocks noChangeArrowheads="1"/>
        </xdr:cNvSpPr>
      </xdr:nvSpPr>
      <xdr:spPr bwMode="auto">
        <a:xfrm>
          <a:off x="10172700" y="7515225"/>
          <a:ext cx="45339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15</xdr:row>
      <xdr:rowOff>95250</xdr:rowOff>
    </xdr:from>
    <xdr:to>
      <xdr:col>28</xdr:col>
      <xdr:colOff>628650</xdr:colOff>
      <xdr:row>35</xdr:row>
      <xdr:rowOff>0</xdr:rowOff>
    </xdr:to>
    <xdr:sp macro="" textlink="">
      <xdr:nvSpPr>
        <xdr:cNvPr id="1875" name="Text Box 1391" hidden="1">
          <a:extLst>
            <a:ext uri="{FF2B5EF4-FFF2-40B4-BE49-F238E27FC236}">
              <a16:creationId xmlns:a16="http://schemas.microsoft.com/office/drawing/2014/main" id="{70754B83-3906-4573-BA5F-C88B1F25DB68}"/>
            </a:ext>
          </a:extLst>
        </xdr:cNvPr>
        <xdr:cNvSpPr txBox="1">
          <a:spLocks noChangeArrowheads="1"/>
        </xdr:cNvSpPr>
      </xdr:nvSpPr>
      <xdr:spPr bwMode="auto">
        <a:xfrm>
          <a:off x="20212050" y="3705225"/>
          <a:ext cx="4362450" cy="3876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482600</xdr:rowOff>
    </xdr:from>
    <xdr:to>
      <xdr:col>28</xdr:col>
      <xdr:colOff>628650</xdr:colOff>
      <xdr:row>43</xdr:row>
      <xdr:rowOff>171450</xdr:rowOff>
    </xdr:to>
    <xdr:sp macro="" textlink="">
      <xdr:nvSpPr>
        <xdr:cNvPr id="1876" name="Text Box 1390" hidden="1">
          <a:extLst>
            <a:ext uri="{FF2B5EF4-FFF2-40B4-BE49-F238E27FC236}">
              <a16:creationId xmlns:a16="http://schemas.microsoft.com/office/drawing/2014/main" id="{FBE25206-2891-438B-8BB8-2944332704BA}"/>
            </a:ext>
          </a:extLst>
        </xdr:cNvPr>
        <xdr:cNvSpPr txBox="1">
          <a:spLocks noChangeArrowheads="1"/>
        </xdr:cNvSpPr>
      </xdr:nvSpPr>
      <xdr:spPr bwMode="auto">
        <a:xfrm>
          <a:off x="20212050" y="554355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133</xdr:row>
      <xdr:rowOff>57150</xdr:rowOff>
    </xdr:from>
    <xdr:to>
      <xdr:col>28</xdr:col>
      <xdr:colOff>628650</xdr:colOff>
      <xdr:row>153</xdr:row>
      <xdr:rowOff>133350</xdr:rowOff>
    </xdr:to>
    <xdr:sp macro="" textlink="">
      <xdr:nvSpPr>
        <xdr:cNvPr id="1877" name="Text Box 1389" hidden="1">
          <a:extLst>
            <a:ext uri="{FF2B5EF4-FFF2-40B4-BE49-F238E27FC236}">
              <a16:creationId xmlns:a16="http://schemas.microsoft.com/office/drawing/2014/main" id="{1A1898B8-9DE8-427B-B2F1-6A0FC4FAC562}"/>
            </a:ext>
          </a:extLst>
        </xdr:cNvPr>
        <xdr:cNvSpPr txBox="1">
          <a:spLocks noChangeArrowheads="1"/>
        </xdr:cNvSpPr>
      </xdr:nvSpPr>
      <xdr:spPr bwMode="auto">
        <a:xfrm>
          <a:off x="20212050" y="2767965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15</xdr:row>
      <xdr:rowOff>95250</xdr:rowOff>
    </xdr:from>
    <xdr:to>
      <xdr:col>29</xdr:col>
      <xdr:colOff>619125</xdr:colOff>
      <xdr:row>35</xdr:row>
      <xdr:rowOff>133350</xdr:rowOff>
    </xdr:to>
    <xdr:sp macro="" textlink="">
      <xdr:nvSpPr>
        <xdr:cNvPr id="1878" name="Text Box 1388" hidden="1">
          <a:extLst>
            <a:ext uri="{FF2B5EF4-FFF2-40B4-BE49-F238E27FC236}">
              <a16:creationId xmlns:a16="http://schemas.microsoft.com/office/drawing/2014/main" id="{1C6BA05F-3F4E-4B79-B554-278E61E7161D}"/>
            </a:ext>
          </a:extLst>
        </xdr:cNvPr>
        <xdr:cNvSpPr txBox="1">
          <a:spLocks noChangeArrowheads="1"/>
        </xdr:cNvSpPr>
      </xdr:nvSpPr>
      <xdr:spPr bwMode="auto">
        <a:xfrm>
          <a:off x="20974050" y="3705225"/>
          <a:ext cx="4362450" cy="40100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482600</xdr:rowOff>
    </xdr:from>
    <xdr:to>
      <xdr:col>29</xdr:col>
      <xdr:colOff>619125</xdr:colOff>
      <xdr:row>43</xdr:row>
      <xdr:rowOff>114300</xdr:rowOff>
    </xdr:to>
    <xdr:sp macro="" textlink="">
      <xdr:nvSpPr>
        <xdr:cNvPr id="1879" name="Text Box 1387" hidden="1">
          <a:extLst>
            <a:ext uri="{FF2B5EF4-FFF2-40B4-BE49-F238E27FC236}">
              <a16:creationId xmlns:a16="http://schemas.microsoft.com/office/drawing/2014/main" id="{40A3D87C-40EE-4DC5-8D63-9CF2E4F8AF7C}"/>
            </a:ext>
          </a:extLst>
        </xdr:cNvPr>
        <xdr:cNvSpPr txBox="1">
          <a:spLocks noChangeArrowheads="1"/>
        </xdr:cNvSpPr>
      </xdr:nvSpPr>
      <xdr:spPr bwMode="auto">
        <a:xfrm>
          <a:off x="20974050" y="5543550"/>
          <a:ext cx="436245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133</xdr:row>
      <xdr:rowOff>114300</xdr:rowOff>
    </xdr:from>
    <xdr:to>
      <xdr:col>29</xdr:col>
      <xdr:colOff>619125</xdr:colOff>
      <xdr:row>153</xdr:row>
      <xdr:rowOff>133350</xdr:rowOff>
    </xdr:to>
    <xdr:sp macro="" textlink="">
      <xdr:nvSpPr>
        <xdr:cNvPr id="1880" name="Text Box 1386" hidden="1">
          <a:extLst>
            <a:ext uri="{FF2B5EF4-FFF2-40B4-BE49-F238E27FC236}">
              <a16:creationId xmlns:a16="http://schemas.microsoft.com/office/drawing/2014/main" id="{8779FC22-1CDB-45DC-9E96-1B24D7D75719}"/>
            </a:ext>
          </a:extLst>
        </xdr:cNvPr>
        <xdr:cNvSpPr txBox="1">
          <a:spLocks noChangeArrowheads="1"/>
        </xdr:cNvSpPr>
      </xdr:nvSpPr>
      <xdr:spPr bwMode="auto">
        <a:xfrm>
          <a:off x="20974050" y="27736800"/>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38</xdr:row>
      <xdr:rowOff>76200</xdr:rowOff>
    </xdr:from>
    <xdr:to>
      <xdr:col>16</xdr:col>
      <xdr:colOff>0</xdr:colOff>
      <xdr:row>59</xdr:row>
      <xdr:rowOff>314325</xdr:rowOff>
    </xdr:to>
    <xdr:sp macro="" textlink="">
      <xdr:nvSpPr>
        <xdr:cNvPr id="1881" name="Text Box 1385" hidden="1">
          <a:extLst>
            <a:ext uri="{FF2B5EF4-FFF2-40B4-BE49-F238E27FC236}">
              <a16:creationId xmlns:a16="http://schemas.microsoft.com/office/drawing/2014/main" id="{0B1AB80C-6F1B-4818-BBAC-314CCDDB66C3}"/>
            </a:ext>
          </a:extLst>
        </xdr:cNvPr>
        <xdr:cNvSpPr txBox="1">
          <a:spLocks noChangeArrowheads="1"/>
        </xdr:cNvSpPr>
      </xdr:nvSpPr>
      <xdr:spPr bwMode="auto">
        <a:xfrm>
          <a:off x="10210800" y="8201025"/>
          <a:ext cx="449580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38</xdr:row>
      <xdr:rowOff>76200</xdr:rowOff>
    </xdr:from>
    <xdr:to>
      <xdr:col>17</xdr:col>
      <xdr:colOff>666750</xdr:colOff>
      <xdr:row>59</xdr:row>
      <xdr:rowOff>314325</xdr:rowOff>
    </xdr:to>
    <xdr:sp macro="" textlink="">
      <xdr:nvSpPr>
        <xdr:cNvPr id="1882" name="Text Box 1384" hidden="1">
          <a:extLst>
            <a:ext uri="{FF2B5EF4-FFF2-40B4-BE49-F238E27FC236}">
              <a16:creationId xmlns:a16="http://schemas.microsoft.com/office/drawing/2014/main" id="{62AA56BD-B5A3-47AF-84B0-CAB39DE84E49}"/>
            </a:ext>
          </a:extLst>
        </xdr:cNvPr>
        <xdr:cNvSpPr txBox="1">
          <a:spLocks noChangeArrowheads="1"/>
        </xdr:cNvSpPr>
      </xdr:nvSpPr>
      <xdr:spPr bwMode="auto">
        <a:xfrm>
          <a:off x="11306175" y="8201025"/>
          <a:ext cx="4829175"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22</xdr:row>
      <xdr:rowOff>6350</xdr:rowOff>
    </xdr:from>
    <xdr:to>
      <xdr:col>34</xdr:col>
      <xdr:colOff>161925</xdr:colOff>
      <xdr:row>41</xdr:row>
      <xdr:rowOff>19050</xdr:rowOff>
    </xdr:to>
    <xdr:sp macro="" textlink="">
      <xdr:nvSpPr>
        <xdr:cNvPr id="1883" name="Text Box 1383" hidden="1">
          <a:extLst>
            <a:ext uri="{FF2B5EF4-FFF2-40B4-BE49-F238E27FC236}">
              <a16:creationId xmlns:a16="http://schemas.microsoft.com/office/drawing/2014/main" id="{88801B78-D5AA-429D-A0A5-2DC35351EBA5}"/>
            </a:ext>
          </a:extLst>
        </xdr:cNvPr>
        <xdr:cNvSpPr txBox="1">
          <a:spLocks noChangeArrowheads="1"/>
        </xdr:cNvSpPr>
      </xdr:nvSpPr>
      <xdr:spPr bwMode="auto">
        <a:xfrm>
          <a:off x="24784050" y="4883150"/>
          <a:ext cx="4848225"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58</xdr:row>
      <xdr:rowOff>66675</xdr:rowOff>
    </xdr:from>
    <xdr:to>
      <xdr:col>18</xdr:col>
      <xdr:colOff>571500</xdr:colOff>
      <xdr:row>78</xdr:row>
      <xdr:rowOff>19050</xdr:rowOff>
    </xdr:to>
    <xdr:sp macro="" textlink="">
      <xdr:nvSpPr>
        <xdr:cNvPr id="1884" name="Text Box 1382" hidden="1">
          <a:extLst>
            <a:ext uri="{FF2B5EF4-FFF2-40B4-BE49-F238E27FC236}">
              <a16:creationId xmlns:a16="http://schemas.microsoft.com/office/drawing/2014/main" id="{34939006-9425-4ABE-88B4-DFAED633B9CD}"/>
            </a:ext>
          </a:extLst>
        </xdr:cNvPr>
        <xdr:cNvSpPr txBox="1">
          <a:spLocks noChangeArrowheads="1"/>
        </xdr:cNvSpPr>
      </xdr:nvSpPr>
      <xdr:spPr bwMode="auto">
        <a:xfrm>
          <a:off x="12134850" y="12153900"/>
          <a:ext cx="46672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101600</xdr:rowOff>
    </xdr:from>
    <xdr:to>
      <xdr:col>18</xdr:col>
      <xdr:colOff>609600</xdr:colOff>
      <xdr:row>83</xdr:row>
      <xdr:rowOff>171450</xdr:rowOff>
    </xdr:to>
    <xdr:sp macro="" textlink="">
      <xdr:nvSpPr>
        <xdr:cNvPr id="1885" name="Text Box 1381" hidden="1">
          <a:extLst>
            <a:ext uri="{FF2B5EF4-FFF2-40B4-BE49-F238E27FC236}">
              <a16:creationId xmlns:a16="http://schemas.microsoft.com/office/drawing/2014/main" id="{2C5E9C19-0178-4D45-B630-DC00C4970BDD}"/>
            </a:ext>
          </a:extLst>
        </xdr:cNvPr>
        <xdr:cNvSpPr txBox="1">
          <a:spLocks noChangeArrowheads="1"/>
        </xdr:cNvSpPr>
      </xdr:nvSpPr>
      <xdr:spPr bwMode="auto">
        <a:xfrm>
          <a:off x="12172950" y="14144625"/>
          <a:ext cx="46672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38</xdr:row>
      <xdr:rowOff>76200</xdr:rowOff>
    </xdr:from>
    <xdr:to>
      <xdr:col>18</xdr:col>
      <xdr:colOff>609600</xdr:colOff>
      <xdr:row>59</xdr:row>
      <xdr:rowOff>314325</xdr:rowOff>
    </xdr:to>
    <xdr:sp macro="" textlink="">
      <xdr:nvSpPr>
        <xdr:cNvPr id="1886" name="Text Box 1380" hidden="1">
          <a:extLst>
            <a:ext uri="{FF2B5EF4-FFF2-40B4-BE49-F238E27FC236}">
              <a16:creationId xmlns:a16="http://schemas.microsoft.com/office/drawing/2014/main" id="{EDA7506A-2895-4392-A460-BFAE4E2C8EDF}"/>
            </a:ext>
          </a:extLst>
        </xdr:cNvPr>
        <xdr:cNvSpPr txBox="1">
          <a:spLocks noChangeArrowheads="1"/>
        </xdr:cNvSpPr>
      </xdr:nvSpPr>
      <xdr:spPr bwMode="auto">
        <a:xfrm>
          <a:off x="12172950" y="8201025"/>
          <a:ext cx="466725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15</xdr:row>
      <xdr:rowOff>95250</xdr:rowOff>
    </xdr:from>
    <xdr:to>
      <xdr:col>30</xdr:col>
      <xdr:colOff>523875</xdr:colOff>
      <xdr:row>35</xdr:row>
      <xdr:rowOff>171450</xdr:rowOff>
    </xdr:to>
    <xdr:sp macro="" textlink="">
      <xdr:nvSpPr>
        <xdr:cNvPr id="1887" name="Text Box 1379" hidden="1">
          <a:extLst>
            <a:ext uri="{FF2B5EF4-FFF2-40B4-BE49-F238E27FC236}">
              <a16:creationId xmlns:a16="http://schemas.microsoft.com/office/drawing/2014/main" id="{B99C0926-22AD-436A-8ED8-BE80A75C870E}"/>
            </a:ext>
          </a:extLst>
        </xdr:cNvPr>
        <xdr:cNvSpPr txBox="1">
          <a:spLocks noChangeArrowheads="1"/>
        </xdr:cNvSpPr>
      </xdr:nvSpPr>
      <xdr:spPr bwMode="auto">
        <a:xfrm>
          <a:off x="21736050" y="3705225"/>
          <a:ext cx="43815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482600</xdr:rowOff>
    </xdr:from>
    <xdr:to>
      <xdr:col>30</xdr:col>
      <xdr:colOff>523875</xdr:colOff>
      <xdr:row>43</xdr:row>
      <xdr:rowOff>171450</xdr:rowOff>
    </xdr:to>
    <xdr:sp macro="" textlink="">
      <xdr:nvSpPr>
        <xdr:cNvPr id="1888" name="Text Box 1378" hidden="1">
          <a:extLst>
            <a:ext uri="{FF2B5EF4-FFF2-40B4-BE49-F238E27FC236}">
              <a16:creationId xmlns:a16="http://schemas.microsoft.com/office/drawing/2014/main" id="{418EFFA4-B28D-4A69-8810-CAFA51289B10}"/>
            </a:ext>
          </a:extLst>
        </xdr:cNvPr>
        <xdr:cNvSpPr txBox="1">
          <a:spLocks noChangeArrowheads="1"/>
        </xdr:cNvSpPr>
      </xdr:nvSpPr>
      <xdr:spPr bwMode="auto">
        <a:xfrm>
          <a:off x="21736050" y="554355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171450</xdr:rowOff>
    </xdr:from>
    <xdr:to>
      <xdr:col>30</xdr:col>
      <xdr:colOff>523875</xdr:colOff>
      <xdr:row>155</xdr:row>
      <xdr:rowOff>0</xdr:rowOff>
    </xdr:to>
    <xdr:sp macro="" textlink="">
      <xdr:nvSpPr>
        <xdr:cNvPr id="1889" name="Text Box 1377" hidden="1">
          <a:extLst>
            <a:ext uri="{FF2B5EF4-FFF2-40B4-BE49-F238E27FC236}">
              <a16:creationId xmlns:a16="http://schemas.microsoft.com/office/drawing/2014/main" id="{841B6F6A-681D-4700-8B59-3FD88F683D05}"/>
            </a:ext>
          </a:extLst>
        </xdr:cNvPr>
        <xdr:cNvSpPr txBox="1">
          <a:spLocks noChangeArrowheads="1"/>
        </xdr:cNvSpPr>
      </xdr:nvSpPr>
      <xdr:spPr bwMode="auto">
        <a:xfrm>
          <a:off x="21736050" y="28155900"/>
          <a:ext cx="4381500"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15</xdr:row>
      <xdr:rowOff>114300</xdr:rowOff>
    </xdr:from>
    <xdr:to>
      <xdr:col>31</xdr:col>
      <xdr:colOff>523875</xdr:colOff>
      <xdr:row>35</xdr:row>
      <xdr:rowOff>171450</xdr:rowOff>
    </xdr:to>
    <xdr:sp macro="" textlink="">
      <xdr:nvSpPr>
        <xdr:cNvPr id="1890" name="Text Box 1376" hidden="1">
          <a:extLst>
            <a:ext uri="{FF2B5EF4-FFF2-40B4-BE49-F238E27FC236}">
              <a16:creationId xmlns:a16="http://schemas.microsoft.com/office/drawing/2014/main" id="{049752D2-04B8-41D9-8B73-5C69634857CA}"/>
            </a:ext>
          </a:extLst>
        </xdr:cNvPr>
        <xdr:cNvSpPr txBox="1">
          <a:spLocks noChangeArrowheads="1"/>
        </xdr:cNvSpPr>
      </xdr:nvSpPr>
      <xdr:spPr bwMode="auto">
        <a:xfrm>
          <a:off x="22498050" y="3724275"/>
          <a:ext cx="486727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482600</xdr:rowOff>
    </xdr:from>
    <xdr:to>
      <xdr:col>31</xdr:col>
      <xdr:colOff>523875</xdr:colOff>
      <xdr:row>43</xdr:row>
      <xdr:rowOff>171450</xdr:rowOff>
    </xdr:to>
    <xdr:sp macro="" textlink="">
      <xdr:nvSpPr>
        <xdr:cNvPr id="1891" name="Text Box 1375" hidden="1">
          <a:extLst>
            <a:ext uri="{FF2B5EF4-FFF2-40B4-BE49-F238E27FC236}">
              <a16:creationId xmlns:a16="http://schemas.microsoft.com/office/drawing/2014/main" id="{4F45CBB6-6350-45E9-9414-4B39666E92A0}"/>
            </a:ext>
          </a:extLst>
        </xdr:cNvPr>
        <xdr:cNvSpPr txBox="1">
          <a:spLocks noChangeArrowheads="1"/>
        </xdr:cNvSpPr>
      </xdr:nvSpPr>
      <xdr:spPr bwMode="auto">
        <a:xfrm>
          <a:off x="22498050" y="554355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171450</xdr:rowOff>
    </xdr:from>
    <xdr:to>
      <xdr:col>31</xdr:col>
      <xdr:colOff>523875</xdr:colOff>
      <xdr:row>155</xdr:row>
      <xdr:rowOff>0</xdr:rowOff>
    </xdr:to>
    <xdr:sp macro="" textlink="">
      <xdr:nvSpPr>
        <xdr:cNvPr id="1892" name="Text Box 1374" hidden="1">
          <a:extLst>
            <a:ext uri="{FF2B5EF4-FFF2-40B4-BE49-F238E27FC236}">
              <a16:creationId xmlns:a16="http://schemas.microsoft.com/office/drawing/2014/main" id="{F31A7467-2C33-4041-944F-B3D40B65C945}"/>
            </a:ext>
          </a:extLst>
        </xdr:cNvPr>
        <xdr:cNvSpPr txBox="1">
          <a:spLocks noChangeArrowheads="1"/>
        </xdr:cNvSpPr>
      </xdr:nvSpPr>
      <xdr:spPr bwMode="auto">
        <a:xfrm>
          <a:off x="22498050" y="28155900"/>
          <a:ext cx="4867275"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15</xdr:row>
      <xdr:rowOff>95250</xdr:rowOff>
    </xdr:from>
    <xdr:to>
      <xdr:col>31</xdr:col>
      <xdr:colOff>676275</xdr:colOff>
      <xdr:row>35</xdr:row>
      <xdr:rowOff>114300</xdr:rowOff>
    </xdr:to>
    <xdr:sp macro="" textlink="">
      <xdr:nvSpPr>
        <xdr:cNvPr id="1893" name="Text Box 1373" hidden="1">
          <a:extLst>
            <a:ext uri="{FF2B5EF4-FFF2-40B4-BE49-F238E27FC236}">
              <a16:creationId xmlns:a16="http://schemas.microsoft.com/office/drawing/2014/main" id="{CF96E8F3-A8AF-4837-A03A-71E45FEA49DA}"/>
            </a:ext>
          </a:extLst>
        </xdr:cNvPr>
        <xdr:cNvSpPr txBox="1">
          <a:spLocks noChangeArrowheads="1"/>
        </xdr:cNvSpPr>
      </xdr:nvSpPr>
      <xdr:spPr bwMode="auto">
        <a:xfrm>
          <a:off x="23298150" y="3705225"/>
          <a:ext cx="4219575"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23</xdr:row>
      <xdr:rowOff>482600</xdr:rowOff>
    </xdr:from>
    <xdr:to>
      <xdr:col>31</xdr:col>
      <xdr:colOff>676275</xdr:colOff>
      <xdr:row>43</xdr:row>
      <xdr:rowOff>114300</xdr:rowOff>
    </xdr:to>
    <xdr:sp macro="" textlink="">
      <xdr:nvSpPr>
        <xdr:cNvPr id="1894" name="Text Box 1372" hidden="1">
          <a:extLst>
            <a:ext uri="{FF2B5EF4-FFF2-40B4-BE49-F238E27FC236}">
              <a16:creationId xmlns:a16="http://schemas.microsoft.com/office/drawing/2014/main" id="{BC7B05D0-981E-4D6E-9958-9C1EC99FF1D6}"/>
            </a:ext>
          </a:extLst>
        </xdr:cNvPr>
        <xdr:cNvSpPr txBox="1">
          <a:spLocks noChangeArrowheads="1"/>
        </xdr:cNvSpPr>
      </xdr:nvSpPr>
      <xdr:spPr bwMode="auto">
        <a:xfrm>
          <a:off x="23298150" y="5543550"/>
          <a:ext cx="4219575"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135</xdr:row>
      <xdr:rowOff>133350</xdr:rowOff>
    </xdr:from>
    <xdr:to>
      <xdr:col>32</xdr:col>
      <xdr:colOff>409575</xdr:colOff>
      <xdr:row>155</xdr:row>
      <xdr:rowOff>38100</xdr:rowOff>
    </xdr:to>
    <xdr:sp macro="" textlink="">
      <xdr:nvSpPr>
        <xdr:cNvPr id="1895" name="Text Box 1371" hidden="1">
          <a:extLst>
            <a:ext uri="{FF2B5EF4-FFF2-40B4-BE49-F238E27FC236}">
              <a16:creationId xmlns:a16="http://schemas.microsoft.com/office/drawing/2014/main" id="{A1F7EDB9-2DCA-42E8-9AE9-294D33305FD0}"/>
            </a:ext>
          </a:extLst>
        </xdr:cNvPr>
        <xdr:cNvSpPr txBox="1">
          <a:spLocks noChangeArrowheads="1"/>
        </xdr:cNvSpPr>
      </xdr:nvSpPr>
      <xdr:spPr bwMode="auto">
        <a:xfrm>
          <a:off x="23260050" y="28117800"/>
          <a:ext cx="4867275" cy="3524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15</xdr:row>
      <xdr:rowOff>114300</xdr:rowOff>
    </xdr:from>
    <xdr:to>
      <xdr:col>33</xdr:col>
      <xdr:colOff>276225</xdr:colOff>
      <xdr:row>35</xdr:row>
      <xdr:rowOff>171450</xdr:rowOff>
    </xdr:to>
    <xdr:sp macro="" textlink="">
      <xdr:nvSpPr>
        <xdr:cNvPr id="1896" name="Text Box 1370" hidden="1">
          <a:extLst>
            <a:ext uri="{FF2B5EF4-FFF2-40B4-BE49-F238E27FC236}">
              <a16:creationId xmlns:a16="http://schemas.microsoft.com/office/drawing/2014/main" id="{6CAA450F-96C3-434F-A5D5-AF531AE069CE}"/>
            </a:ext>
          </a:extLst>
        </xdr:cNvPr>
        <xdr:cNvSpPr txBox="1">
          <a:spLocks noChangeArrowheads="1"/>
        </xdr:cNvSpPr>
      </xdr:nvSpPr>
      <xdr:spPr bwMode="auto">
        <a:xfrm>
          <a:off x="24022050" y="3724275"/>
          <a:ext cx="484822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23</xdr:row>
      <xdr:rowOff>482600</xdr:rowOff>
    </xdr:from>
    <xdr:to>
      <xdr:col>33</xdr:col>
      <xdr:colOff>276225</xdr:colOff>
      <xdr:row>43</xdr:row>
      <xdr:rowOff>0</xdr:rowOff>
    </xdr:to>
    <xdr:sp macro="" textlink="">
      <xdr:nvSpPr>
        <xdr:cNvPr id="1897" name="Text Box 1369" hidden="1">
          <a:extLst>
            <a:ext uri="{FF2B5EF4-FFF2-40B4-BE49-F238E27FC236}">
              <a16:creationId xmlns:a16="http://schemas.microsoft.com/office/drawing/2014/main" id="{AEB0649C-BC95-4221-A89D-7DAF3B140568}"/>
            </a:ext>
          </a:extLst>
        </xdr:cNvPr>
        <xdr:cNvSpPr txBox="1">
          <a:spLocks noChangeArrowheads="1"/>
        </xdr:cNvSpPr>
      </xdr:nvSpPr>
      <xdr:spPr bwMode="auto">
        <a:xfrm>
          <a:off x="24022050" y="5543550"/>
          <a:ext cx="4848225" cy="348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15</xdr:row>
      <xdr:rowOff>114300</xdr:rowOff>
    </xdr:from>
    <xdr:to>
      <xdr:col>34</xdr:col>
      <xdr:colOff>180975</xdr:colOff>
      <xdr:row>35</xdr:row>
      <xdr:rowOff>0</xdr:rowOff>
    </xdr:to>
    <xdr:sp macro="" textlink="">
      <xdr:nvSpPr>
        <xdr:cNvPr id="1898" name="Text Box 1368" hidden="1">
          <a:extLst>
            <a:ext uri="{FF2B5EF4-FFF2-40B4-BE49-F238E27FC236}">
              <a16:creationId xmlns:a16="http://schemas.microsoft.com/office/drawing/2014/main" id="{81497ED8-A102-4EE1-A1CD-000C2FA31ED3}"/>
            </a:ext>
          </a:extLst>
        </xdr:cNvPr>
        <xdr:cNvSpPr txBox="1">
          <a:spLocks noChangeArrowheads="1"/>
        </xdr:cNvSpPr>
      </xdr:nvSpPr>
      <xdr:spPr bwMode="auto">
        <a:xfrm>
          <a:off x="24784050" y="3724275"/>
          <a:ext cx="4867275" cy="3857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25</xdr:row>
      <xdr:rowOff>111125</xdr:rowOff>
    </xdr:from>
    <xdr:to>
      <xdr:col>34</xdr:col>
      <xdr:colOff>180975</xdr:colOff>
      <xdr:row>45</xdr:row>
      <xdr:rowOff>0</xdr:rowOff>
    </xdr:to>
    <xdr:sp macro="" textlink="">
      <xdr:nvSpPr>
        <xdr:cNvPr id="1899" name="Text Box 1367" hidden="1">
          <a:extLst>
            <a:ext uri="{FF2B5EF4-FFF2-40B4-BE49-F238E27FC236}">
              <a16:creationId xmlns:a16="http://schemas.microsoft.com/office/drawing/2014/main" id="{1B3FA1B7-BDBD-4F6D-AA66-3E5FE3E732B9}"/>
            </a:ext>
          </a:extLst>
        </xdr:cNvPr>
        <xdr:cNvSpPr txBox="1">
          <a:spLocks noChangeArrowheads="1"/>
        </xdr:cNvSpPr>
      </xdr:nvSpPr>
      <xdr:spPr bwMode="auto">
        <a:xfrm>
          <a:off x="24784050" y="588645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137</xdr:row>
      <xdr:rowOff>114300</xdr:rowOff>
    </xdr:from>
    <xdr:to>
      <xdr:col>34</xdr:col>
      <xdr:colOff>180975</xdr:colOff>
      <xdr:row>157</xdr:row>
      <xdr:rowOff>0</xdr:rowOff>
    </xdr:to>
    <xdr:sp macro="" textlink="">
      <xdr:nvSpPr>
        <xdr:cNvPr id="1900" name="Text Box 1366" hidden="1">
          <a:extLst>
            <a:ext uri="{FF2B5EF4-FFF2-40B4-BE49-F238E27FC236}">
              <a16:creationId xmlns:a16="http://schemas.microsoft.com/office/drawing/2014/main" id="{9CAADA69-E44F-4797-8BE2-D237CB27FDD9}"/>
            </a:ext>
          </a:extLst>
        </xdr:cNvPr>
        <xdr:cNvSpPr txBox="1">
          <a:spLocks noChangeArrowheads="1"/>
        </xdr:cNvSpPr>
      </xdr:nvSpPr>
      <xdr:spPr bwMode="auto">
        <a:xfrm>
          <a:off x="24784050" y="2846070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600075</xdr:colOff>
      <xdr:row>23</xdr:row>
      <xdr:rowOff>101600</xdr:rowOff>
    </xdr:from>
    <xdr:to>
      <xdr:col>34</xdr:col>
      <xdr:colOff>171450</xdr:colOff>
      <xdr:row>26</xdr:row>
      <xdr:rowOff>0</xdr:rowOff>
    </xdr:to>
    <xdr:sp macro="" textlink="">
      <xdr:nvSpPr>
        <xdr:cNvPr id="1901" name="Text Box 1411" hidden="1">
          <a:extLst>
            <a:ext uri="{FF2B5EF4-FFF2-40B4-BE49-F238E27FC236}">
              <a16:creationId xmlns:a16="http://schemas.microsoft.com/office/drawing/2014/main" id="{17691DEB-7B48-46D8-AA9F-B10E6BDDEA2B}"/>
            </a:ext>
          </a:extLst>
        </xdr:cNvPr>
        <xdr:cNvSpPr txBox="1">
          <a:spLocks noChangeArrowheads="1"/>
        </xdr:cNvSpPr>
      </xdr:nvSpPr>
      <xdr:spPr bwMode="auto">
        <a:xfrm>
          <a:off x="28317825" y="5159375"/>
          <a:ext cx="1323975"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1</xdr:col>
      <xdr:colOff>1311422</xdr:colOff>
      <xdr:row>53</xdr:row>
      <xdr:rowOff>549</xdr:rowOff>
    </xdr:from>
    <xdr:to>
      <xdr:col>2</xdr:col>
      <xdr:colOff>222083</xdr:colOff>
      <xdr:row>53</xdr:row>
      <xdr:rowOff>549</xdr:rowOff>
    </xdr:to>
    <xdr:sp macro="" textlink="">
      <xdr:nvSpPr>
        <xdr:cNvPr id="275460" name="Text Box 1028" hidden="1">
          <a:extLst>
            <a:ext uri="{FF2B5EF4-FFF2-40B4-BE49-F238E27FC236}">
              <a16:creationId xmlns:a16="http://schemas.microsoft.com/office/drawing/2014/main" id="{00FA32C4-E5B5-4A36-B80E-7E9890C5E8A9}"/>
            </a:ext>
          </a:extLst>
        </xdr:cNvPr>
        <xdr:cNvSpPr txBox="1">
          <a:spLocks noChangeArrowheads="1"/>
        </xdr:cNvSpPr>
      </xdr:nvSpPr>
      <xdr:spPr bwMode="auto">
        <a:xfrm>
          <a:off x="2743200" y="9662160"/>
          <a:ext cx="139446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1307612</xdr:colOff>
      <xdr:row>53</xdr:row>
      <xdr:rowOff>549</xdr:rowOff>
    </xdr:from>
    <xdr:to>
      <xdr:col>2</xdr:col>
      <xdr:colOff>199223</xdr:colOff>
      <xdr:row>53</xdr:row>
      <xdr:rowOff>549</xdr:rowOff>
    </xdr:to>
    <xdr:sp macro="" textlink="">
      <xdr:nvSpPr>
        <xdr:cNvPr id="275461" name="Text Box 1029" hidden="1">
          <a:extLst>
            <a:ext uri="{FF2B5EF4-FFF2-40B4-BE49-F238E27FC236}">
              <a16:creationId xmlns:a16="http://schemas.microsoft.com/office/drawing/2014/main" id="{31E6748E-8457-4C4B-80B4-92C1BB0F1B8F}"/>
            </a:ext>
          </a:extLst>
        </xdr:cNvPr>
        <xdr:cNvSpPr txBox="1">
          <a:spLocks noChangeArrowheads="1"/>
        </xdr:cNvSpPr>
      </xdr:nvSpPr>
      <xdr:spPr bwMode="auto">
        <a:xfrm>
          <a:off x="265747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53</xdr:row>
      <xdr:rowOff>549</xdr:rowOff>
    </xdr:from>
    <xdr:to>
      <xdr:col>2</xdr:col>
      <xdr:colOff>180173</xdr:colOff>
      <xdr:row>53</xdr:row>
      <xdr:rowOff>549</xdr:rowOff>
    </xdr:to>
    <xdr:sp macro="" textlink="">
      <xdr:nvSpPr>
        <xdr:cNvPr id="275462" name="Text Box 1030" hidden="1">
          <a:extLst>
            <a:ext uri="{FF2B5EF4-FFF2-40B4-BE49-F238E27FC236}">
              <a16:creationId xmlns:a16="http://schemas.microsoft.com/office/drawing/2014/main" id="{31CBCC0B-5F7A-4A9E-9BC5-32F3742F9E9A}"/>
            </a:ext>
          </a:extLst>
        </xdr:cNvPr>
        <xdr:cNvSpPr txBox="1">
          <a:spLocks noChangeArrowheads="1"/>
        </xdr:cNvSpPr>
      </xdr:nvSpPr>
      <xdr:spPr bwMode="auto">
        <a:xfrm>
          <a:off x="2724150" y="97282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53</xdr:row>
      <xdr:rowOff>549</xdr:rowOff>
    </xdr:from>
    <xdr:to>
      <xdr:col>2</xdr:col>
      <xdr:colOff>180173</xdr:colOff>
      <xdr:row>53</xdr:row>
      <xdr:rowOff>549</xdr:rowOff>
    </xdr:to>
    <xdr:sp macro="" textlink="">
      <xdr:nvSpPr>
        <xdr:cNvPr id="275463" name="Text Box 1031" hidden="1">
          <a:extLst>
            <a:ext uri="{FF2B5EF4-FFF2-40B4-BE49-F238E27FC236}">
              <a16:creationId xmlns:a16="http://schemas.microsoft.com/office/drawing/2014/main" id="{78D9CD57-945C-46B4-8CF0-E01555CB1726}"/>
            </a:ext>
          </a:extLst>
        </xdr:cNvPr>
        <xdr:cNvSpPr txBox="1">
          <a:spLocks noChangeArrowheads="1"/>
        </xdr:cNvSpPr>
      </xdr:nvSpPr>
      <xdr:spPr bwMode="auto">
        <a:xfrm>
          <a:off x="263842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275464" name="Text Box 8" hidden="1">
          <a:extLst>
            <a:ext uri="{FF2B5EF4-FFF2-40B4-BE49-F238E27FC236}">
              <a16:creationId xmlns:a16="http://schemas.microsoft.com/office/drawing/2014/main" id="{2A03C8FD-E8BF-44A0-956D-B6BFDADD11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1" name="Text Box 1" hidden="1">
          <a:extLst>
            <a:ext uri="{FF2B5EF4-FFF2-40B4-BE49-F238E27FC236}">
              <a16:creationId xmlns:a16="http://schemas.microsoft.com/office/drawing/2014/main" id="{6CB65364-76DB-4F71-B75C-201FF3FABA3D}"/>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2" name="Text Box 2" hidden="1">
          <a:extLst>
            <a:ext uri="{FF2B5EF4-FFF2-40B4-BE49-F238E27FC236}">
              <a16:creationId xmlns:a16="http://schemas.microsoft.com/office/drawing/2014/main" id="{7722F2E7-DD7D-42CD-8199-B91C7C7D96B3}"/>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3" name="Text Box 3" hidden="1">
          <a:extLst>
            <a:ext uri="{FF2B5EF4-FFF2-40B4-BE49-F238E27FC236}">
              <a16:creationId xmlns:a16="http://schemas.microsoft.com/office/drawing/2014/main" id="{730C43A4-5B62-42DC-85DF-BE2732943BD1}"/>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4" name="Text Box 4" hidden="1">
          <a:extLst>
            <a:ext uri="{FF2B5EF4-FFF2-40B4-BE49-F238E27FC236}">
              <a16:creationId xmlns:a16="http://schemas.microsoft.com/office/drawing/2014/main" id="{924069F0-C83B-4662-8B30-845143ABCF18}"/>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5" name="Text Box 5" hidden="1">
          <a:extLst>
            <a:ext uri="{FF2B5EF4-FFF2-40B4-BE49-F238E27FC236}">
              <a16:creationId xmlns:a16="http://schemas.microsoft.com/office/drawing/2014/main" id="{655000A7-C9F1-459F-AB31-3FF6DEF202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69" name="Text Box 1025" hidden="1">
          <a:extLst>
            <a:ext uri="{FF2B5EF4-FFF2-40B4-BE49-F238E27FC236}">
              <a16:creationId xmlns:a16="http://schemas.microsoft.com/office/drawing/2014/main" id="{4FF86A67-F7A9-46DD-97B1-8339408B341B}"/>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0" name="Text Box 1026" hidden="1">
          <a:extLst>
            <a:ext uri="{FF2B5EF4-FFF2-40B4-BE49-F238E27FC236}">
              <a16:creationId xmlns:a16="http://schemas.microsoft.com/office/drawing/2014/main" id="{AAF1D011-ACFA-4E10-A020-5D392131C601}"/>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1" name="Text Box 1027" hidden="1">
          <a:extLst>
            <a:ext uri="{FF2B5EF4-FFF2-40B4-BE49-F238E27FC236}">
              <a16:creationId xmlns:a16="http://schemas.microsoft.com/office/drawing/2014/main" id="{437AF159-36CB-8011-DB2B-EE456870E65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2" name="Text Box 4" hidden="1">
          <a:extLst>
            <a:ext uri="{FF2B5EF4-FFF2-40B4-BE49-F238E27FC236}">
              <a16:creationId xmlns:a16="http://schemas.microsoft.com/office/drawing/2014/main" id="{C9437685-B101-7B7F-792A-4F4210A01200}"/>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14373" name="Text Box 5" hidden="1">
          <a:extLst>
            <a:ext uri="{FF2B5EF4-FFF2-40B4-BE49-F238E27FC236}">
              <a16:creationId xmlns:a16="http://schemas.microsoft.com/office/drawing/2014/main" id="{32B9AF91-0C65-9F5A-1029-2DF868BD4193}"/>
            </a:ext>
          </a:extLst>
        </xdr:cNvPr>
        <xdr:cNvSpPr txBox="1">
          <a:spLocks noChangeArrowheads="1"/>
        </xdr:cNvSpPr>
      </xdr:nvSpPr>
      <xdr:spPr bwMode="auto">
        <a:xfrm>
          <a:off x="2705100" y="98869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14374" name="Text Box 6" hidden="1">
          <a:extLst>
            <a:ext uri="{FF2B5EF4-FFF2-40B4-BE49-F238E27FC236}">
              <a16:creationId xmlns:a16="http://schemas.microsoft.com/office/drawing/2014/main" id="{995F31B6-AEBB-6CA1-0E56-4BEB3B915864}"/>
            </a:ext>
          </a:extLst>
        </xdr:cNvPr>
        <xdr:cNvSpPr txBox="1">
          <a:spLocks noChangeArrowheads="1"/>
        </xdr:cNvSpPr>
      </xdr:nvSpPr>
      <xdr:spPr bwMode="auto">
        <a:xfrm>
          <a:off x="2705100" y="102425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14375" name="Text Box 7" hidden="1">
          <a:extLst>
            <a:ext uri="{FF2B5EF4-FFF2-40B4-BE49-F238E27FC236}">
              <a16:creationId xmlns:a16="http://schemas.microsoft.com/office/drawing/2014/main" id="{92D01D35-145A-7AC9-71F7-8157C6EB555D}"/>
            </a:ext>
          </a:extLst>
        </xdr:cNvPr>
        <xdr:cNvSpPr txBox="1">
          <a:spLocks noChangeArrowheads="1"/>
        </xdr:cNvSpPr>
      </xdr:nvSpPr>
      <xdr:spPr bwMode="auto">
        <a:xfrm>
          <a:off x="2705100" y="105854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14376" name="Text Box 8" hidden="1">
          <a:extLst>
            <a:ext uri="{FF2B5EF4-FFF2-40B4-BE49-F238E27FC236}">
              <a16:creationId xmlns:a16="http://schemas.microsoft.com/office/drawing/2014/main" id="{C2F7CA66-A973-AF4D-AF6B-49FA6B613788}"/>
            </a:ext>
          </a:extLst>
        </xdr:cNvPr>
        <xdr:cNvSpPr txBox="1">
          <a:spLocks noChangeArrowheads="1"/>
        </xdr:cNvSpPr>
      </xdr:nvSpPr>
      <xdr:spPr bwMode="auto">
        <a:xfrm>
          <a:off x="2705100" y="109156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14377" name="Text Box 9" hidden="1">
          <a:extLst>
            <a:ext uri="{FF2B5EF4-FFF2-40B4-BE49-F238E27FC236}">
              <a16:creationId xmlns:a16="http://schemas.microsoft.com/office/drawing/2014/main" id="{60A38524-E963-8B80-979B-C2315751019D}"/>
            </a:ext>
          </a:extLst>
        </xdr:cNvPr>
        <xdr:cNvSpPr txBox="1">
          <a:spLocks noChangeArrowheads="1"/>
        </xdr:cNvSpPr>
      </xdr:nvSpPr>
      <xdr:spPr bwMode="auto">
        <a:xfrm>
          <a:off x="2705100" y="112458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14378" name="Text Box 10" hidden="1">
          <a:extLst>
            <a:ext uri="{FF2B5EF4-FFF2-40B4-BE49-F238E27FC236}">
              <a16:creationId xmlns:a16="http://schemas.microsoft.com/office/drawing/2014/main" id="{32AB8D24-E55B-90C9-015F-B3FCE7BB1662}"/>
            </a:ext>
          </a:extLst>
        </xdr:cNvPr>
        <xdr:cNvSpPr txBox="1">
          <a:spLocks noChangeArrowheads="1"/>
        </xdr:cNvSpPr>
      </xdr:nvSpPr>
      <xdr:spPr bwMode="auto">
        <a:xfrm>
          <a:off x="2705100" y="115760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46" name="Text Box 14" hidden="1">
          <a:extLst>
            <a:ext uri="{FF2B5EF4-FFF2-40B4-BE49-F238E27FC236}">
              <a16:creationId xmlns:a16="http://schemas.microsoft.com/office/drawing/2014/main" id="{6C2115BB-9915-0A80-470A-42F40441B9E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45" name="Text Box 13" hidden="1">
          <a:extLst>
            <a:ext uri="{FF2B5EF4-FFF2-40B4-BE49-F238E27FC236}">
              <a16:creationId xmlns:a16="http://schemas.microsoft.com/office/drawing/2014/main" id="{DF0D79B3-D2A7-0881-FD41-39A6CE84B355}"/>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44" name="Text Box 12" hidden="1">
          <a:extLst>
            <a:ext uri="{FF2B5EF4-FFF2-40B4-BE49-F238E27FC236}">
              <a16:creationId xmlns:a16="http://schemas.microsoft.com/office/drawing/2014/main" id="{69961090-54CC-90F9-8955-ADB0AC6E6786}"/>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43" name="Text Box 11" hidden="1">
          <a:extLst>
            <a:ext uri="{FF2B5EF4-FFF2-40B4-BE49-F238E27FC236}">
              <a16:creationId xmlns:a16="http://schemas.microsoft.com/office/drawing/2014/main" id="{B0F5A10F-2148-1BE9-532D-DFB19D02B91B}"/>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42" name="Text Box 10" hidden="1">
          <a:extLst>
            <a:ext uri="{FF2B5EF4-FFF2-40B4-BE49-F238E27FC236}">
              <a16:creationId xmlns:a16="http://schemas.microsoft.com/office/drawing/2014/main" id="{52661AFB-2E75-B046-C6E5-11483E38760C}"/>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41" name="Text Box 9" hidden="1">
          <a:extLst>
            <a:ext uri="{FF2B5EF4-FFF2-40B4-BE49-F238E27FC236}">
              <a16:creationId xmlns:a16="http://schemas.microsoft.com/office/drawing/2014/main" id="{BBCC77F7-1D78-362D-BE45-659520E87F15}"/>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40" name="Text Box 8" hidden="1">
          <a:extLst>
            <a:ext uri="{FF2B5EF4-FFF2-40B4-BE49-F238E27FC236}">
              <a16:creationId xmlns:a16="http://schemas.microsoft.com/office/drawing/2014/main" id="{96BB2F95-5DFA-599E-715D-227912B90441}"/>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39" name="Text Box 7" hidden="1">
          <a:extLst>
            <a:ext uri="{FF2B5EF4-FFF2-40B4-BE49-F238E27FC236}">
              <a16:creationId xmlns:a16="http://schemas.microsoft.com/office/drawing/2014/main" id="{E32DBF97-A175-E466-5C3E-A26463D38FFA}"/>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38" name="Text Box 6" hidden="1">
          <a:extLst>
            <a:ext uri="{FF2B5EF4-FFF2-40B4-BE49-F238E27FC236}">
              <a16:creationId xmlns:a16="http://schemas.microsoft.com/office/drawing/2014/main" id="{47A5E5BB-17FC-AD54-221A-D7406891D356}"/>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37" name="Text Box 5" hidden="1">
          <a:extLst>
            <a:ext uri="{FF2B5EF4-FFF2-40B4-BE49-F238E27FC236}">
              <a16:creationId xmlns:a16="http://schemas.microsoft.com/office/drawing/2014/main" id="{59696B4B-1A67-6DAC-AC2F-9CA6784E3B2F}"/>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36" name="Text Box 4" hidden="1">
          <a:extLst>
            <a:ext uri="{FF2B5EF4-FFF2-40B4-BE49-F238E27FC236}">
              <a16:creationId xmlns:a16="http://schemas.microsoft.com/office/drawing/2014/main" id="{35DC972F-4700-FD8B-04CC-13FAB52B622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35" name="Text Box 3" hidden="1">
          <a:extLst>
            <a:ext uri="{FF2B5EF4-FFF2-40B4-BE49-F238E27FC236}">
              <a16:creationId xmlns:a16="http://schemas.microsoft.com/office/drawing/2014/main" id="{7A954F4E-D872-8F35-436F-57A11F8F3222}"/>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34" name="Text Box 2" hidden="1">
          <a:extLst>
            <a:ext uri="{FF2B5EF4-FFF2-40B4-BE49-F238E27FC236}">
              <a16:creationId xmlns:a16="http://schemas.microsoft.com/office/drawing/2014/main" id="{F19B3451-482D-E00C-F28E-FDC954D2E94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33" name="Text Box 1" hidden="1">
          <a:extLst>
            <a:ext uri="{FF2B5EF4-FFF2-40B4-BE49-F238E27FC236}">
              <a16:creationId xmlns:a16="http://schemas.microsoft.com/office/drawing/2014/main" id="{9906005B-BF3F-CEEE-5706-D57DF7596368}"/>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53" name="Text Box 21" hidden="1">
          <a:extLst>
            <a:ext uri="{FF2B5EF4-FFF2-40B4-BE49-F238E27FC236}">
              <a16:creationId xmlns:a16="http://schemas.microsoft.com/office/drawing/2014/main" id="{B1331059-F79B-52E1-5B4B-E2FBF1E38294}"/>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52" name="Text Box 20" hidden="1">
          <a:extLst>
            <a:ext uri="{FF2B5EF4-FFF2-40B4-BE49-F238E27FC236}">
              <a16:creationId xmlns:a16="http://schemas.microsoft.com/office/drawing/2014/main" id="{76E7B475-FBDA-4443-12BD-3FF0466397CB}"/>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51" name="Text Box 19" hidden="1">
          <a:extLst>
            <a:ext uri="{FF2B5EF4-FFF2-40B4-BE49-F238E27FC236}">
              <a16:creationId xmlns:a16="http://schemas.microsoft.com/office/drawing/2014/main" id="{77C5E091-9FF2-8DF4-BF52-5B2B5BB4B775}"/>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50" name="Text Box 18" hidden="1">
          <a:extLst>
            <a:ext uri="{FF2B5EF4-FFF2-40B4-BE49-F238E27FC236}">
              <a16:creationId xmlns:a16="http://schemas.microsoft.com/office/drawing/2014/main" id="{C4986A94-73C2-E519-C120-3B1AEB1C74DF}"/>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49" name="Text Box 17" hidden="1">
          <a:extLst>
            <a:ext uri="{FF2B5EF4-FFF2-40B4-BE49-F238E27FC236}">
              <a16:creationId xmlns:a16="http://schemas.microsoft.com/office/drawing/2014/main" id="{6A7380A4-506B-2EE1-F553-EF8F1615FC45}"/>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48" name="Text Box 16" hidden="1">
          <a:extLst>
            <a:ext uri="{FF2B5EF4-FFF2-40B4-BE49-F238E27FC236}">
              <a16:creationId xmlns:a16="http://schemas.microsoft.com/office/drawing/2014/main" id="{08DA302D-FC61-D973-087D-4B996894C25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47" name="Text Box 15" hidden="1">
          <a:extLst>
            <a:ext uri="{FF2B5EF4-FFF2-40B4-BE49-F238E27FC236}">
              <a16:creationId xmlns:a16="http://schemas.microsoft.com/office/drawing/2014/main" id="{B6A7CFB3-FCC7-676F-086E-0C13FAE0EE8D}"/>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60" name="Text Box 28" hidden="1">
          <a:extLst>
            <a:ext uri="{FF2B5EF4-FFF2-40B4-BE49-F238E27FC236}">
              <a16:creationId xmlns:a16="http://schemas.microsoft.com/office/drawing/2014/main" id="{3A8234B8-7123-96A5-7120-7330EE848047}"/>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59" name="Text Box 27" hidden="1">
          <a:extLst>
            <a:ext uri="{FF2B5EF4-FFF2-40B4-BE49-F238E27FC236}">
              <a16:creationId xmlns:a16="http://schemas.microsoft.com/office/drawing/2014/main" id="{B8A31A81-9927-0CF5-5AEB-7F9B723928C2}"/>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58" name="Text Box 26" hidden="1">
          <a:extLst>
            <a:ext uri="{FF2B5EF4-FFF2-40B4-BE49-F238E27FC236}">
              <a16:creationId xmlns:a16="http://schemas.microsoft.com/office/drawing/2014/main" id="{E128DB61-2E11-AF27-3D31-EE354CA9150E}"/>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57" name="Text Box 25" hidden="1">
          <a:extLst>
            <a:ext uri="{FF2B5EF4-FFF2-40B4-BE49-F238E27FC236}">
              <a16:creationId xmlns:a16="http://schemas.microsoft.com/office/drawing/2014/main" id="{079F3B85-6EF0-F945-803E-BC0A0D0E9C8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56" name="Text Box 24" hidden="1">
          <a:extLst>
            <a:ext uri="{FF2B5EF4-FFF2-40B4-BE49-F238E27FC236}">
              <a16:creationId xmlns:a16="http://schemas.microsoft.com/office/drawing/2014/main" id="{354A9F75-C0CB-CC05-9CDA-48363820F368}"/>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55" name="Text Box 23" hidden="1">
          <a:extLst>
            <a:ext uri="{FF2B5EF4-FFF2-40B4-BE49-F238E27FC236}">
              <a16:creationId xmlns:a16="http://schemas.microsoft.com/office/drawing/2014/main" id="{D792366D-8BAE-3FCC-1E17-CB98574BD300}"/>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54" name="Text Box 22" hidden="1">
          <a:extLst>
            <a:ext uri="{FF2B5EF4-FFF2-40B4-BE49-F238E27FC236}">
              <a16:creationId xmlns:a16="http://schemas.microsoft.com/office/drawing/2014/main" id="{541A32F3-73D8-CE15-9C55-F0E7DFCBE256}"/>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67" name="Text Box 35" hidden="1">
          <a:extLst>
            <a:ext uri="{FF2B5EF4-FFF2-40B4-BE49-F238E27FC236}">
              <a16:creationId xmlns:a16="http://schemas.microsoft.com/office/drawing/2014/main" id="{4F6D94EF-0F14-3A6A-BBFA-89F79388AF08}"/>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66" name="Text Box 34" hidden="1">
          <a:extLst>
            <a:ext uri="{FF2B5EF4-FFF2-40B4-BE49-F238E27FC236}">
              <a16:creationId xmlns:a16="http://schemas.microsoft.com/office/drawing/2014/main" id="{64D370F8-7476-4A06-7E4C-24114413E624}"/>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65" name="Text Box 33" hidden="1">
          <a:extLst>
            <a:ext uri="{FF2B5EF4-FFF2-40B4-BE49-F238E27FC236}">
              <a16:creationId xmlns:a16="http://schemas.microsoft.com/office/drawing/2014/main" id="{05AB9054-457F-7E36-2947-BEB253B960A2}"/>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64" name="Text Box 32" hidden="1">
          <a:extLst>
            <a:ext uri="{FF2B5EF4-FFF2-40B4-BE49-F238E27FC236}">
              <a16:creationId xmlns:a16="http://schemas.microsoft.com/office/drawing/2014/main" id="{25DAB710-59E7-96BE-5D93-B624EE2B0DB9}"/>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63" name="Text Box 31" hidden="1">
          <a:extLst>
            <a:ext uri="{FF2B5EF4-FFF2-40B4-BE49-F238E27FC236}">
              <a16:creationId xmlns:a16="http://schemas.microsoft.com/office/drawing/2014/main" id="{2E4E2617-DB92-7E4C-4B21-FA5330FAA006}"/>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62" name="Text Box 30" hidden="1">
          <a:extLst>
            <a:ext uri="{FF2B5EF4-FFF2-40B4-BE49-F238E27FC236}">
              <a16:creationId xmlns:a16="http://schemas.microsoft.com/office/drawing/2014/main" id="{D65EC217-9F7B-5B33-2424-4C99CB54C578}"/>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61" name="Text Box 29" hidden="1">
          <a:extLst>
            <a:ext uri="{FF2B5EF4-FFF2-40B4-BE49-F238E27FC236}">
              <a16:creationId xmlns:a16="http://schemas.microsoft.com/office/drawing/2014/main" id="{38FC253F-B4E6-7DB0-A120-5049230B97A4}"/>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74" name="Text Box 42" hidden="1">
          <a:extLst>
            <a:ext uri="{FF2B5EF4-FFF2-40B4-BE49-F238E27FC236}">
              <a16:creationId xmlns:a16="http://schemas.microsoft.com/office/drawing/2014/main" id="{5A0CA82E-ED17-F119-D2A2-FECBF1369F8B}"/>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73" name="Text Box 41" hidden="1">
          <a:extLst>
            <a:ext uri="{FF2B5EF4-FFF2-40B4-BE49-F238E27FC236}">
              <a16:creationId xmlns:a16="http://schemas.microsoft.com/office/drawing/2014/main" id="{0D98C27B-2B30-5C49-4F06-7168B370995F}"/>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72" name="Text Box 40" hidden="1">
          <a:extLst>
            <a:ext uri="{FF2B5EF4-FFF2-40B4-BE49-F238E27FC236}">
              <a16:creationId xmlns:a16="http://schemas.microsoft.com/office/drawing/2014/main" id="{95B62CE9-0174-35AF-396B-BC44193E99D9}"/>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71" name="Text Box 39" hidden="1">
          <a:extLst>
            <a:ext uri="{FF2B5EF4-FFF2-40B4-BE49-F238E27FC236}">
              <a16:creationId xmlns:a16="http://schemas.microsoft.com/office/drawing/2014/main" id="{E076671A-8D57-642C-2997-55E729F4337E}"/>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70" name="Text Box 38" hidden="1">
          <a:extLst>
            <a:ext uri="{FF2B5EF4-FFF2-40B4-BE49-F238E27FC236}">
              <a16:creationId xmlns:a16="http://schemas.microsoft.com/office/drawing/2014/main" id="{08F5D72C-6282-8C67-DA0F-CF3F549165EC}"/>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69" name="Text Box 37" hidden="1">
          <a:extLst>
            <a:ext uri="{FF2B5EF4-FFF2-40B4-BE49-F238E27FC236}">
              <a16:creationId xmlns:a16="http://schemas.microsoft.com/office/drawing/2014/main" id="{DDA41B91-9DCB-5C45-10B3-FBB64514850A}"/>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68" name="Text Box 36" hidden="1">
          <a:extLst>
            <a:ext uri="{FF2B5EF4-FFF2-40B4-BE49-F238E27FC236}">
              <a16:creationId xmlns:a16="http://schemas.microsoft.com/office/drawing/2014/main" id="{3E034B40-D236-5C2A-61D6-831BAAE7651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88" name="Text Box 56" hidden="1">
          <a:extLst>
            <a:ext uri="{FF2B5EF4-FFF2-40B4-BE49-F238E27FC236}">
              <a16:creationId xmlns:a16="http://schemas.microsoft.com/office/drawing/2014/main" id="{3D51B448-A54F-8BA7-C1FE-B002557429D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87" name="Text Box 55" hidden="1">
          <a:extLst>
            <a:ext uri="{FF2B5EF4-FFF2-40B4-BE49-F238E27FC236}">
              <a16:creationId xmlns:a16="http://schemas.microsoft.com/office/drawing/2014/main" id="{E4AADD02-F36B-AFFB-FD1A-928CEBD3BED5}"/>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86" name="Text Box 54" hidden="1">
          <a:extLst>
            <a:ext uri="{FF2B5EF4-FFF2-40B4-BE49-F238E27FC236}">
              <a16:creationId xmlns:a16="http://schemas.microsoft.com/office/drawing/2014/main" id="{F3EBC67A-D9C2-D4CD-FF7D-3BF682CA48A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85" name="Text Box 53" hidden="1">
          <a:extLst>
            <a:ext uri="{FF2B5EF4-FFF2-40B4-BE49-F238E27FC236}">
              <a16:creationId xmlns:a16="http://schemas.microsoft.com/office/drawing/2014/main" id="{B0A25D47-41E0-8ABF-5B0A-4A88790DE078}"/>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84" name="Text Box 52" hidden="1">
          <a:extLst>
            <a:ext uri="{FF2B5EF4-FFF2-40B4-BE49-F238E27FC236}">
              <a16:creationId xmlns:a16="http://schemas.microsoft.com/office/drawing/2014/main" id="{81F83FC7-D25F-1A2A-7AA1-F83B230287AB}"/>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83" name="Text Box 51" hidden="1">
          <a:extLst>
            <a:ext uri="{FF2B5EF4-FFF2-40B4-BE49-F238E27FC236}">
              <a16:creationId xmlns:a16="http://schemas.microsoft.com/office/drawing/2014/main" id="{7F2C1498-DB15-585A-605E-B7C8EB469252}"/>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82" name="Text Box 50" hidden="1">
          <a:extLst>
            <a:ext uri="{FF2B5EF4-FFF2-40B4-BE49-F238E27FC236}">
              <a16:creationId xmlns:a16="http://schemas.microsoft.com/office/drawing/2014/main" id="{9D1BF5F4-94AA-D5AC-3623-44B5AE2E2F9F}"/>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81" name="Text Box 49" hidden="1">
          <a:extLst>
            <a:ext uri="{FF2B5EF4-FFF2-40B4-BE49-F238E27FC236}">
              <a16:creationId xmlns:a16="http://schemas.microsoft.com/office/drawing/2014/main" id="{9AEA8B3F-E94B-A7B7-FF73-596515C3A283}"/>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80" name="Text Box 48" hidden="1">
          <a:extLst>
            <a:ext uri="{FF2B5EF4-FFF2-40B4-BE49-F238E27FC236}">
              <a16:creationId xmlns:a16="http://schemas.microsoft.com/office/drawing/2014/main" id="{30C6CC86-BDC7-4844-680C-7740E452D6F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79" name="Text Box 47" hidden="1">
          <a:extLst>
            <a:ext uri="{FF2B5EF4-FFF2-40B4-BE49-F238E27FC236}">
              <a16:creationId xmlns:a16="http://schemas.microsoft.com/office/drawing/2014/main" id="{ACF37DB3-67FA-705E-2B9D-EBD007CB81AB}"/>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78" name="Text Box 46" hidden="1">
          <a:extLst>
            <a:ext uri="{FF2B5EF4-FFF2-40B4-BE49-F238E27FC236}">
              <a16:creationId xmlns:a16="http://schemas.microsoft.com/office/drawing/2014/main" id="{94C7D480-AB4D-F6F5-F7B5-3959163F271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77" name="Text Box 45" hidden="1">
          <a:extLst>
            <a:ext uri="{FF2B5EF4-FFF2-40B4-BE49-F238E27FC236}">
              <a16:creationId xmlns:a16="http://schemas.microsoft.com/office/drawing/2014/main" id="{FEBBDE65-7A50-90ED-85B5-5C745207361E}"/>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76" name="Text Box 44" hidden="1">
          <a:extLst>
            <a:ext uri="{FF2B5EF4-FFF2-40B4-BE49-F238E27FC236}">
              <a16:creationId xmlns:a16="http://schemas.microsoft.com/office/drawing/2014/main" id="{FF9E9D17-C446-70D6-2872-626BDD053F6E}"/>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75" name="Text Box 43" hidden="1">
          <a:extLst>
            <a:ext uri="{FF2B5EF4-FFF2-40B4-BE49-F238E27FC236}">
              <a16:creationId xmlns:a16="http://schemas.microsoft.com/office/drawing/2014/main" id="{29ABD795-6EFB-6056-4867-0201F7BBE608}"/>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95" name="Text Box 63" hidden="1">
          <a:extLst>
            <a:ext uri="{FF2B5EF4-FFF2-40B4-BE49-F238E27FC236}">
              <a16:creationId xmlns:a16="http://schemas.microsoft.com/office/drawing/2014/main" id="{7E73B1EA-F741-6C48-58D7-436BCD3E370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94" name="Text Box 62" hidden="1">
          <a:extLst>
            <a:ext uri="{FF2B5EF4-FFF2-40B4-BE49-F238E27FC236}">
              <a16:creationId xmlns:a16="http://schemas.microsoft.com/office/drawing/2014/main" id="{CA4E68AE-1CB7-0F93-465E-42575A464E81}"/>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93" name="Text Box 61" hidden="1">
          <a:extLst>
            <a:ext uri="{FF2B5EF4-FFF2-40B4-BE49-F238E27FC236}">
              <a16:creationId xmlns:a16="http://schemas.microsoft.com/office/drawing/2014/main" id="{8EE90F4A-FEDB-FF06-55FC-C4EDFEB12B6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92" name="Text Box 60" hidden="1">
          <a:extLst>
            <a:ext uri="{FF2B5EF4-FFF2-40B4-BE49-F238E27FC236}">
              <a16:creationId xmlns:a16="http://schemas.microsoft.com/office/drawing/2014/main" id="{502A3F36-8F8E-8694-5AD6-EF6F6FE9F18A}"/>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91" name="Text Box 59" hidden="1">
          <a:extLst>
            <a:ext uri="{FF2B5EF4-FFF2-40B4-BE49-F238E27FC236}">
              <a16:creationId xmlns:a16="http://schemas.microsoft.com/office/drawing/2014/main" id="{C5F9D72E-7463-1E04-29DF-1813BEC33914}"/>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90" name="Text Box 58" hidden="1">
          <a:extLst>
            <a:ext uri="{FF2B5EF4-FFF2-40B4-BE49-F238E27FC236}">
              <a16:creationId xmlns:a16="http://schemas.microsoft.com/office/drawing/2014/main" id="{09F02893-5B60-9106-987E-21829D04EE4A}"/>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89" name="Text Box 57" hidden="1">
          <a:extLst>
            <a:ext uri="{FF2B5EF4-FFF2-40B4-BE49-F238E27FC236}">
              <a16:creationId xmlns:a16="http://schemas.microsoft.com/office/drawing/2014/main" id="{06B47D6A-4284-CB47-A12E-75E5E11936A2}"/>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902" name="Text Box 70" hidden="1">
          <a:extLst>
            <a:ext uri="{FF2B5EF4-FFF2-40B4-BE49-F238E27FC236}">
              <a16:creationId xmlns:a16="http://schemas.microsoft.com/office/drawing/2014/main" id="{A5FDD895-DB3A-F39B-3B37-5C380BBE8D37}"/>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901" name="Text Box 69" hidden="1">
          <a:extLst>
            <a:ext uri="{FF2B5EF4-FFF2-40B4-BE49-F238E27FC236}">
              <a16:creationId xmlns:a16="http://schemas.microsoft.com/office/drawing/2014/main" id="{7A21E931-DC5C-E1B1-D7E4-E09E663890C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900" name="Text Box 68" hidden="1">
          <a:extLst>
            <a:ext uri="{FF2B5EF4-FFF2-40B4-BE49-F238E27FC236}">
              <a16:creationId xmlns:a16="http://schemas.microsoft.com/office/drawing/2014/main" id="{7367417A-9A8F-B79E-666C-EFE581A6C1C8}"/>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99" name="Text Box 67" hidden="1">
          <a:extLst>
            <a:ext uri="{FF2B5EF4-FFF2-40B4-BE49-F238E27FC236}">
              <a16:creationId xmlns:a16="http://schemas.microsoft.com/office/drawing/2014/main" id="{FDE2F8D0-4130-0BBB-9E03-42587C9E8EF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98" name="Text Box 66" hidden="1">
          <a:extLst>
            <a:ext uri="{FF2B5EF4-FFF2-40B4-BE49-F238E27FC236}">
              <a16:creationId xmlns:a16="http://schemas.microsoft.com/office/drawing/2014/main" id="{25936F9F-4D29-BD4A-A1B8-4342B3ABCA73}"/>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97" name="Text Box 65" hidden="1">
          <a:extLst>
            <a:ext uri="{FF2B5EF4-FFF2-40B4-BE49-F238E27FC236}">
              <a16:creationId xmlns:a16="http://schemas.microsoft.com/office/drawing/2014/main" id="{5A8A868D-8668-0B45-6808-18815D0ABC5F}"/>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96" name="Text Box 64" hidden="1">
          <a:extLst>
            <a:ext uri="{FF2B5EF4-FFF2-40B4-BE49-F238E27FC236}">
              <a16:creationId xmlns:a16="http://schemas.microsoft.com/office/drawing/2014/main" id="{E9A6EF0C-0C87-5C2F-BA98-50BB23E7FB7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287181</xdr:rowOff>
    </xdr:from>
    <xdr:to>
      <xdr:col>2</xdr:col>
      <xdr:colOff>180173</xdr:colOff>
      <xdr:row>68</xdr:row>
      <xdr:rowOff>287181</xdr:rowOff>
    </xdr:to>
    <xdr:sp macro="" textlink="">
      <xdr:nvSpPr>
        <xdr:cNvPr id="376909" name="Text Box 77" hidden="1">
          <a:extLst>
            <a:ext uri="{FF2B5EF4-FFF2-40B4-BE49-F238E27FC236}">
              <a16:creationId xmlns:a16="http://schemas.microsoft.com/office/drawing/2014/main" id="{459B16E4-67F5-7B78-2B05-607381E4279C}"/>
            </a:ext>
          </a:extLst>
        </xdr:cNvPr>
        <xdr:cNvSpPr txBox="1">
          <a:spLocks noChangeArrowheads="1"/>
        </xdr:cNvSpPr>
      </xdr:nvSpPr>
      <xdr:spPr bwMode="auto">
        <a:xfrm>
          <a:off x="2724150" y="136271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293531</xdr:rowOff>
    </xdr:from>
    <xdr:to>
      <xdr:col>2</xdr:col>
      <xdr:colOff>65873</xdr:colOff>
      <xdr:row>66</xdr:row>
      <xdr:rowOff>264956</xdr:rowOff>
    </xdr:to>
    <xdr:sp macro="" textlink="">
      <xdr:nvSpPr>
        <xdr:cNvPr id="376908" name="Text Box 76" hidden="1">
          <a:extLst>
            <a:ext uri="{FF2B5EF4-FFF2-40B4-BE49-F238E27FC236}">
              <a16:creationId xmlns:a16="http://schemas.microsoft.com/office/drawing/2014/main" id="{4C65BBA8-01CE-DB28-B116-1E791DC52FA4}"/>
            </a:ext>
          </a:extLst>
        </xdr:cNvPr>
        <xdr:cNvSpPr txBox="1">
          <a:spLocks noChangeArrowheads="1"/>
        </xdr:cNvSpPr>
      </xdr:nvSpPr>
      <xdr:spPr bwMode="auto">
        <a:xfrm>
          <a:off x="2705100" y="126746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228461</xdr:rowOff>
    </xdr:from>
    <xdr:to>
      <xdr:col>2</xdr:col>
      <xdr:colOff>65873</xdr:colOff>
      <xdr:row>67</xdr:row>
      <xdr:rowOff>92564</xdr:rowOff>
    </xdr:to>
    <xdr:sp macro="" textlink="">
      <xdr:nvSpPr>
        <xdr:cNvPr id="376907" name="Text Box 75" hidden="1">
          <a:extLst>
            <a:ext uri="{FF2B5EF4-FFF2-40B4-BE49-F238E27FC236}">
              <a16:creationId xmlns:a16="http://schemas.microsoft.com/office/drawing/2014/main" id="{692E2A35-CD86-DF92-FBC2-7CB5E41E3F19}"/>
            </a:ext>
          </a:extLst>
        </xdr:cNvPr>
        <xdr:cNvSpPr txBox="1">
          <a:spLocks noChangeArrowheads="1"/>
        </xdr:cNvSpPr>
      </xdr:nvSpPr>
      <xdr:spPr bwMode="auto">
        <a:xfrm>
          <a:off x="2705100" y="129603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92564</xdr:rowOff>
    </xdr:from>
    <xdr:to>
      <xdr:col>2</xdr:col>
      <xdr:colOff>65873</xdr:colOff>
      <xdr:row>67</xdr:row>
      <xdr:rowOff>284006</xdr:rowOff>
    </xdr:to>
    <xdr:sp macro="" textlink="">
      <xdr:nvSpPr>
        <xdr:cNvPr id="376906" name="Text Box 74" hidden="1">
          <a:extLst>
            <a:ext uri="{FF2B5EF4-FFF2-40B4-BE49-F238E27FC236}">
              <a16:creationId xmlns:a16="http://schemas.microsoft.com/office/drawing/2014/main" id="{6FD3E38D-C572-86DA-EBB9-03ADA81BD2BD}"/>
            </a:ext>
          </a:extLst>
        </xdr:cNvPr>
        <xdr:cNvSpPr txBox="1">
          <a:spLocks noChangeArrowheads="1"/>
        </xdr:cNvSpPr>
      </xdr:nvSpPr>
      <xdr:spPr bwMode="auto">
        <a:xfrm>
          <a:off x="2705100" y="131381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284006</xdr:rowOff>
    </xdr:from>
    <xdr:to>
      <xdr:col>2</xdr:col>
      <xdr:colOff>65873</xdr:colOff>
      <xdr:row>68</xdr:row>
      <xdr:rowOff>68106</xdr:rowOff>
    </xdr:to>
    <xdr:sp macro="" textlink="">
      <xdr:nvSpPr>
        <xdr:cNvPr id="376905" name="Text Box 73" hidden="1">
          <a:extLst>
            <a:ext uri="{FF2B5EF4-FFF2-40B4-BE49-F238E27FC236}">
              <a16:creationId xmlns:a16="http://schemas.microsoft.com/office/drawing/2014/main" id="{EA3B16A2-728E-C99A-8747-97D0652AD9D1}"/>
            </a:ext>
          </a:extLst>
        </xdr:cNvPr>
        <xdr:cNvSpPr txBox="1">
          <a:spLocks noChangeArrowheads="1"/>
        </xdr:cNvSpPr>
      </xdr:nvSpPr>
      <xdr:spPr bwMode="auto">
        <a:xfrm>
          <a:off x="2705100" y="133159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68106</xdr:rowOff>
    </xdr:from>
    <xdr:to>
      <xdr:col>2</xdr:col>
      <xdr:colOff>65873</xdr:colOff>
      <xdr:row>68</xdr:row>
      <xdr:rowOff>180836</xdr:rowOff>
    </xdr:to>
    <xdr:sp macro="" textlink="">
      <xdr:nvSpPr>
        <xdr:cNvPr id="376904" name="Text Box 72" hidden="1">
          <a:extLst>
            <a:ext uri="{FF2B5EF4-FFF2-40B4-BE49-F238E27FC236}">
              <a16:creationId xmlns:a16="http://schemas.microsoft.com/office/drawing/2014/main" id="{F7D89B4D-C9FF-2A20-73A1-A0C3E0ECC002}"/>
            </a:ext>
          </a:extLst>
        </xdr:cNvPr>
        <xdr:cNvSpPr txBox="1">
          <a:spLocks noChangeArrowheads="1"/>
        </xdr:cNvSpPr>
      </xdr:nvSpPr>
      <xdr:spPr bwMode="auto">
        <a:xfrm>
          <a:off x="2705100" y="134302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180836</xdr:rowOff>
    </xdr:from>
    <xdr:to>
      <xdr:col>2</xdr:col>
      <xdr:colOff>65873</xdr:colOff>
      <xdr:row>69</xdr:row>
      <xdr:rowOff>30006</xdr:rowOff>
    </xdr:to>
    <xdr:sp macro="" textlink="">
      <xdr:nvSpPr>
        <xdr:cNvPr id="376903" name="Text Box 71" hidden="1">
          <a:extLst>
            <a:ext uri="{FF2B5EF4-FFF2-40B4-BE49-F238E27FC236}">
              <a16:creationId xmlns:a16="http://schemas.microsoft.com/office/drawing/2014/main" id="{0BABDFC4-E531-913D-0C82-FA380E211B23}"/>
            </a:ext>
          </a:extLst>
        </xdr:cNvPr>
        <xdr:cNvSpPr txBox="1">
          <a:spLocks noChangeArrowheads="1"/>
        </xdr:cNvSpPr>
      </xdr:nvSpPr>
      <xdr:spPr bwMode="auto">
        <a:xfrm>
          <a:off x="2705100" y="13544550"/>
          <a:ext cx="1320800" cy="15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287181</xdr:rowOff>
    </xdr:from>
    <xdr:to>
      <xdr:col>2</xdr:col>
      <xdr:colOff>180173</xdr:colOff>
      <xdr:row>68</xdr:row>
      <xdr:rowOff>287181</xdr:rowOff>
    </xdr:to>
    <xdr:sp macro="" textlink="">
      <xdr:nvSpPr>
        <xdr:cNvPr id="376916" name="Text Box 84" hidden="1">
          <a:extLst>
            <a:ext uri="{FF2B5EF4-FFF2-40B4-BE49-F238E27FC236}">
              <a16:creationId xmlns:a16="http://schemas.microsoft.com/office/drawing/2014/main" id="{B10A64DD-9D2E-5C46-79AC-3919C973FC02}"/>
            </a:ext>
          </a:extLst>
        </xdr:cNvPr>
        <xdr:cNvSpPr txBox="1">
          <a:spLocks noChangeArrowheads="1"/>
        </xdr:cNvSpPr>
      </xdr:nvSpPr>
      <xdr:spPr bwMode="auto">
        <a:xfrm>
          <a:off x="2724150" y="136271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293531</xdr:rowOff>
    </xdr:from>
    <xdr:to>
      <xdr:col>2</xdr:col>
      <xdr:colOff>65873</xdr:colOff>
      <xdr:row>66</xdr:row>
      <xdr:rowOff>264956</xdr:rowOff>
    </xdr:to>
    <xdr:sp macro="" textlink="">
      <xdr:nvSpPr>
        <xdr:cNvPr id="376915" name="Text Box 83" hidden="1">
          <a:extLst>
            <a:ext uri="{FF2B5EF4-FFF2-40B4-BE49-F238E27FC236}">
              <a16:creationId xmlns:a16="http://schemas.microsoft.com/office/drawing/2014/main" id="{388F033F-569F-ECFA-EB5C-57EF64794363}"/>
            </a:ext>
          </a:extLst>
        </xdr:cNvPr>
        <xdr:cNvSpPr txBox="1">
          <a:spLocks noChangeArrowheads="1"/>
        </xdr:cNvSpPr>
      </xdr:nvSpPr>
      <xdr:spPr bwMode="auto">
        <a:xfrm>
          <a:off x="2705100" y="12674600"/>
          <a:ext cx="132080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228461</xdr:rowOff>
    </xdr:from>
    <xdr:to>
      <xdr:col>2</xdr:col>
      <xdr:colOff>65873</xdr:colOff>
      <xdr:row>67</xdr:row>
      <xdr:rowOff>92564</xdr:rowOff>
    </xdr:to>
    <xdr:sp macro="" textlink="">
      <xdr:nvSpPr>
        <xdr:cNvPr id="376914" name="Text Box 82" hidden="1">
          <a:extLst>
            <a:ext uri="{FF2B5EF4-FFF2-40B4-BE49-F238E27FC236}">
              <a16:creationId xmlns:a16="http://schemas.microsoft.com/office/drawing/2014/main" id="{F557BCC3-3C2E-62A0-AC61-DBDBEBB2257F}"/>
            </a:ext>
          </a:extLst>
        </xdr:cNvPr>
        <xdr:cNvSpPr txBox="1">
          <a:spLocks noChangeArrowheads="1"/>
        </xdr:cNvSpPr>
      </xdr:nvSpPr>
      <xdr:spPr bwMode="auto">
        <a:xfrm>
          <a:off x="2705100" y="129603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92564</xdr:rowOff>
    </xdr:from>
    <xdr:to>
      <xdr:col>2</xdr:col>
      <xdr:colOff>65873</xdr:colOff>
      <xdr:row>67</xdr:row>
      <xdr:rowOff>284006</xdr:rowOff>
    </xdr:to>
    <xdr:sp macro="" textlink="">
      <xdr:nvSpPr>
        <xdr:cNvPr id="376913" name="Text Box 81" hidden="1">
          <a:extLst>
            <a:ext uri="{FF2B5EF4-FFF2-40B4-BE49-F238E27FC236}">
              <a16:creationId xmlns:a16="http://schemas.microsoft.com/office/drawing/2014/main" id="{C37A8B92-0808-1B77-C0AF-F776DCA5C398}"/>
            </a:ext>
          </a:extLst>
        </xdr:cNvPr>
        <xdr:cNvSpPr txBox="1">
          <a:spLocks noChangeArrowheads="1"/>
        </xdr:cNvSpPr>
      </xdr:nvSpPr>
      <xdr:spPr bwMode="auto">
        <a:xfrm>
          <a:off x="2705100" y="131381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284006</xdr:rowOff>
    </xdr:from>
    <xdr:to>
      <xdr:col>2</xdr:col>
      <xdr:colOff>65873</xdr:colOff>
      <xdr:row>68</xdr:row>
      <xdr:rowOff>68106</xdr:rowOff>
    </xdr:to>
    <xdr:sp macro="" textlink="">
      <xdr:nvSpPr>
        <xdr:cNvPr id="376912" name="Text Box 80" hidden="1">
          <a:extLst>
            <a:ext uri="{FF2B5EF4-FFF2-40B4-BE49-F238E27FC236}">
              <a16:creationId xmlns:a16="http://schemas.microsoft.com/office/drawing/2014/main" id="{BDDF56AC-F3E0-48B5-F887-3854E08E0887}"/>
            </a:ext>
          </a:extLst>
        </xdr:cNvPr>
        <xdr:cNvSpPr txBox="1">
          <a:spLocks noChangeArrowheads="1"/>
        </xdr:cNvSpPr>
      </xdr:nvSpPr>
      <xdr:spPr bwMode="auto">
        <a:xfrm>
          <a:off x="2705100" y="133159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68106</xdr:rowOff>
    </xdr:from>
    <xdr:to>
      <xdr:col>2</xdr:col>
      <xdr:colOff>65873</xdr:colOff>
      <xdr:row>68</xdr:row>
      <xdr:rowOff>180836</xdr:rowOff>
    </xdr:to>
    <xdr:sp macro="" textlink="">
      <xdr:nvSpPr>
        <xdr:cNvPr id="376911" name="Text Box 79" hidden="1">
          <a:extLst>
            <a:ext uri="{FF2B5EF4-FFF2-40B4-BE49-F238E27FC236}">
              <a16:creationId xmlns:a16="http://schemas.microsoft.com/office/drawing/2014/main" id="{30AE7D83-BCF9-1F5C-4C30-055E3D19C828}"/>
            </a:ext>
          </a:extLst>
        </xdr:cNvPr>
        <xdr:cNvSpPr txBox="1">
          <a:spLocks noChangeArrowheads="1"/>
        </xdr:cNvSpPr>
      </xdr:nvSpPr>
      <xdr:spPr bwMode="auto">
        <a:xfrm>
          <a:off x="2705100" y="134302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180836</xdr:rowOff>
    </xdr:from>
    <xdr:to>
      <xdr:col>2</xdr:col>
      <xdr:colOff>65873</xdr:colOff>
      <xdr:row>69</xdr:row>
      <xdr:rowOff>30006</xdr:rowOff>
    </xdr:to>
    <xdr:sp macro="" textlink="">
      <xdr:nvSpPr>
        <xdr:cNvPr id="376910" name="Text Box 78" hidden="1">
          <a:extLst>
            <a:ext uri="{FF2B5EF4-FFF2-40B4-BE49-F238E27FC236}">
              <a16:creationId xmlns:a16="http://schemas.microsoft.com/office/drawing/2014/main" id="{3231700D-E483-E69A-737E-82E6C42402EA}"/>
            </a:ext>
          </a:extLst>
        </xdr:cNvPr>
        <xdr:cNvSpPr txBox="1">
          <a:spLocks noChangeArrowheads="1"/>
        </xdr:cNvSpPr>
      </xdr:nvSpPr>
      <xdr:spPr bwMode="auto">
        <a:xfrm>
          <a:off x="2705100" y="13544550"/>
          <a:ext cx="1320800" cy="15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69</xdr:row>
      <xdr:rowOff>133350</xdr:rowOff>
    </xdr:from>
    <xdr:to>
      <xdr:col>2</xdr:col>
      <xdr:colOff>180173</xdr:colOff>
      <xdr:row>69</xdr:row>
      <xdr:rowOff>133350</xdr:rowOff>
    </xdr:to>
    <xdr:sp macro="" textlink="">
      <xdr:nvSpPr>
        <xdr:cNvPr id="377863" name="Text Box 7" hidden="1">
          <a:extLst>
            <a:ext uri="{FF2B5EF4-FFF2-40B4-BE49-F238E27FC236}">
              <a16:creationId xmlns:a16="http://schemas.microsoft.com/office/drawing/2014/main" id="{8BB22F0A-6C22-B387-FD71-B611F6DA7ADC}"/>
            </a:ext>
          </a:extLst>
        </xdr:cNvPr>
        <xdr:cNvSpPr txBox="1">
          <a:spLocks noChangeArrowheads="1"/>
        </xdr:cNvSpPr>
      </xdr:nvSpPr>
      <xdr:spPr bwMode="auto">
        <a:xfrm>
          <a:off x="2724150" y="1381125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254000</xdr:rowOff>
    </xdr:from>
    <xdr:to>
      <xdr:col>2</xdr:col>
      <xdr:colOff>65873</xdr:colOff>
      <xdr:row>67</xdr:row>
      <xdr:rowOff>257175</xdr:rowOff>
    </xdr:to>
    <xdr:sp macro="" textlink="">
      <xdr:nvSpPr>
        <xdr:cNvPr id="377862" name="Text Box 6" hidden="1">
          <a:extLst>
            <a:ext uri="{FF2B5EF4-FFF2-40B4-BE49-F238E27FC236}">
              <a16:creationId xmlns:a16="http://schemas.microsoft.com/office/drawing/2014/main" id="{C6700B10-2481-46CF-B87C-AD3B8E4A7959}"/>
            </a:ext>
          </a:extLst>
        </xdr:cNvPr>
        <xdr:cNvSpPr txBox="1">
          <a:spLocks noChangeArrowheads="1"/>
        </xdr:cNvSpPr>
      </xdr:nvSpPr>
      <xdr:spPr bwMode="auto">
        <a:xfrm>
          <a:off x="2705100" y="129921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238125</xdr:rowOff>
    </xdr:from>
    <xdr:to>
      <xdr:col>2</xdr:col>
      <xdr:colOff>65873</xdr:colOff>
      <xdr:row>68</xdr:row>
      <xdr:rowOff>82550</xdr:rowOff>
    </xdr:to>
    <xdr:sp macro="" textlink="">
      <xdr:nvSpPr>
        <xdr:cNvPr id="377861" name="Text Box 5" hidden="1">
          <a:extLst>
            <a:ext uri="{FF2B5EF4-FFF2-40B4-BE49-F238E27FC236}">
              <a16:creationId xmlns:a16="http://schemas.microsoft.com/office/drawing/2014/main" id="{B5A64647-06CD-D687-7C6B-842C1B28EA07}"/>
            </a:ext>
          </a:extLst>
        </xdr:cNvPr>
        <xdr:cNvSpPr txBox="1">
          <a:spLocks noChangeArrowheads="1"/>
        </xdr:cNvSpPr>
      </xdr:nvSpPr>
      <xdr:spPr bwMode="auto">
        <a:xfrm>
          <a:off x="2705100" y="13284200"/>
          <a:ext cx="132080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82550</xdr:rowOff>
    </xdr:from>
    <xdr:to>
      <xdr:col>2</xdr:col>
      <xdr:colOff>65873</xdr:colOff>
      <xdr:row>68</xdr:row>
      <xdr:rowOff>273050</xdr:rowOff>
    </xdr:to>
    <xdr:sp macro="" textlink="">
      <xdr:nvSpPr>
        <xdr:cNvPr id="377860" name="Text Box 4" hidden="1">
          <a:extLst>
            <a:ext uri="{FF2B5EF4-FFF2-40B4-BE49-F238E27FC236}">
              <a16:creationId xmlns:a16="http://schemas.microsoft.com/office/drawing/2014/main" id="{F36D56D0-C829-6497-83EF-9A1048D2058B}"/>
            </a:ext>
          </a:extLst>
        </xdr:cNvPr>
        <xdr:cNvSpPr txBox="1">
          <a:spLocks noChangeArrowheads="1"/>
        </xdr:cNvSpPr>
      </xdr:nvSpPr>
      <xdr:spPr bwMode="auto">
        <a:xfrm>
          <a:off x="2705100" y="134556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273050</xdr:rowOff>
    </xdr:from>
    <xdr:to>
      <xdr:col>2</xdr:col>
      <xdr:colOff>65873</xdr:colOff>
      <xdr:row>69</xdr:row>
      <xdr:rowOff>57150</xdr:rowOff>
    </xdr:to>
    <xdr:sp macro="" textlink="">
      <xdr:nvSpPr>
        <xdr:cNvPr id="377859" name="Text Box 3" hidden="1">
          <a:extLst>
            <a:ext uri="{FF2B5EF4-FFF2-40B4-BE49-F238E27FC236}">
              <a16:creationId xmlns:a16="http://schemas.microsoft.com/office/drawing/2014/main" id="{790B31AA-73EA-0FED-B469-127E1441C301}"/>
            </a:ext>
          </a:extLst>
        </xdr:cNvPr>
        <xdr:cNvSpPr txBox="1">
          <a:spLocks noChangeArrowheads="1"/>
        </xdr:cNvSpPr>
      </xdr:nvSpPr>
      <xdr:spPr bwMode="auto">
        <a:xfrm>
          <a:off x="2705100" y="136334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57150</xdr:rowOff>
    </xdr:from>
    <xdr:to>
      <xdr:col>2</xdr:col>
      <xdr:colOff>65873</xdr:colOff>
      <xdr:row>69</xdr:row>
      <xdr:rowOff>133350</xdr:rowOff>
    </xdr:to>
    <xdr:sp macro="" textlink="">
      <xdr:nvSpPr>
        <xdr:cNvPr id="377858" name="Text Box 2" hidden="1">
          <a:extLst>
            <a:ext uri="{FF2B5EF4-FFF2-40B4-BE49-F238E27FC236}">
              <a16:creationId xmlns:a16="http://schemas.microsoft.com/office/drawing/2014/main" id="{B5A23781-FBD8-CF43-CD97-16D60463F32D}"/>
            </a:ext>
          </a:extLst>
        </xdr:cNvPr>
        <xdr:cNvSpPr txBox="1">
          <a:spLocks noChangeArrowheads="1"/>
        </xdr:cNvSpPr>
      </xdr:nvSpPr>
      <xdr:spPr bwMode="auto">
        <a:xfrm>
          <a:off x="2705100" y="13747750"/>
          <a:ext cx="132080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133350</xdr:rowOff>
    </xdr:from>
    <xdr:to>
      <xdr:col>2</xdr:col>
      <xdr:colOff>65873</xdr:colOff>
      <xdr:row>69</xdr:row>
      <xdr:rowOff>206375</xdr:rowOff>
    </xdr:to>
    <xdr:sp macro="" textlink="">
      <xdr:nvSpPr>
        <xdr:cNvPr id="377857" name="Text Box 1" hidden="1">
          <a:extLst>
            <a:ext uri="{FF2B5EF4-FFF2-40B4-BE49-F238E27FC236}">
              <a16:creationId xmlns:a16="http://schemas.microsoft.com/office/drawing/2014/main" id="{0AAF2612-B8CA-EFA0-3514-D7A7EA8827C8}"/>
            </a:ext>
          </a:extLst>
        </xdr:cNvPr>
        <xdr:cNvSpPr txBox="1">
          <a:spLocks noChangeArrowheads="1"/>
        </xdr:cNvSpPr>
      </xdr:nvSpPr>
      <xdr:spPr bwMode="auto">
        <a:xfrm>
          <a:off x="2705100" y="13811250"/>
          <a:ext cx="13208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0" name="Text Box 14" hidden="1">
          <a:extLst>
            <a:ext uri="{FF2B5EF4-FFF2-40B4-BE49-F238E27FC236}">
              <a16:creationId xmlns:a16="http://schemas.microsoft.com/office/drawing/2014/main" id="{F30896FF-F291-0412-DAC6-89DA32F9BBA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69" name="Text Box 13" hidden="1">
          <a:extLst>
            <a:ext uri="{FF2B5EF4-FFF2-40B4-BE49-F238E27FC236}">
              <a16:creationId xmlns:a16="http://schemas.microsoft.com/office/drawing/2014/main" id="{3A18388C-5032-DCF9-5FF7-E850FC18CBA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68" name="Text Box 12" hidden="1">
          <a:extLst>
            <a:ext uri="{FF2B5EF4-FFF2-40B4-BE49-F238E27FC236}">
              <a16:creationId xmlns:a16="http://schemas.microsoft.com/office/drawing/2014/main" id="{ED522DCB-A347-241F-9396-D63837A63C4F}"/>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67" name="Text Box 11" hidden="1">
          <a:extLst>
            <a:ext uri="{FF2B5EF4-FFF2-40B4-BE49-F238E27FC236}">
              <a16:creationId xmlns:a16="http://schemas.microsoft.com/office/drawing/2014/main" id="{E854FBB5-12C1-1524-C268-C22930F0AFF7}"/>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57150</xdr:rowOff>
    </xdr:to>
    <xdr:sp macro="" textlink="">
      <xdr:nvSpPr>
        <xdr:cNvPr id="377866" name="Text Box 10" hidden="1">
          <a:extLst>
            <a:ext uri="{FF2B5EF4-FFF2-40B4-BE49-F238E27FC236}">
              <a16:creationId xmlns:a16="http://schemas.microsoft.com/office/drawing/2014/main" id="{2D13C46A-DDCB-9A36-369D-652A85896E8E}"/>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65" name="Text Box 9" hidden="1">
          <a:extLst>
            <a:ext uri="{FF2B5EF4-FFF2-40B4-BE49-F238E27FC236}">
              <a16:creationId xmlns:a16="http://schemas.microsoft.com/office/drawing/2014/main" id="{67665116-3AFD-E42D-108B-2A211B45D05C}"/>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2130425</xdr:colOff>
      <xdr:row>68</xdr:row>
      <xdr:rowOff>9525</xdr:rowOff>
    </xdr:from>
    <xdr:to>
      <xdr:col>2</xdr:col>
      <xdr:colOff>873125</xdr:colOff>
      <xdr:row>68</xdr:row>
      <xdr:rowOff>95250</xdr:rowOff>
    </xdr:to>
    <xdr:sp macro="" textlink="">
      <xdr:nvSpPr>
        <xdr:cNvPr id="377864" name="Text Box 8" hidden="1">
          <a:extLst>
            <a:ext uri="{FF2B5EF4-FFF2-40B4-BE49-F238E27FC236}">
              <a16:creationId xmlns:a16="http://schemas.microsoft.com/office/drawing/2014/main" id="{E8AA7E18-0905-3AF1-831D-6353F99AA0FA}"/>
            </a:ext>
          </a:extLst>
        </xdr:cNvPr>
        <xdr:cNvSpPr txBox="1">
          <a:spLocks noChangeArrowheads="1"/>
        </xdr:cNvSpPr>
      </xdr:nvSpPr>
      <xdr:spPr bwMode="auto">
        <a:xfrm>
          <a:off x="3486150" y="13385800"/>
          <a:ext cx="13335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7" name="Text Box 21" hidden="1">
          <a:extLst>
            <a:ext uri="{FF2B5EF4-FFF2-40B4-BE49-F238E27FC236}">
              <a16:creationId xmlns:a16="http://schemas.microsoft.com/office/drawing/2014/main" id="{FAC874E0-ECE4-97E6-A978-BC31269C0AF4}"/>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76" name="Text Box 20" hidden="1">
          <a:extLst>
            <a:ext uri="{FF2B5EF4-FFF2-40B4-BE49-F238E27FC236}">
              <a16:creationId xmlns:a16="http://schemas.microsoft.com/office/drawing/2014/main" id="{402DD1F6-969C-5B86-F990-E52C3099334A}"/>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75" name="Text Box 19" hidden="1">
          <a:extLst>
            <a:ext uri="{FF2B5EF4-FFF2-40B4-BE49-F238E27FC236}">
              <a16:creationId xmlns:a16="http://schemas.microsoft.com/office/drawing/2014/main" id="{BD043ED2-25D9-2778-DC96-98D3EFD01D3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74" name="Text Box 18" hidden="1">
          <a:extLst>
            <a:ext uri="{FF2B5EF4-FFF2-40B4-BE49-F238E27FC236}">
              <a16:creationId xmlns:a16="http://schemas.microsoft.com/office/drawing/2014/main" id="{40B9FACE-7FAB-8746-2554-E68C8088340D}"/>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57150</xdr:rowOff>
    </xdr:to>
    <xdr:sp macro="" textlink="">
      <xdr:nvSpPr>
        <xdr:cNvPr id="377873" name="Text Box 17" hidden="1">
          <a:extLst>
            <a:ext uri="{FF2B5EF4-FFF2-40B4-BE49-F238E27FC236}">
              <a16:creationId xmlns:a16="http://schemas.microsoft.com/office/drawing/2014/main" id="{634587D1-EF12-60B6-F342-1EB5402E8554}"/>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72" name="Text Box 16" hidden="1">
          <a:extLst>
            <a:ext uri="{FF2B5EF4-FFF2-40B4-BE49-F238E27FC236}">
              <a16:creationId xmlns:a16="http://schemas.microsoft.com/office/drawing/2014/main" id="{97D94F66-CCA2-90B3-6CD5-8328838C3EA5}"/>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7871" name="Text Box 15" hidden="1">
          <a:extLst>
            <a:ext uri="{FF2B5EF4-FFF2-40B4-BE49-F238E27FC236}">
              <a16:creationId xmlns:a16="http://schemas.microsoft.com/office/drawing/2014/main" id="{B7348E55-A51C-BB36-C360-85EB31795D6B}"/>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84" name="Text Box 28" hidden="1">
          <a:extLst>
            <a:ext uri="{FF2B5EF4-FFF2-40B4-BE49-F238E27FC236}">
              <a16:creationId xmlns:a16="http://schemas.microsoft.com/office/drawing/2014/main" id="{579A0ED0-EF19-2779-0A41-6DA44AE6A2EA}"/>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83" name="Text Box 27" hidden="1">
          <a:extLst>
            <a:ext uri="{FF2B5EF4-FFF2-40B4-BE49-F238E27FC236}">
              <a16:creationId xmlns:a16="http://schemas.microsoft.com/office/drawing/2014/main" id="{F50A954E-4AE4-4BAC-AD41-2B753099D49B}"/>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82" name="Text Box 26" hidden="1">
          <a:extLst>
            <a:ext uri="{FF2B5EF4-FFF2-40B4-BE49-F238E27FC236}">
              <a16:creationId xmlns:a16="http://schemas.microsoft.com/office/drawing/2014/main" id="{E593108E-280E-E601-05FA-B017F8D3C80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81" name="Text Box 25" hidden="1">
          <a:extLst>
            <a:ext uri="{FF2B5EF4-FFF2-40B4-BE49-F238E27FC236}">
              <a16:creationId xmlns:a16="http://schemas.microsoft.com/office/drawing/2014/main" id="{4577CFBC-738D-1EEE-C23E-BA7563ADE075}"/>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7880" name="Text Box 24" hidden="1">
          <a:extLst>
            <a:ext uri="{FF2B5EF4-FFF2-40B4-BE49-F238E27FC236}">
              <a16:creationId xmlns:a16="http://schemas.microsoft.com/office/drawing/2014/main" id="{E0FF1066-11A7-2E0E-53A7-D903DF606082}"/>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7879" name="Text Box 23" hidden="1">
          <a:extLst>
            <a:ext uri="{FF2B5EF4-FFF2-40B4-BE49-F238E27FC236}">
              <a16:creationId xmlns:a16="http://schemas.microsoft.com/office/drawing/2014/main" id="{A6A9ECB1-B701-29B7-7A12-6E6045845EA7}"/>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7878" name="Text Box 22" hidden="1">
          <a:extLst>
            <a:ext uri="{FF2B5EF4-FFF2-40B4-BE49-F238E27FC236}">
              <a16:creationId xmlns:a16="http://schemas.microsoft.com/office/drawing/2014/main" id="{6D9650AD-5CAB-7F52-BD71-6E18A9D88A53}"/>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87" name="Text Box 7" hidden="1">
          <a:extLst>
            <a:ext uri="{FF2B5EF4-FFF2-40B4-BE49-F238E27FC236}">
              <a16:creationId xmlns:a16="http://schemas.microsoft.com/office/drawing/2014/main" id="{3C5C5F28-B5FD-5E43-2686-83641B31F9B5}"/>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886" name="Text Box 6" hidden="1">
          <a:extLst>
            <a:ext uri="{FF2B5EF4-FFF2-40B4-BE49-F238E27FC236}">
              <a16:creationId xmlns:a16="http://schemas.microsoft.com/office/drawing/2014/main" id="{879411C4-040E-3E13-F60C-951759EE6CD5}"/>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85" name="Text Box 5" hidden="1">
          <a:extLst>
            <a:ext uri="{FF2B5EF4-FFF2-40B4-BE49-F238E27FC236}">
              <a16:creationId xmlns:a16="http://schemas.microsoft.com/office/drawing/2014/main" id="{B1E7A8AD-0A3D-7B20-68B0-D1670019EF22}"/>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84" name="Text Box 4" hidden="1">
          <a:extLst>
            <a:ext uri="{FF2B5EF4-FFF2-40B4-BE49-F238E27FC236}">
              <a16:creationId xmlns:a16="http://schemas.microsoft.com/office/drawing/2014/main" id="{3BAB45B0-EC39-8220-557B-4933DE336B8F}"/>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83" name="Text Box 3" hidden="1">
          <a:extLst>
            <a:ext uri="{FF2B5EF4-FFF2-40B4-BE49-F238E27FC236}">
              <a16:creationId xmlns:a16="http://schemas.microsoft.com/office/drawing/2014/main" id="{26E56345-C494-C442-38FF-D3889D5E44D6}"/>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2" name="Text Box 2" hidden="1">
          <a:extLst>
            <a:ext uri="{FF2B5EF4-FFF2-40B4-BE49-F238E27FC236}">
              <a16:creationId xmlns:a16="http://schemas.microsoft.com/office/drawing/2014/main" id="{B5D33B3B-D7F9-195F-95FE-DDEF767E807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8881" name="Text Box 1" hidden="1">
          <a:extLst>
            <a:ext uri="{FF2B5EF4-FFF2-40B4-BE49-F238E27FC236}">
              <a16:creationId xmlns:a16="http://schemas.microsoft.com/office/drawing/2014/main" id="{0903D1DB-336B-EB95-9F76-14AA1FAB3DF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94" name="Text Box 14" hidden="1">
          <a:extLst>
            <a:ext uri="{FF2B5EF4-FFF2-40B4-BE49-F238E27FC236}">
              <a16:creationId xmlns:a16="http://schemas.microsoft.com/office/drawing/2014/main" id="{1ABA02AE-28C0-22B3-0A96-5D5D4ED45D7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893" name="Text Box 13" hidden="1">
          <a:extLst>
            <a:ext uri="{FF2B5EF4-FFF2-40B4-BE49-F238E27FC236}">
              <a16:creationId xmlns:a16="http://schemas.microsoft.com/office/drawing/2014/main" id="{A10DFCFB-CA08-A118-BC27-8F34AB9A866F}"/>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92" name="Text Box 12" hidden="1">
          <a:extLst>
            <a:ext uri="{FF2B5EF4-FFF2-40B4-BE49-F238E27FC236}">
              <a16:creationId xmlns:a16="http://schemas.microsoft.com/office/drawing/2014/main" id="{C4052D1A-653E-00E9-8D6D-C445C5CAFD69}"/>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91" name="Text Box 11" hidden="1">
          <a:extLst>
            <a:ext uri="{FF2B5EF4-FFF2-40B4-BE49-F238E27FC236}">
              <a16:creationId xmlns:a16="http://schemas.microsoft.com/office/drawing/2014/main" id="{B3F16DA3-8E3E-76D0-038E-5DC0B086838B}"/>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90" name="Text Box 10" hidden="1">
          <a:extLst>
            <a:ext uri="{FF2B5EF4-FFF2-40B4-BE49-F238E27FC236}">
              <a16:creationId xmlns:a16="http://schemas.microsoft.com/office/drawing/2014/main" id="{E0734E22-3B02-423E-EC51-4F6432F778F8}"/>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9" name="Text Box 9" hidden="1">
          <a:extLst>
            <a:ext uri="{FF2B5EF4-FFF2-40B4-BE49-F238E27FC236}">
              <a16:creationId xmlns:a16="http://schemas.microsoft.com/office/drawing/2014/main" id="{BE9C615B-DB82-DA82-2647-29BD145B99F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8888" name="Text Box 8" hidden="1">
          <a:extLst>
            <a:ext uri="{FF2B5EF4-FFF2-40B4-BE49-F238E27FC236}">
              <a16:creationId xmlns:a16="http://schemas.microsoft.com/office/drawing/2014/main" id="{1CA11C35-C8B7-61F2-047F-8361BF9DFBDE}"/>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901" name="Text Box 21" hidden="1">
          <a:extLst>
            <a:ext uri="{FF2B5EF4-FFF2-40B4-BE49-F238E27FC236}">
              <a16:creationId xmlns:a16="http://schemas.microsoft.com/office/drawing/2014/main" id="{67D3E4AE-BA78-AE9D-FAE5-1F33CFBEE032}"/>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900" name="Text Box 20" hidden="1">
          <a:extLst>
            <a:ext uri="{FF2B5EF4-FFF2-40B4-BE49-F238E27FC236}">
              <a16:creationId xmlns:a16="http://schemas.microsoft.com/office/drawing/2014/main" id="{423EE8F7-5BB1-807B-D27F-C55D468D612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99" name="Text Box 19" hidden="1">
          <a:extLst>
            <a:ext uri="{FF2B5EF4-FFF2-40B4-BE49-F238E27FC236}">
              <a16:creationId xmlns:a16="http://schemas.microsoft.com/office/drawing/2014/main" id="{F3DD4E72-53FE-E90D-53FE-DD2AB10A0224}"/>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98" name="Text Box 18" hidden="1">
          <a:extLst>
            <a:ext uri="{FF2B5EF4-FFF2-40B4-BE49-F238E27FC236}">
              <a16:creationId xmlns:a16="http://schemas.microsoft.com/office/drawing/2014/main" id="{8974D1DE-3C52-FDEC-1889-2F26E1E9CEEE}"/>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97" name="Text Box 17" hidden="1">
          <a:extLst>
            <a:ext uri="{FF2B5EF4-FFF2-40B4-BE49-F238E27FC236}">
              <a16:creationId xmlns:a16="http://schemas.microsoft.com/office/drawing/2014/main" id="{82DD9348-114E-984E-D7FE-89DCC7A662F1}"/>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96" name="Text Box 16" hidden="1">
          <a:extLst>
            <a:ext uri="{FF2B5EF4-FFF2-40B4-BE49-F238E27FC236}">
              <a16:creationId xmlns:a16="http://schemas.microsoft.com/office/drawing/2014/main" id="{7D811DEF-77DD-A502-FAFB-76720BC186F1}"/>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8895" name="Text Box 15" hidden="1">
          <a:extLst>
            <a:ext uri="{FF2B5EF4-FFF2-40B4-BE49-F238E27FC236}">
              <a16:creationId xmlns:a16="http://schemas.microsoft.com/office/drawing/2014/main" id="{9C6DFAE0-548C-F788-0ED9-A403EA4539B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5</xdr:col>
      <xdr:colOff>158750</xdr:colOff>
      <xdr:row>89</xdr:row>
      <xdr:rowOff>0</xdr:rowOff>
    </xdr:to>
    <xdr:sp macro="" textlink="">
      <xdr:nvSpPr>
        <xdr:cNvPr id="378908" name="Text Box 28" hidden="1">
          <a:extLst>
            <a:ext uri="{FF2B5EF4-FFF2-40B4-BE49-F238E27FC236}">
              <a16:creationId xmlns:a16="http://schemas.microsoft.com/office/drawing/2014/main" id="{62564E81-6BAB-325C-9A2C-B7B9A5924E25}"/>
            </a:ext>
          </a:extLst>
        </xdr:cNvPr>
        <xdr:cNvSpPr txBox="1">
          <a:spLocks noChangeArrowheads="1"/>
        </xdr:cNvSpPr>
      </xdr:nvSpPr>
      <xdr:spPr bwMode="auto">
        <a:xfrm>
          <a:off x="2628900" y="13811250"/>
          <a:ext cx="39243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6</xdr:col>
      <xdr:colOff>76200</xdr:colOff>
      <xdr:row>86</xdr:row>
      <xdr:rowOff>149225</xdr:rowOff>
    </xdr:to>
    <xdr:sp macro="" textlink="">
      <xdr:nvSpPr>
        <xdr:cNvPr id="378907" name="Text Box 27" hidden="1">
          <a:extLst>
            <a:ext uri="{FF2B5EF4-FFF2-40B4-BE49-F238E27FC236}">
              <a16:creationId xmlns:a16="http://schemas.microsoft.com/office/drawing/2014/main" id="{83ECB71F-DA7E-89D8-9FC4-5784557AB56B}"/>
            </a:ext>
          </a:extLst>
        </xdr:cNvPr>
        <xdr:cNvSpPr txBox="1">
          <a:spLocks noChangeArrowheads="1"/>
        </xdr:cNvSpPr>
      </xdr:nvSpPr>
      <xdr:spPr bwMode="auto">
        <a:xfrm>
          <a:off x="2609850" y="12992100"/>
          <a:ext cx="46101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6</xdr:col>
      <xdr:colOff>76200</xdr:colOff>
      <xdr:row>87</xdr:row>
      <xdr:rowOff>0</xdr:rowOff>
    </xdr:to>
    <xdr:sp macro="" textlink="">
      <xdr:nvSpPr>
        <xdr:cNvPr id="378906" name="Text Box 26" hidden="1">
          <a:extLst>
            <a:ext uri="{FF2B5EF4-FFF2-40B4-BE49-F238E27FC236}">
              <a16:creationId xmlns:a16="http://schemas.microsoft.com/office/drawing/2014/main" id="{93DA8B37-1479-690D-EF1B-24013BA21BB2}"/>
            </a:ext>
          </a:extLst>
        </xdr:cNvPr>
        <xdr:cNvSpPr txBox="1">
          <a:spLocks noChangeArrowheads="1"/>
        </xdr:cNvSpPr>
      </xdr:nvSpPr>
      <xdr:spPr bwMode="auto">
        <a:xfrm>
          <a:off x="2609850" y="13284200"/>
          <a:ext cx="461010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6</xdr:col>
      <xdr:colOff>76200</xdr:colOff>
      <xdr:row>87</xdr:row>
      <xdr:rowOff>149225</xdr:rowOff>
    </xdr:to>
    <xdr:sp macro="" textlink="">
      <xdr:nvSpPr>
        <xdr:cNvPr id="378905" name="Text Box 25" hidden="1">
          <a:extLst>
            <a:ext uri="{FF2B5EF4-FFF2-40B4-BE49-F238E27FC236}">
              <a16:creationId xmlns:a16="http://schemas.microsoft.com/office/drawing/2014/main" id="{986152CE-7A9D-C1CC-03B3-EA2FD44964AF}"/>
            </a:ext>
          </a:extLst>
        </xdr:cNvPr>
        <xdr:cNvSpPr txBox="1">
          <a:spLocks noChangeArrowheads="1"/>
        </xdr:cNvSpPr>
      </xdr:nvSpPr>
      <xdr:spPr bwMode="auto">
        <a:xfrm>
          <a:off x="2609850" y="13455650"/>
          <a:ext cx="4610100" cy="382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6</xdr:col>
      <xdr:colOff>76200</xdr:colOff>
      <xdr:row>88</xdr:row>
      <xdr:rowOff>0</xdr:rowOff>
    </xdr:to>
    <xdr:sp macro="" textlink="">
      <xdr:nvSpPr>
        <xdr:cNvPr id="378904" name="Text Box 24" hidden="1">
          <a:extLst>
            <a:ext uri="{FF2B5EF4-FFF2-40B4-BE49-F238E27FC236}">
              <a16:creationId xmlns:a16="http://schemas.microsoft.com/office/drawing/2014/main" id="{1ECA080B-B0B8-2297-3ECC-0BB36E0C2D11}"/>
            </a:ext>
          </a:extLst>
        </xdr:cNvPr>
        <xdr:cNvSpPr txBox="1">
          <a:spLocks noChangeArrowheads="1"/>
        </xdr:cNvSpPr>
      </xdr:nvSpPr>
      <xdr:spPr bwMode="auto">
        <a:xfrm>
          <a:off x="2609850" y="1363345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6</xdr:col>
      <xdr:colOff>76200</xdr:colOff>
      <xdr:row>88</xdr:row>
      <xdr:rowOff>0</xdr:rowOff>
    </xdr:to>
    <xdr:sp macro="" textlink="">
      <xdr:nvSpPr>
        <xdr:cNvPr id="378903" name="Text Box 23" hidden="1">
          <a:extLst>
            <a:ext uri="{FF2B5EF4-FFF2-40B4-BE49-F238E27FC236}">
              <a16:creationId xmlns:a16="http://schemas.microsoft.com/office/drawing/2014/main" id="{B374380D-8E98-082F-1648-CF22EA72CC49}"/>
            </a:ext>
          </a:extLst>
        </xdr:cNvPr>
        <xdr:cNvSpPr txBox="1">
          <a:spLocks noChangeArrowheads="1"/>
        </xdr:cNvSpPr>
      </xdr:nvSpPr>
      <xdr:spPr bwMode="auto">
        <a:xfrm>
          <a:off x="2609850" y="13728700"/>
          <a:ext cx="4610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6</xdr:col>
      <xdr:colOff>714375</xdr:colOff>
      <xdr:row>87</xdr:row>
      <xdr:rowOff>0</xdr:rowOff>
    </xdr:to>
    <xdr:sp macro="" textlink="">
      <xdr:nvSpPr>
        <xdr:cNvPr id="378902" name="Text Box 22" hidden="1">
          <a:extLst>
            <a:ext uri="{FF2B5EF4-FFF2-40B4-BE49-F238E27FC236}">
              <a16:creationId xmlns:a16="http://schemas.microsoft.com/office/drawing/2014/main" id="{2F1ACF8F-15B5-874E-6130-AF6736201D57}"/>
            </a:ext>
          </a:extLst>
        </xdr:cNvPr>
        <xdr:cNvSpPr txBox="1">
          <a:spLocks noChangeArrowheads="1"/>
        </xdr:cNvSpPr>
      </xdr:nvSpPr>
      <xdr:spPr bwMode="auto">
        <a:xfrm>
          <a:off x="3479800" y="1337945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422919" name="Text Box 1031" hidden="1">
          <a:extLst>
            <a:ext uri="{FF2B5EF4-FFF2-40B4-BE49-F238E27FC236}">
              <a16:creationId xmlns:a16="http://schemas.microsoft.com/office/drawing/2014/main" id="{FB4FFC2A-2CBC-E486-8CB1-431B58EF82DC}"/>
            </a:ext>
          </a:extLst>
        </xdr:cNvPr>
        <xdr:cNvSpPr txBox="1">
          <a:spLocks noChangeArrowheads="1"/>
        </xdr:cNvSpPr>
      </xdr:nvSpPr>
      <xdr:spPr bwMode="auto">
        <a:xfrm>
          <a:off x="262890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422918" name="Text Box 1030" hidden="1">
          <a:extLst>
            <a:ext uri="{FF2B5EF4-FFF2-40B4-BE49-F238E27FC236}">
              <a16:creationId xmlns:a16="http://schemas.microsoft.com/office/drawing/2014/main" id="{094A184C-75CF-7959-591B-C450FECD9358}"/>
            </a:ext>
          </a:extLst>
        </xdr:cNvPr>
        <xdr:cNvSpPr txBox="1">
          <a:spLocks noChangeArrowheads="1"/>
        </xdr:cNvSpPr>
      </xdr:nvSpPr>
      <xdr:spPr bwMode="auto">
        <a:xfrm>
          <a:off x="260985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76200</xdr:colOff>
      <xdr:row>82</xdr:row>
      <xdr:rowOff>19050</xdr:rowOff>
    </xdr:to>
    <xdr:sp macro="" textlink="">
      <xdr:nvSpPr>
        <xdr:cNvPr id="422917" name="Text Box 1029" hidden="1">
          <a:extLst>
            <a:ext uri="{FF2B5EF4-FFF2-40B4-BE49-F238E27FC236}">
              <a16:creationId xmlns:a16="http://schemas.microsoft.com/office/drawing/2014/main" id="{9401055A-F89D-06AB-B89A-4E0DBDCC6D97}"/>
            </a:ext>
          </a:extLst>
        </xdr:cNvPr>
        <xdr:cNvSpPr txBox="1">
          <a:spLocks noChangeArrowheads="1"/>
        </xdr:cNvSpPr>
      </xdr:nvSpPr>
      <xdr:spPr bwMode="auto">
        <a:xfrm>
          <a:off x="260985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76200</xdr:colOff>
      <xdr:row>82</xdr:row>
      <xdr:rowOff>133350</xdr:rowOff>
    </xdr:to>
    <xdr:sp macro="" textlink="">
      <xdr:nvSpPr>
        <xdr:cNvPr id="422916" name="Text Box 1028" hidden="1">
          <a:extLst>
            <a:ext uri="{FF2B5EF4-FFF2-40B4-BE49-F238E27FC236}">
              <a16:creationId xmlns:a16="http://schemas.microsoft.com/office/drawing/2014/main" id="{EE1D2466-4659-422A-6BFF-5780B0C89382}"/>
            </a:ext>
          </a:extLst>
        </xdr:cNvPr>
        <xdr:cNvSpPr txBox="1">
          <a:spLocks noChangeArrowheads="1"/>
        </xdr:cNvSpPr>
      </xdr:nvSpPr>
      <xdr:spPr bwMode="auto">
        <a:xfrm>
          <a:off x="260985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76200</xdr:colOff>
      <xdr:row>83</xdr:row>
      <xdr:rowOff>0</xdr:rowOff>
    </xdr:to>
    <xdr:sp macro="" textlink="">
      <xdr:nvSpPr>
        <xdr:cNvPr id="422915" name="Text Box 1027" hidden="1">
          <a:extLst>
            <a:ext uri="{FF2B5EF4-FFF2-40B4-BE49-F238E27FC236}">
              <a16:creationId xmlns:a16="http://schemas.microsoft.com/office/drawing/2014/main" id="{8046C7F9-19D0-9F45-F990-E1B3F2430DDC}"/>
            </a:ext>
          </a:extLst>
        </xdr:cNvPr>
        <xdr:cNvSpPr txBox="1">
          <a:spLocks noChangeArrowheads="1"/>
        </xdr:cNvSpPr>
      </xdr:nvSpPr>
      <xdr:spPr bwMode="auto">
        <a:xfrm>
          <a:off x="260985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76200</xdr:colOff>
      <xdr:row>83</xdr:row>
      <xdr:rowOff>114300</xdr:rowOff>
    </xdr:to>
    <xdr:sp macro="" textlink="">
      <xdr:nvSpPr>
        <xdr:cNvPr id="422914" name="Text Box 1026" hidden="1">
          <a:extLst>
            <a:ext uri="{FF2B5EF4-FFF2-40B4-BE49-F238E27FC236}">
              <a16:creationId xmlns:a16="http://schemas.microsoft.com/office/drawing/2014/main" id="{E08CA0F8-DEA4-FFB2-803A-B8A504A1F9F2}"/>
            </a:ext>
          </a:extLst>
        </xdr:cNvPr>
        <xdr:cNvSpPr txBox="1">
          <a:spLocks noChangeArrowheads="1"/>
        </xdr:cNvSpPr>
      </xdr:nvSpPr>
      <xdr:spPr bwMode="auto">
        <a:xfrm>
          <a:off x="260985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714375</xdr:colOff>
      <xdr:row>82</xdr:row>
      <xdr:rowOff>0</xdr:rowOff>
    </xdr:to>
    <xdr:sp macro="" textlink="">
      <xdr:nvSpPr>
        <xdr:cNvPr id="422913" name="Text Box 1025" hidden="1">
          <a:extLst>
            <a:ext uri="{FF2B5EF4-FFF2-40B4-BE49-F238E27FC236}">
              <a16:creationId xmlns:a16="http://schemas.microsoft.com/office/drawing/2014/main" id="{C75F777E-31B5-2A8E-1025-EC92E21532BD}"/>
            </a:ext>
          </a:extLst>
        </xdr:cNvPr>
        <xdr:cNvSpPr txBox="1">
          <a:spLocks noChangeArrowheads="1"/>
        </xdr:cNvSpPr>
      </xdr:nvSpPr>
      <xdr:spPr bwMode="auto">
        <a:xfrm>
          <a:off x="347980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378915" name="Text Box 35" hidden="1">
          <a:extLst>
            <a:ext uri="{FF2B5EF4-FFF2-40B4-BE49-F238E27FC236}">
              <a16:creationId xmlns:a16="http://schemas.microsoft.com/office/drawing/2014/main" id="{A674B8D5-4093-4D7B-3B68-340879950F01}"/>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378914" name="Text Box 34" hidden="1">
          <a:extLst>
            <a:ext uri="{FF2B5EF4-FFF2-40B4-BE49-F238E27FC236}">
              <a16:creationId xmlns:a16="http://schemas.microsoft.com/office/drawing/2014/main" id="{F3D5DA52-0197-A3E2-2409-E9AD1828BFC0}"/>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76200</xdr:colOff>
      <xdr:row>82</xdr:row>
      <xdr:rowOff>19050</xdr:rowOff>
    </xdr:to>
    <xdr:sp macro="" textlink="">
      <xdr:nvSpPr>
        <xdr:cNvPr id="378913" name="Text Box 33" hidden="1">
          <a:extLst>
            <a:ext uri="{FF2B5EF4-FFF2-40B4-BE49-F238E27FC236}">
              <a16:creationId xmlns:a16="http://schemas.microsoft.com/office/drawing/2014/main" id="{25B4DFBA-E00D-073C-8FEC-1F93410CD03D}"/>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76200</xdr:colOff>
      <xdr:row>82</xdr:row>
      <xdr:rowOff>133350</xdr:rowOff>
    </xdr:to>
    <xdr:sp macro="" textlink="">
      <xdr:nvSpPr>
        <xdr:cNvPr id="378912" name="Text Box 32" hidden="1">
          <a:extLst>
            <a:ext uri="{FF2B5EF4-FFF2-40B4-BE49-F238E27FC236}">
              <a16:creationId xmlns:a16="http://schemas.microsoft.com/office/drawing/2014/main" id="{33077CF0-1415-F8B5-B0B8-BD77D06D4429}"/>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76200</xdr:colOff>
      <xdr:row>83</xdr:row>
      <xdr:rowOff>0</xdr:rowOff>
    </xdr:to>
    <xdr:sp macro="" textlink="">
      <xdr:nvSpPr>
        <xdr:cNvPr id="378911" name="Text Box 31" hidden="1">
          <a:extLst>
            <a:ext uri="{FF2B5EF4-FFF2-40B4-BE49-F238E27FC236}">
              <a16:creationId xmlns:a16="http://schemas.microsoft.com/office/drawing/2014/main" id="{40A5630B-D7A0-DA06-6BEE-6D31F423B1DB}"/>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76200</xdr:colOff>
      <xdr:row>83</xdr:row>
      <xdr:rowOff>114300</xdr:rowOff>
    </xdr:to>
    <xdr:sp macro="" textlink="">
      <xdr:nvSpPr>
        <xdr:cNvPr id="378910" name="Text Box 30" hidden="1">
          <a:extLst>
            <a:ext uri="{FF2B5EF4-FFF2-40B4-BE49-F238E27FC236}">
              <a16:creationId xmlns:a16="http://schemas.microsoft.com/office/drawing/2014/main" id="{DE1F9B2B-3160-CB18-8ACE-FB2F669AF52F}"/>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714375</xdr:colOff>
      <xdr:row>82</xdr:row>
      <xdr:rowOff>0</xdr:rowOff>
    </xdr:to>
    <xdr:sp macro="" textlink="">
      <xdr:nvSpPr>
        <xdr:cNvPr id="378909" name="Text Box 29" hidden="1">
          <a:extLst>
            <a:ext uri="{FF2B5EF4-FFF2-40B4-BE49-F238E27FC236}">
              <a16:creationId xmlns:a16="http://schemas.microsoft.com/office/drawing/2014/main" id="{869C7C02-AB9C-7A0C-46CC-246AD59D6AEB}"/>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422926" name="Text Box 14" hidden="1">
          <a:extLst>
            <a:ext uri="{FF2B5EF4-FFF2-40B4-BE49-F238E27FC236}">
              <a16:creationId xmlns:a16="http://schemas.microsoft.com/office/drawing/2014/main" id="{65AC2FC6-E1AF-657F-D560-DF2CC77785A8}"/>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422925" name="Text Box 13" hidden="1">
          <a:extLst>
            <a:ext uri="{FF2B5EF4-FFF2-40B4-BE49-F238E27FC236}">
              <a16:creationId xmlns:a16="http://schemas.microsoft.com/office/drawing/2014/main" id="{E06DCF36-FF37-1D72-F81B-F420371DCE2E}"/>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76200</xdr:colOff>
      <xdr:row>82</xdr:row>
      <xdr:rowOff>19050</xdr:rowOff>
    </xdr:to>
    <xdr:sp macro="" textlink="">
      <xdr:nvSpPr>
        <xdr:cNvPr id="422924" name="Text Box 12" hidden="1">
          <a:extLst>
            <a:ext uri="{FF2B5EF4-FFF2-40B4-BE49-F238E27FC236}">
              <a16:creationId xmlns:a16="http://schemas.microsoft.com/office/drawing/2014/main" id="{BC7AD6BC-D889-7E2A-E1A3-775E03AC9BC7}"/>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76200</xdr:colOff>
      <xdr:row>82</xdr:row>
      <xdr:rowOff>133350</xdr:rowOff>
    </xdr:to>
    <xdr:sp macro="" textlink="">
      <xdr:nvSpPr>
        <xdr:cNvPr id="422923" name="Text Box 11" hidden="1">
          <a:extLst>
            <a:ext uri="{FF2B5EF4-FFF2-40B4-BE49-F238E27FC236}">
              <a16:creationId xmlns:a16="http://schemas.microsoft.com/office/drawing/2014/main" id="{F4B2D5B7-6B40-DE7F-F984-4B2EA08D41A0}"/>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76200</xdr:colOff>
      <xdr:row>83</xdr:row>
      <xdr:rowOff>0</xdr:rowOff>
    </xdr:to>
    <xdr:sp macro="" textlink="">
      <xdr:nvSpPr>
        <xdr:cNvPr id="422922" name="Text Box 10" hidden="1">
          <a:extLst>
            <a:ext uri="{FF2B5EF4-FFF2-40B4-BE49-F238E27FC236}">
              <a16:creationId xmlns:a16="http://schemas.microsoft.com/office/drawing/2014/main" id="{C8469759-07BB-FEDA-A7F7-21B69498F5EE}"/>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76200</xdr:colOff>
      <xdr:row>83</xdr:row>
      <xdr:rowOff>114300</xdr:rowOff>
    </xdr:to>
    <xdr:sp macro="" textlink="">
      <xdr:nvSpPr>
        <xdr:cNvPr id="422921" name="Text Box 9" hidden="1">
          <a:extLst>
            <a:ext uri="{FF2B5EF4-FFF2-40B4-BE49-F238E27FC236}">
              <a16:creationId xmlns:a16="http://schemas.microsoft.com/office/drawing/2014/main" id="{99F1E9FB-9023-24F4-CEDA-A9F1F8F1FF5C}"/>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714375</xdr:colOff>
      <xdr:row>82</xdr:row>
      <xdr:rowOff>0</xdr:rowOff>
    </xdr:to>
    <xdr:sp macro="" textlink="">
      <xdr:nvSpPr>
        <xdr:cNvPr id="422920" name="Text Box 8" hidden="1">
          <a:extLst>
            <a:ext uri="{FF2B5EF4-FFF2-40B4-BE49-F238E27FC236}">
              <a16:creationId xmlns:a16="http://schemas.microsoft.com/office/drawing/2014/main" id="{1627D1C6-B0F3-FFDC-0922-B86378BC0EFE}"/>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66675</xdr:colOff>
      <xdr:row>0</xdr:row>
      <xdr:rowOff>38100</xdr:rowOff>
    </xdr:from>
    <xdr:to>
      <xdr:col>0</xdr:col>
      <xdr:colOff>726141</xdr:colOff>
      <xdr:row>1</xdr:row>
      <xdr:rowOff>132416</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DB66E641-FFC7-4E10-9590-D03EB93F16BF}"/>
            </a:ext>
          </a:extLst>
        </xdr:cNvPr>
        <xdr:cNvSpPr/>
      </xdr:nvSpPr>
      <xdr:spPr>
        <a:xfrm>
          <a:off x="66675" y="38100"/>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0</xdr:col>
      <xdr:colOff>63500</xdr:colOff>
      <xdr:row>2</xdr:row>
      <xdr:rowOff>19050</xdr:rowOff>
    </xdr:from>
    <xdr:to>
      <xdr:col>0</xdr:col>
      <xdr:colOff>1076325</xdr:colOff>
      <xdr:row>4</xdr:row>
      <xdr:rowOff>124824</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EAB03778-6CAF-459B-9447-D33AC9A653D4}"/>
            </a:ext>
          </a:extLst>
        </xdr:cNvPr>
        <xdr:cNvSpPr/>
      </xdr:nvSpPr>
      <xdr:spPr>
        <a:xfrm>
          <a:off x="63500" y="381000"/>
          <a:ext cx="1012825"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33" name="Text Box 21" hidden="1">
          <a:extLst>
            <a:ext uri="{FF2B5EF4-FFF2-40B4-BE49-F238E27FC236}">
              <a16:creationId xmlns:a16="http://schemas.microsoft.com/office/drawing/2014/main" id="{3EB923F5-8DCA-2C94-03A6-7FF7F942D52B}"/>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32" name="Text Box 20" hidden="1">
          <a:extLst>
            <a:ext uri="{FF2B5EF4-FFF2-40B4-BE49-F238E27FC236}">
              <a16:creationId xmlns:a16="http://schemas.microsoft.com/office/drawing/2014/main" id="{5EFC3605-D40D-E8C8-7C3E-802CCBF65B1D}"/>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31" name="Text Box 19" hidden="1">
          <a:extLst>
            <a:ext uri="{FF2B5EF4-FFF2-40B4-BE49-F238E27FC236}">
              <a16:creationId xmlns:a16="http://schemas.microsoft.com/office/drawing/2014/main" id="{684601AC-9CCE-DCBE-4AE9-B29C2A66A5F8}"/>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30" name="Text Box 18" hidden="1">
          <a:extLst>
            <a:ext uri="{FF2B5EF4-FFF2-40B4-BE49-F238E27FC236}">
              <a16:creationId xmlns:a16="http://schemas.microsoft.com/office/drawing/2014/main" id="{337EFEE3-807A-0C5C-DA1F-2F09356A80D7}"/>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29" name="Text Box 17" hidden="1">
          <a:extLst>
            <a:ext uri="{FF2B5EF4-FFF2-40B4-BE49-F238E27FC236}">
              <a16:creationId xmlns:a16="http://schemas.microsoft.com/office/drawing/2014/main" id="{74232C42-1328-DACB-CB1A-EEF9CCE60331}"/>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28" name="Text Box 16" hidden="1">
          <a:extLst>
            <a:ext uri="{FF2B5EF4-FFF2-40B4-BE49-F238E27FC236}">
              <a16:creationId xmlns:a16="http://schemas.microsoft.com/office/drawing/2014/main" id="{FE8C5E62-99F3-7F43-2CE5-75ED37B7A18F}"/>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27" name="Text Box 15" hidden="1">
          <a:extLst>
            <a:ext uri="{FF2B5EF4-FFF2-40B4-BE49-F238E27FC236}">
              <a16:creationId xmlns:a16="http://schemas.microsoft.com/office/drawing/2014/main" id="{2C68A12D-9EEB-F014-8D61-25466105B51E}"/>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40" name="Text Box 28" hidden="1">
          <a:extLst>
            <a:ext uri="{FF2B5EF4-FFF2-40B4-BE49-F238E27FC236}">
              <a16:creationId xmlns:a16="http://schemas.microsoft.com/office/drawing/2014/main" id="{8D0A55C9-7517-35C4-3017-BF516663B164}"/>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39" name="Text Box 27" hidden="1">
          <a:extLst>
            <a:ext uri="{FF2B5EF4-FFF2-40B4-BE49-F238E27FC236}">
              <a16:creationId xmlns:a16="http://schemas.microsoft.com/office/drawing/2014/main" id="{C368E8EA-3387-0DAA-EA77-B856126F92EB}"/>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38" name="Text Box 26" hidden="1">
          <a:extLst>
            <a:ext uri="{FF2B5EF4-FFF2-40B4-BE49-F238E27FC236}">
              <a16:creationId xmlns:a16="http://schemas.microsoft.com/office/drawing/2014/main" id="{7813A2F6-706B-4694-F7D5-40DDC38655DB}"/>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37" name="Text Box 25" hidden="1">
          <a:extLst>
            <a:ext uri="{FF2B5EF4-FFF2-40B4-BE49-F238E27FC236}">
              <a16:creationId xmlns:a16="http://schemas.microsoft.com/office/drawing/2014/main" id="{067CA496-BCAD-9AE3-5B9D-52B36F8ED0C2}"/>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36" name="Text Box 24" hidden="1">
          <a:extLst>
            <a:ext uri="{FF2B5EF4-FFF2-40B4-BE49-F238E27FC236}">
              <a16:creationId xmlns:a16="http://schemas.microsoft.com/office/drawing/2014/main" id="{C35D84C3-BBD6-AE5D-6988-1897F25132ED}"/>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35" name="Text Box 23" hidden="1">
          <a:extLst>
            <a:ext uri="{FF2B5EF4-FFF2-40B4-BE49-F238E27FC236}">
              <a16:creationId xmlns:a16="http://schemas.microsoft.com/office/drawing/2014/main" id="{96A1C0BF-0B19-1B40-D4C4-724EBFFE37BB}"/>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34" name="Text Box 22" hidden="1">
          <a:extLst>
            <a:ext uri="{FF2B5EF4-FFF2-40B4-BE49-F238E27FC236}">
              <a16:creationId xmlns:a16="http://schemas.microsoft.com/office/drawing/2014/main" id="{BD3F9C9E-D8F6-EAA8-AE5C-3520171EACA6}"/>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54" name="Text Box 42" hidden="1">
          <a:extLst>
            <a:ext uri="{FF2B5EF4-FFF2-40B4-BE49-F238E27FC236}">
              <a16:creationId xmlns:a16="http://schemas.microsoft.com/office/drawing/2014/main" id="{F64DE226-5A0A-5A23-8535-FFCC9050B6F4}"/>
            </a:ext>
          </a:extLst>
        </xdr:cNvPr>
        <xdr:cNvSpPr txBox="1">
          <a:spLocks noChangeArrowheads="1"/>
        </xdr:cNvSpPr>
      </xdr:nvSpPr>
      <xdr:spPr bwMode="auto">
        <a:xfrm>
          <a:off x="320675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53" name="Text Box 41" hidden="1">
          <a:extLst>
            <a:ext uri="{FF2B5EF4-FFF2-40B4-BE49-F238E27FC236}">
              <a16:creationId xmlns:a16="http://schemas.microsoft.com/office/drawing/2014/main" id="{7D9277B1-5837-4678-DE2A-24C7A02545AF}"/>
            </a:ext>
          </a:extLst>
        </xdr:cNvPr>
        <xdr:cNvSpPr txBox="1">
          <a:spLocks noChangeArrowheads="1"/>
        </xdr:cNvSpPr>
      </xdr:nvSpPr>
      <xdr:spPr bwMode="auto">
        <a:xfrm>
          <a:off x="318770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52" name="Text Box 40" hidden="1">
          <a:extLst>
            <a:ext uri="{FF2B5EF4-FFF2-40B4-BE49-F238E27FC236}">
              <a16:creationId xmlns:a16="http://schemas.microsoft.com/office/drawing/2014/main" id="{EB3642FE-5539-AE6E-852F-EF7ECB5EA750}"/>
            </a:ext>
          </a:extLst>
        </xdr:cNvPr>
        <xdr:cNvSpPr txBox="1">
          <a:spLocks noChangeArrowheads="1"/>
        </xdr:cNvSpPr>
      </xdr:nvSpPr>
      <xdr:spPr bwMode="auto">
        <a:xfrm>
          <a:off x="318770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51" name="Text Box 39" hidden="1">
          <a:extLst>
            <a:ext uri="{FF2B5EF4-FFF2-40B4-BE49-F238E27FC236}">
              <a16:creationId xmlns:a16="http://schemas.microsoft.com/office/drawing/2014/main" id="{BBC8FEC4-CA34-B377-4C00-E5F8143B5F92}"/>
            </a:ext>
          </a:extLst>
        </xdr:cNvPr>
        <xdr:cNvSpPr txBox="1">
          <a:spLocks noChangeArrowheads="1"/>
        </xdr:cNvSpPr>
      </xdr:nvSpPr>
      <xdr:spPr bwMode="auto">
        <a:xfrm>
          <a:off x="318770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50" name="Text Box 38" hidden="1">
          <a:extLst>
            <a:ext uri="{FF2B5EF4-FFF2-40B4-BE49-F238E27FC236}">
              <a16:creationId xmlns:a16="http://schemas.microsoft.com/office/drawing/2014/main" id="{4BC9937F-5F44-3221-80CF-863C36F1FA0A}"/>
            </a:ext>
          </a:extLst>
        </xdr:cNvPr>
        <xdr:cNvSpPr txBox="1">
          <a:spLocks noChangeArrowheads="1"/>
        </xdr:cNvSpPr>
      </xdr:nvSpPr>
      <xdr:spPr bwMode="auto">
        <a:xfrm>
          <a:off x="318770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49" name="Text Box 37" hidden="1">
          <a:extLst>
            <a:ext uri="{FF2B5EF4-FFF2-40B4-BE49-F238E27FC236}">
              <a16:creationId xmlns:a16="http://schemas.microsoft.com/office/drawing/2014/main" id="{791674E2-988F-3C5D-9B39-BEF73A0E67AD}"/>
            </a:ext>
          </a:extLst>
        </xdr:cNvPr>
        <xdr:cNvSpPr txBox="1">
          <a:spLocks noChangeArrowheads="1"/>
        </xdr:cNvSpPr>
      </xdr:nvSpPr>
      <xdr:spPr bwMode="auto">
        <a:xfrm>
          <a:off x="318770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48" name="Text Box 36" hidden="1">
          <a:extLst>
            <a:ext uri="{FF2B5EF4-FFF2-40B4-BE49-F238E27FC236}">
              <a16:creationId xmlns:a16="http://schemas.microsoft.com/office/drawing/2014/main" id="{CC96FD48-8AD6-F382-5176-D8E9C430D796}"/>
            </a:ext>
          </a:extLst>
        </xdr:cNvPr>
        <xdr:cNvSpPr txBox="1">
          <a:spLocks noChangeArrowheads="1"/>
        </xdr:cNvSpPr>
      </xdr:nvSpPr>
      <xdr:spPr bwMode="auto">
        <a:xfrm>
          <a:off x="405765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0</xdr:colOff>
      <xdr:row>84</xdr:row>
      <xdr:rowOff>171450</xdr:rowOff>
    </xdr:to>
    <xdr:sp macro="" textlink="">
      <xdr:nvSpPr>
        <xdr:cNvPr id="422947" name="Text Box 35" hidden="1">
          <a:extLst>
            <a:ext uri="{FF2B5EF4-FFF2-40B4-BE49-F238E27FC236}">
              <a16:creationId xmlns:a16="http://schemas.microsoft.com/office/drawing/2014/main" id="{87E6E59E-D798-3E23-ED42-CBF6A0929F18}"/>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46" name="Text Box 34" hidden="1">
          <a:extLst>
            <a:ext uri="{FF2B5EF4-FFF2-40B4-BE49-F238E27FC236}">
              <a16:creationId xmlns:a16="http://schemas.microsoft.com/office/drawing/2014/main" id="{AF5ED50C-5B28-BD54-8A1E-092D2B70D7EE}"/>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666750</xdr:colOff>
      <xdr:row>82</xdr:row>
      <xdr:rowOff>19050</xdr:rowOff>
    </xdr:to>
    <xdr:sp macro="" textlink="">
      <xdr:nvSpPr>
        <xdr:cNvPr id="422945" name="Text Box 33" hidden="1">
          <a:extLst>
            <a:ext uri="{FF2B5EF4-FFF2-40B4-BE49-F238E27FC236}">
              <a16:creationId xmlns:a16="http://schemas.microsoft.com/office/drawing/2014/main" id="{387302DE-53D0-ECD2-6647-29EF9DAE9FC0}"/>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666750</xdr:colOff>
      <xdr:row>82</xdr:row>
      <xdr:rowOff>133350</xdr:rowOff>
    </xdr:to>
    <xdr:sp macro="" textlink="">
      <xdr:nvSpPr>
        <xdr:cNvPr id="422944" name="Text Box 32" hidden="1">
          <a:extLst>
            <a:ext uri="{FF2B5EF4-FFF2-40B4-BE49-F238E27FC236}">
              <a16:creationId xmlns:a16="http://schemas.microsoft.com/office/drawing/2014/main" id="{9E68E900-E708-2CD4-7638-5B0FD189495E}"/>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666750</xdr:colOff>
      <xdr:row>83</xdr:row>
      <xdr:rowOff>0</xdr:rowOff>
    </xdr:to>
    <xdr:sp macro="" textlink="">
      <xdr:nvSpPr>
        <xdr:cNvPr id="422943" name="Text Box 31" hidden="1">
          <a:extLst>
            <a:ext uri="{FF2B5EF4-FFF2-40B4-BE49-F238E27FC236}">
              <a16:creationId xmlns:a16="http://schemas.microsoft.com/office/drawing/2014/main" id="{93915D63-D93A-549D-C919-3F1B08D8C113}"/>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666750</xdr:colOff>
      <xdr:row>83</xdr:row>
      <xdr:rowOff>114300</xdr:rowOff>
    </xdr:to>
    <xdr:sp macro="" textlink="">
      <xdr:nvSpPr>
        <xdr:cNvPr id="422942" name="Text Box 30" hidden="1">
          <a:extLst>
            <a:ext uri="{FF2B5EF4-FFF2-40B4-BE49-F238E27FC236}">
              <a16:creationId xmlns:a16="http://schemas.microsoft.com/office/drawing/2014/main" id="{895B2D46-97F6-6FD8-5B8E-D4090370B223}"/>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552450</xdr:colOff>
      <xdr:row>82</xdr:row>
      <xdr:rowOff>0</xdr:rowOff>
    </xdr:to>
    <xdr:sp macro="" textlink="">
      <xdr:nvSpPr>
        <xdr:cNvPr id="422941" name="Text Box 29" hidden="1">
          <a:extLst>
            <a:ext uri="{FF2B5EF4-FFF2-40B4-BE49-F238E27FC236}">
              <a16:creationId xmlns:a16="http://schemas.microsoft.com/office/drawing/2014/main" id="{1523FC8A-A003-24EE-BB6C-2732E7182C61}"/>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61" name="Text Box 49" hidden="1">
          <a:extLst>
            <a:ext uri="{FF2B5EF4-FFF2-40B4-BE49-F238E27FC236}">
              <a16:creationId xmlns:a16="http://schemas.microsoft.com/office/drawing/2014/main" id="{280FC777-5083-E366-E072-F20CB1D8D351}"/>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60" name="Text Box 48" hidden="1">
          <a:extLst>
            <a:ext uri="{FF2B5EF4-FFF2-40B4-BE49-F238E27FC236}">
              <a16:creationId xmlns:a16="http://schemas.microsoft.com/office/drawing/2014/main" id="{B4F069F0-BDAE-E7C0-C283-F692D66D453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59" name="Text Box 47" hidden="1">
          <a:extLst>
            <a:ext uri="{FF2B5EF4-FFF2-40B4-BE49-F238E27FC236}">
              <a16:creationId xmlns:a16="http://schemas.microsoft.com/office/drawing/2014/main" id="{20F6B33F-3315-7909-A37B-84CC5121E34E}"/>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58" name="Text Box 46" hidden="1">
          <a:extLst>
            <a:ext uri="{FF2B5EF4-FFF2-40B4-BE49-F238E27FC236}">
              <a16:creationId xmlns:a16="http://schemas.microsoft.com/office/drawing/2014/main" id="{B0981CF8-79F5-3A5F-33F4-965A6D330122}"/>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57" name="Text Box 45" hidden="1">
          <a:extLst>
            <a:ext uri="{FF2B5EF4-FFF2-40B4-BE49-F238E27FC236}">
              <a16:creationId xmlns:a16="http://schemas.microsoft.com/office/drawing/2014/main" id="{78804B77-484C-C25A-4D70-13BC8634FC3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56" name="Text Box 44" hidden="1">
          <a:extLst>
            <a:ext uri="{FF2B5EF4-FFF2-40B4-BE49-F238E27FC236}">
              <a16:creationId xmlns:a16="http://schemas.microsoft.com/office/drawing/2014/main" id="{DD2E608B-8B71-5021-4DAC-F97BE41F2067}"/>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55" name="Text Box 43" hidden="1">
          <a:extLst>
            <a:ext uri="{FF2B5EF4-FFF2-40B4-BE49-F238E27FC236}">
              <a16:creationId xmlns:a16="http://schemas.microsoft.com/office/drawing/2014/main" id="{F47C04F9-D037-194D-1687-CB4A32F921BB}"/>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68" name="Text Box 56" hidden="1">
          <a:extLst>
            <a:ext uri="{FF2B5EF4-FFF2-40B4-BE49-F238E27FC236}">
              <a16:creationId xmlns:a16="http://schemas.microsoft.com/office/drawing/2014/main" id="{EB78E638-DD07-864C-6E4D-3F30967B8ED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67" name="Text Box 55" hidden="1">
          <a:extLst>
            <a:ext uri="{FF2B5EF4-FFF2-40B4-BE49-F238E27FC236}">
              <a16:creationId xmlns:a16="http://schemas.microsoft.com/office/drawing/2014/main" id="{20398BBE-E7C5-75B5-EEDE-30073F7BB62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66" name="Text Box 54" hidden="1">
          <a:extLst>
            <a:ext uri="{FF2B5EF4-FFF2-40B4-BE49-F238E27FC236}">
              <a16:creationId xmlns:a16="http://schemas.microsoft.com/office/drawing/2014/main" id="{95C52958-AD88-AD09-02FA-5229737B9211}"/>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65" name="Text Box 53" hidden="1">
          <a:extLst>
            <a:ext uri="{FF2B5EF4-FFF2-40B4-BE49-F238E27FC236}">
              <a16:creationId xmlns:a16="http://schemas.microsoft.com/office/drawing/2014/main" id="{B8CE0D96-0DB2-E7B6-8F21-FC315A44B0C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64" name="Text Box 52" hidden="1">
          <a:extLst>
            <a:ext uri="{FF2B5EF4-FFF2-40B4-BE49-F238E27FC236}">
              <a16:creationId xmlns:a16="http://schemas.microsoft.com/office/drawing/2014/main" id="{F6A66C88-5929-DA7B-1F55-58D3EC68A317}"/>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63" name="Text Box 51" hidden="1">
          <a:extLst>
            <a:ext uri="{FF2B5EF4-FFF2-40B4-BE49-F238E27FC236}">
              <a16:creationId xmlns:a16="http://schemas.microsoft.com/office/drawing/2014/main" id="{3FCD4C93-2BFD-0EB3-9D57-88A02F8E945E}"/>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62" name="Text Box 50" hidden="1">
          <a:extLst>
            <a:ext uri="{FF2B5EF4-FFF2-40B4-BE49-F238E27FC236}">
              <a16:creationId xmlns:a16="http://schemas.microsoft.com/office/drawing/2014/main" id="{7ACD402E-14F2-02FF-DFA1-4E06A24CD36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75" name="Text Box 63" hidden="1">
          <a:extLst>
            <a:ext uri="{FF2B5EF4-FFF2-40B4-BE49-F238E27FC236}">
              <a16:creationId xmlns:a16="http://schemas.microsoft.com/office/drawing/2014/main" id="{025D29F3-2012-A87D-4868-852DB33EE6FF}"/>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74" name="Text Box 62" hidden="1">
          <a:extLst>
            <a:ext uri="{FF2B5EF4-FFF2-40B4-BE49-F238E27FC236}">
              <a16:creationId xmlns:a16="http://schemas.microsoft.com/office/drawing/2014/main" id="{86D150D8-CD33-E4D9-9B46-DE316F3D97E8}"/>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73" name="Text Box 61" hidden="1">
          <a:extLst>
            <a:ext uri="{FF2B5EF4-FFF2-40B4-BE49-F238E27FC236}">
              <a16:creationId xmlns:a16="http://schemas.microsoft.com/office/drawing/2014/main" id="{7F8923C7-E1F9-C70A-5BBA-F818347B8E0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72" name="Text Box 60" hidden="1">
          <a:extLst>
            <a:ext uri="{FF2B5EF4-FFF2-40B4-BE49-F238E27FC236}">
              <a16:creationId xmlns:a16="http://schemas.microsoft.com/office/drawing/2014/main" id="{C77B8489-4732-8AD7-3A49-75C23A67CBC7}"/>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71" name="Text Box 59" hidden="1">
          <a:extLst>
            <a:ext uri="{FF2B5EF4-FFF2-40B4-BE49-F238E27FC236}">
              <a16:creationId xmlns:a16="http://schemas.microsoft.com/office/drawing/2014/main" id="{4E54D5AF-2B7B-2BB4-2D4F-93421347F45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70" name="Text Box 58" hidden="1">
          <a:extLst>
            <a:ext uri="{FF2B5EF4-FFF2-40B4-BE49-F238E27FC236}">
              <a16:creationId xmlns:a16="http://schemas.microsoft.com/office/drawing/2014/main" id="{E93A8C16-0599-C9FE-768C-5D7B4E330A58}"/>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69" name="Text Box 57" hidden="1">
          <a:extLst>
            <a:ext uri="{FF2B5EF4-FFF2-40B4-BE49-F238E27FC236}">
              <a16:creationId xmlns:a16="http://schemas.microsoft.com/office/drawing/2014/main" id="{4A90E00C-4D20-8DF2-07EF-5B29898877A4}"/>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9.xml><?xml version="1.0" encoding="utf-8"?>
<xdr:wsDr xmlns:xdr="http://schemas.openxmlformats.org/drawingml/2006/spreadsheetDrawing" xmlns:a="http://schemas.openxmlformats.org/drawingml/2006/main">
  <xdr:twoCellAnchor editAs="absolute">
    <xdr:from>
      <xdr:col>6</xdr:col>
      <xdr:colOff>3010</xdr:colOff>
      <xdr:row>102</xdr:row>
      <xdr:rowOff>841</xdr:rowOff>
    </xdr:from>
    <xdr:to>
      <xdr:col>8</xdr:col>
      <xdr:colOff>9147</xdr:colOff>
      <xdr:row>102</xdr:row>
      <xdr:rowOff>841</xdr:rowOff>
    </xdr:to>
    <xdr:sp macro="" textlink="">
      <xdr:nvSpPr>
        <xdr:cNvPr id="2" name="Text Box 4" hidden="1">
          <a:extLst>
            <a:ext uri="{FF2B5EF4-FFF2-40B4-BE49-F238E27FC236}">
              <a16:creationId xmlns:a16="http://schemas.microsoft.com/office/drawing/2014/main" id="{0691EE16-0C46-4D85-9FD4-EF55C74F2D64}"/>
            </a:ext>
          </a:extLst>
        </xdr:cNvPr>
        <xdr:cNvSpPr txBox="1">
          <a:spLocks noChangeArrowheads="1"/>
        </xdr:cNvSpPr>
      </xdr:nvSpPr>
      <xdr:spPr bwMode="auto">
        <a:xfrm>
          <a:off x="9014782" y="23838742"/>
          <a:ext cx="159158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3" name="Text Box 5" hidden="1">
          <a:extLst>
            <a:ext uri="{FF2B5EF4-FFF2-40B4-BE49-F238E27FC236}">
              <a16:creationId xmlns:a16="http://schemas.microsoft.com/office/drawing/2014/main" id="{BE57657E-FF28-423D-A2EF-F064EFC860DD}"/>
            </a:ext>
          </a:extLst>
        </xdr:cNvPr>
        <xdr:cNvSpPr txBox="1">
          <a:spLocks noChangeArrowheads="1"/>
        </xdr:cNvSpPr>
      </xdr:nvSpPr>
      <xdr:spPr bwMode="auto">
        <a:xfrm>
          <a:off x="11328779" y="23838742"/>
          <a:ext cx="1587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 name="Text Box 7" hidden="1">
          <a:extLst>
            <a:ext uri="{FF2B5EF4-FFF2-40B4-BE49-F238E27FC236}">
              <a16:creationId xmlns:a16="http://schemas.microsoft.com/office/drawing/2014/main" id="{54EAF1AE-2D0A-48B8-A016-121DF618761E}"/>
            </a:ext>
          </a:extLst>
        </xdr:cNvPr>
        <xdr:cNvSpPr txBox="1">
          <a:spLocks noChangeArrowheads="1"/>
        </xdr:cNvSpPr>
      </xdr:nvSpPr>
      <xdr:spPr bwMode="auto">
        <a:xfrm>
          <a:off x="3393168" y="6759388"/>
          <a:ext cx="1593561" cy="78050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51</xdr:row>
      <xdr:rowOff>161029</xdr:rowOff>
    </xdr:from>
    <xdr:to>
      <xdr:col>1</xdr:col>
      <xdr:colOff>4259019</xdr:colOff>
      <xdr:row>55</xdr:row>
      <xdr:rowOff>49906</xdr:rowOff>
    </xdr:to>
    <xdr:sp macro="" textlink="">
      <xdr:nvSpPr>
        <xdr:cNvPr id="5" name="Text Box 8" hidden="1">
          <a:extLst>
            <a:ext uri="{FF2B5EF4-FFF2-40B4-BE49-F238E27FC236}">
              <a16:creationId xmlns:a16="http://schemas.microsoft.com/office/drawing/2014/main" id="{D41B16DB-19AE-4E30-8515-53B8A56BFF96}"/>
            </a:ext>
          </a:extLst>
        </xdr:cNvPr>
        <xdr:cNvSpPr txBox="1">
          <a:spLocks noChangeArrowheads="1"/>
        </xdr:cNvSpPr>
      </xdr:nvSpPr>
      <xdr:spPr bwMode="auto">
        <a:xfrm>
          <a:off x="3431268" y="11862024"/>
          <a:ext cx="1580226" cy="8032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102</xdr:row>
      <xdr:rowOff>841</xdr:rowOff>
    </xdr:from>
    <xdr:to>
      <xdr:col>8</xdr:col>
      <xdr:colOff>9147</xdr:colOff>
      <xdr:row>102</xdr:row>
      <xdr:rowOff>841</xdr:rowOff>
    </xdr:to>
    <xdr:sp macro="" textlink="">
      <xdr:nvSpPr>
        <xdr:cNvPr id="6" name="Text Box 4" hidden="1">
          <a:extLst>
            <a:ext uri="{FF2B5EF4-FFF2-40B4-BE49-F238E27FC236}">
              <a16:creationId xmlns:a16="http://schemas.microsoft.com/office/drawing/2014/main" id="{11B673C1-34F8-4FD9-806E-EF7817BC4534}"/>
            </a:ext>
          </a:extLst>
        </xdr:cNvPr>
        <xdr:cNvSpPr txBox="1">
          <a:spLocks noChangeArrowheads="1"/>
        </xdr:cNvSpPr>
      </xdr:nvSpPr>
      <xdr:spPr bwMode="auto">
        <a:xfrm>
          <a:off x="9014782" y="23838742"/>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7" name="Text Box 3" hidden="1">
          <a:extLst>
            <a:ext uri="{FF2B5EF4-FFF2-40B4-BE49-F238E27FC236}">
              <a16:creationId xmlns:a16="http://schemas.microsoft.com/office/drawing/2014/main" id="{BA66565C-9D79-4D50-AC7F-3241299C8D73}"/>
            </a:ext>
          </a:extLst>
        </xdr:cNvPr>
        <xdr:cNvSpPr txBox="1">
          <a:spLocks noChangeArrowheads="1"/>
        </xdr:cNvSpPr>
      </xdr:nvSpPr>
      <xdr:spPr bwMode="auto">
        <a:xfrm>
          <a:off x="11328779" y="2383874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8" name="Text Box 2" hidden="1">
          <a:extLst>
            <a:ext uri="{FF2B5EF4-FFF2-40B4-BE49-F238E27FC236}">
              <a16:creationId xmlns:a16="http://schemas.microsoft.com/office/drawing/2014/main" id="{05B0E8EE-A2C7-48D8-A1C0-B253B8EC4ED5}"/>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9" name="Text Box 7" hidden="1">
          <a:extLst>
            <a:ext uri="{FF2B5EF4-FFF2-40B4-BE49-F238E27FC236}">
              <a16:creationId xmlns:a16="http://schemas.microsoft.com/office/drawing/2014/main" id="{53C259D1-1A51-4430-B7C6-6493DC5C5C1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0" name="Text Box 6" hidden="1">
          <a:extLst>
            <a:ext uri="{FF2B5EF4-FFF2-40B4-BE49-F238E27FC236}">
              <a16:creationId xmlns:a16="http://schemas.microsoft.com/office/drawing/2014/main" id="{86787A2A-F6D6-4D1B-B401-AC1087D6653A}"/>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1" name="Text Box 5" hidden="1">
          <a:extLst>
            <a:ext uri="{FF2B5EF4-FFF2-40B4-BE49-F238E27FC236}">
              <a16:creationId xmlns:a16="http://schemas.microsoft.com/office/drawing/2014/main" id="{FD2F1AB9-B6B7-4516-BE35-A4D87010496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2" name="Text Box 10" hidden="1">
          <a:extLst>
            <a:ext uri="{FF2B5EF4-FFF2-40B4-BE49-F238E27FC236}">
              <a16:creationId xmlns:a16="http://schemas.microsoft.com/office/drawing/2014/main" id="{8158A8FC-6353-44D0-B26C-DE52A596A354}"/>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3" name="Text Box 9" hidden="1">
          <a:extLst>
            <a:ext uri="{FF2B5EF4-FFF2-40B4-BE49-F238E27FC236}">
              <a16:creationId xmlns:a16="http://schemas.microsoft.com/office/drawing/2014/main" id="{94EB6A12-D096-4239-9EB4-73C74D5387C0}"/>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4" name="Text Box 8" hidden="1">
          <a:extLst>
            <a:ext uri="{FF2B5EF4-FFF2-40B4-BE49-F238E27FC236}">
              <a16:creationId xmlns:a16="http://schemas.microsoft.com/office/drawing/2014/main" id="{46203EAE-19E8-447E-9272-D8443F598503}"/>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5" name="Text Box 13" hidden="1">
          <a:extLst>
            <a:ext uri="{FF2B5EF4-FFF2-40B4-BE49-F238E27FC236}">
              <a16:creationId xmlns:a16="http://schemas.microsoft.com/office/drawing/2014/main" id="{650D6024-5BFA-4BA4-9F7B-57289EC2E230}"/>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6" name="Text Box 12" hidden="1">
          <a:extLst>
            <a:ext uri="{FF2B5EF4-FFF2-40B4-BE49-F238E27FC236}">
              <a16:creationId xmlns:a16="http://schemas.microsoft.com/office/drawing/2014/main" id="{270183A6-26A5-4A85-B856-A2D89E34388D}"/>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7" name="Text Box 11" hidden="1">
          <a:extLst>
            <a:ext uri="{FF2B5EF4-FFF2-40B4-BE49-F238E27FC236}">
              <a16:creationId xmlns:a16="http://schemas.microsoft.com/office/drawing/2014/main" id="{4E96C962-8702-4CC2-9C11-73DA8358612F}"/>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8" name="Text Box 16" hidden="1">
          <a:extLst>
            <a:ext uri="{FF2B5EF4-FFF2-40B4-BE49-F238E27FC236}">
              <a16:creationId xmlns:a16="http://schemas.microsoft.com/office/drawing/2014/main" id="{626207F0-EA76-4B20-837A-23888ADF65A1}"/>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9" name="Text Box 15" hidden="1">
          <a:extLst>
            <a:ext uri="{FF2B5EF4-FFF2-40B4-BE49-F238E27FC236}">
              <a16:creationId xmlns:a16="http://schemas.microsoft.com/office/drawing/2014/main" id="{CB390E45-1673-46C7-941D-A508AFC4D6E8}"/>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0" name="Text Box 14" hidden="1">
          <a:extLst>
            <a:ext uri="{FF2B5EF4-FFF2-40B4-BE49-F238E27FC236}">
              <a16:creationId xmlns:a16="http://schemas.microsoft.com/office/drawing/2014/main" id="{661D9627-F1CA-4F75-8473-0C942788C73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1" name="Text Box 19" hidden="1">
          <a:extLst>
            <a:ext uri="{FF2B5EF4-FFF2-40B4-BE49-F238E27FC236}">
              <a16:creationId xmlns:a16="http://schemas.microsoft.com/office/drawing/2014/main" id="{5F6A8D8E-13D0-4046-B1C7-91B37C0F8EB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2" name="Text Box 18" hidden="1">
          <a:extLst>
            <a:ext uri="{FF2B5EF4-FFF2-40B4-BE49-F238E27FC236}">
              <a16:creationId xmlns:a16="http://schemas.microsoft.com/office/drawing/2014/main" id="{0FA87725-3E33-4A91-8F32-A0E78CA437BF}"/>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3" name="Text Box 17" hidden="1">
          <a:extLst>
            <a:ext uri="{FF2B5EF4-FFF2-40B4-BE49-F238E27FC236}">
              <a16:creationId xmlns:a16="http://schemas.microsoft.com/office/drawing/2014/main" id="{7EFE59CA-633E-42D2-8800-04E1E7EBFE42}"/>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4" name="Text Box 22" hidden="1">
          <a:extLst>
            <a:ext uri="{FF2B5EF4-FFF2-40B4-BE49-F238E27FC236}">
              <a16:creationId xmlns:a16="http://schemas.microsoft.com/office/drawing/2014/main" id="{CBEA0ACC-4893-4FD7-967C-18A4FAB462FC}"/>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5" name="Text Box 21" hidden="1">
          <a:extLst>
            <a:ext uri="{FF2B5EF4-FFF2-40B4-BE49-F238E27FC236}">
              <a16:creationId xmlns:a16="http://schemas.microsoft.com/office/drawing/2014/main" id="{40AA5AD6-D189-4C31-8091-3894A8CE190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6" name="Text Box 20" hidden="1">
          <a:extLst>
            <a:ext uri="{FF2B5EF4-FFF2-40B4-BE49-F238E27FC236}">
              <a16:creationId xmlns:a16="http://schemas.microsoft.com/office/drawing/2014/main" id="{7D793F23-DD73-4FFB-9E7A-4A1358461A67}"/>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7" name="Text Box 25" hidden="1">
          <a:extLst>
            <a:ext uri="{FF2B5EF4-FFF2-40B4-BE49-F238E27FC236}">
              <a16:creationId xmlns:a16="http://schemas.microsoft.com/office/drawing/2014/main" id="{9DFA9DAE-D6B1-47AD-9631-E6360C46A738}"/>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8" name="Text Box 24" hidden="1">
          <a:extLst>
            <a:ext uri="{FF2B5EF4-FFF2-40B4-BE49-F238E27FC236}">
              <a16:creationId xmlns:a16="http://schemas.microsoft.com/office/drawing/2014/main" id="{60C3A95F-284E-449E-9B1F-342DA37BC4B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9" name="Text Box 23" hidden="1">
          <a:extLst>
            <a:ext uri="{FF2B5EF4-FFF2-40B4-BE49-F238E27FC236}">
              <a16:creationId xmlns:a16="http://schemas.microsoft.com/office/drawing/2014/main" id="{2BCD6C99-44C9-4EE1-96D4-B3A354B94AD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0" name="Text Box 28" hidden="1">
          <a:extLst>
            <a:ext uri="{FF2B5EF4-FFF2-40B4-BE49-F238E27FC236}">
              <a16:creationId xmlns:a16="http://schemas.microsoft.com/office/drawing/2014/main" id="{BADE9FCA-4A15-49EC-9496-FB0D21A4D270}"/>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1" name="Text Box 27" hidden="1">
          <a:extLst>
            <a:ext uri="{FF2B5EF4-FFF2-40B4-BE49-F238E27FC236}">
              <a16:creationId xmlns:a16="http://schemas.microsoft.com/office/drawing/2014/main" id="{70528C97-5943-4EC3-A30C-9C2674EA14F3}"/>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2" name="Text Box 26" hidden="1">
          <a:extLst>
            <a:ext uri="{FF2B5EF4-FFF2-40B4-BE49-F238E27FC236}">
              <a16:creationId xmlns:a16="http://schemas.microsoft.com/office/drawing/2014/main" id="{0F888637-88BA-4FFC-90C2-EA8F91EEA10B}"/>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3" name="Text Box 31" hidden="1">
          <a:extLst>
            <a:ext uri="{FF2B5EF4-FFF2-40B4-BE49-F238E27FC236}">
              <a16:creationId xmlns:a16="http://schemas.microsoft.com/office/drawing/2014/main" id="{2CA9723F-5C8C-4D23-9C72-17D1F5117189}"/>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4" name="Text Box 30" hidden="1">
          <a:extLst>
            <a:ext uri="{FF2B5EF4-FFF2-40B4-BE49-F238E27FC236}">
              <a16:creationId xmlns:a16="http://schemas.microsoft.com/office/drawing/2014/main" id="{49CA1536-A866-4C14-BE9C-4016D629FD8F}"/>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5" name="Text Box 29" hidden="1">
          <a:extLst>
            <a:ext uri="{FF2B5EF4-FFF2-40B4-BE49-F238E27FC236}">
              <a16:creationId xmlns:a16="http://schemas.microsoft.com/office/drawing/2014/main" id="{0D1046D8-2692-4BC4-BC0C-07FAA3C6712A}"/>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6" name="Text Box 34" hidden="1">
          <a:extLst>
            <a:ext uri="{FF2B5EF4-FFF2-40B4-BE49-F238E27FC236}">
              <a16:creationId xmlns:a16="http://schemas.microsoft.com/office/drawing/2014/main" id="{0D3AD16F-A685-41EE-BCAA-1490EEF31AAB}"/>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7" name="Text Box 33" hidden="1">
          <a:extLst>
            <a:ext uri="{FF2B5EF4-FFF2-40B4-BE49-F238E27FC236}">
              <a16:creationId xmlns:a16="http://schemas.microsoft.com/office/drawing/2014/main" id="{7B41FD0D-9DB5-4A9F-BA8F-80C460F975CE}"/>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8" name="Text Box 32" hidden="1">
          <a:extLst>
            <a:ext uri="{FF2B5EF4-FFF2-40B4-BE49-F238E27FC236}">
              <a16:creationId xmlns:a16="http://schemas.microsoft.com/office/drawing/2014/main" id="{3147E6DF-DE98-4625-8906-34369A0DAA86}"/>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9" name="Text Box 37" hidden="1">
          <a:extLst>
            <a:ext uri="{FF2B5EF4-FFF2-40B4-BE49-F238E27FC236}">
              <a16:creationId xmlns:a16="http://schemas.microsoft.com/office/drawing/2014/main" id="{BB579CF4-5CCE-4A4F-99AC-0F2191A62E41}"/>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40" name="Text Box 36" hidden="1">
          <a:extLst>
            <a:ext uri="{FF2B5EF4-FFF2-40B4-BE49-F238E27FC236}">
              <a16:creationId xmlns:a16="http://schemas.microsoft.com/office/drawing/2014/main" id="{C7EDD65B-C8A6-4EEF-909E-76DF1A9AF09C}"/>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1" name="Text Box 35" hidden="1">
          <a:extLst>
            <a:ext uri="{FF2B5EF4-FFF2-40B4-BE49-F238E27FC236}">
              <a16:creationId xmlns:a16="http://schemas.microsoft.com/office/drawing/2014/main" id="{1DB52A29-EFBC-48AA-AB56-07FE8333013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2" name="Text Box 40" hidden="1">
          <a:extLst>
            <a:ext uri="{FF2B5EF4-FFF2-40B4-BE49-F238E27FC236}">
              <a16:creationId xmlns:a16="http://schemas.microsoft.com/office/drawing/2014/main" id="{F5AB0263-B488-4410-B659-4C20BB989884}"/>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3" name="Text Box 39" hidden="1">
          <a:extLst>
            <a:ext uri="{FF2B5EF4-FFF2-40B4-BE49-F238E27FC236}">
              <a16:creationId xmlns:a16="http://schemas.microsoft.com/office/drawing/2014/main" id="{04204A27-CB98-40B9-A0B1-7FB76D704548}"/>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4" name="Text Box 38" hidden="1">
          <a:extLst>
            <a:ext uri="{FF2B5EF4-FFF2-40B4-BE49-F238E27FC236}">
              <a16:creationId xmlns:a16="http://schemas.microsoft.com/office/drawing/2014/main" id="{46862D14-01A9-4A81-9886-78D81D09DCE8}"/>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5" name="Text Box 43" hidden="1">
          <a:extLst>
            <a:ext uri="{FF2B5EF4-FFF2-40B4-BE49-F238E27FC236}">
              <a16:creationId xmlns:a16="http://schemas.microsoft.com/office/drawing/2014/main" id="{16F26580-6DC3-4729-9AF7-82D5683A3F7B}"/>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6" name="Text Box 42" hidden="1">
          <a:extLst>
            <a:ext uri="{FF2B5EF4-FFF2-40B4-BE49-F238E27FC236}">
              <a16:creationId xmlns:a16="http://schemas.microsoft.com/office/drawing/2014/main" id="{7626AD3E-4FA6-4822-98F7-5102A2CA2100}"/>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7" name="Text Box 41" hidden="1">
          <a:extLst>
            <a:ext uri="{FF2B5EF4-FFF2-40B4-BE49-F238E27FC236}">
              <a16:creationId xmlns:a16="http://schemas.microsoft.com/office/drawing/2014/main" id="{442CEB52-52C7-47DF-9850-10C696C19717}"/>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48" name="Text Box 46" hidden="1">
          <a:extLst>
            <a:ext uri="{FF2B5EF4-FFF2-40B4-BE49-F238E27FC236}">
              <a16:creationId xmlns:a16="http://schemas.microsoft.com/office/drawing/2014/main" id="{FD5E7D07-4FBB-48E5-82AE-2AC8416A9EBF}"/>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49" name="Text Box 45" hidden="1">
          <a:extLst>
            <a:ext uri="{FF2B5EF4-FFF2-40B4-BE49-F238E27FC236}">
              <a16:creationId xmlns:a16="http://schemas.microsoft.com/office/drawing/2014/main" id="{1AD3B64E-D57C-44D4-8AAE-13895C8911C9}"/>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0" name="Text Box 44" hidden="1">
          <a:extLst>
            <a:ext uri="{FF2B5EF4-FFF2-40B4-BE49-F238E27FC236}">
              <a16:creationId xmlns:a16="http://schemas.microsoft.com/office/drawing/2014/main" id="{4490B07B-D57B-4A93-988B-4BD8FDB61CEC}"/>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51" name="Text Box 49" hidden="1">
          <a:extLst>
            <a:ext uri="{FF2B5EF4-FFF2-40B4-BE49-F238E27FC236}">
              <a16:creationId xmlns:a16="http://schemas.microsoft.com/office/drawing/2014/main" id="{C9DDB686-1F24-4D72-A9C9-2334C8A3C108}"/>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52" name="Text Box 48" hidden="1">
          <a:extLst>
            <a:ext uri="{FF2B5EF4-FFF2-40B4-BE49-F238E27FC236}">
              <a16:creationId xmlns:a16="http://schemas.microsoft.com/office/drawing/2014/main" id="{5B2DB892-CAD0-4DE7-8A41-370063B239FD}"/>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3" name="Text Box 47" hidden="1">
          <a:extLst>
            <a:ext uri="{FF2B5EF4-FFF2-40B4-BE49-F238E27FC236}">
              <a16:creationId xmlns:a16="http://schemas.microsoft.com/office/drawing/2014/main" id="{DEA64C0F-F4BA-495D-81F4-54FCAF5A3C51}"/>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1468</xdr:colOff>
      <xdr:row>85</xdr:row>
      <xdr:rowOff>50560</xdr:rowOff>
    </xdr:from>
    <xdr:to>
      <xdr:col>8</xdr:col>
      <xdr:colOff>6858</xdr:colOff>
      <xdr:row>85</xdr:row>
      <xdr:rowOff>50560</xdr:rowOff>
    </xdr:to>
    <xdr:sp macro="" textlink="">
      <xdr:nvSpPr>
        <xdr:cNvPr id="54" name="Text Box 52" hidden="1">
          <a:extLst>
            <a:ext uri="{FF2B5EF4-FFF2-40B4-BE49-F238E27FC236}">
              <a16:creationId xmlns:a16="http://schemas.microsoft.com/office/drawing/2014/main" id="{9707ED17-E3BC-4F29-B027-373CE855FFB0}"/>
            </a:ext>
          </a:extLst>
        </xdr:cNvPr>
        <xdr:cNvSpPr txBox="1">
          <a:spLocks noChangeArrowheads="1"/>
        </xdr:cNvSpPr>
      </xdr:nvSpPr>
      <xdr:spPr bwMode="auto">
        <a:xfrm>
          <a:off x="8991015" y="18791091"/>
          <a:ext cx="159475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703126</xdr:colOff>
      <xdr:row>85</xdr:row>
      <xdr:rowOff>50560</xdr:rowOff>
    </xdr:from>
    <xdr:to>
      <xdr:col>10</xdr:col>
      <xdr:colOff>522151</xdr:colOff>
      <xdr:row>85</xdr:row>
      <xdr:rowOff>50560</xdr:rowOff>
    </xdr:to>
    <xdr:sp macro="" textlink="">
      <xdr:nvSpPr>
        <xdr:cNvPr id="55" name="Text Box 51" hidden="1">
          <a:extLst>
            <a:ext uri="{FF2B5EF4-FFF2-40B4-BE49-F238E27FC236}">
              <a16:creationId xmlns:a16="http://schemas.microsoft.com/office/drawing/2014/main" id="{1C78F84C-943B-4F0F-B2F0-BD6FEC6D489D}"/>
            </a:ext>
          </a:extLst>
        </xdr:cNvPr>
        <xdr:cNvSpPr txBox="1">
          <a:spLocks noChangeArrowheads="1"/>
        </xdr:cNvSpPr>
      </xdr:nvSpPr>
      <xdr:spPr bwMode="auto">
        <a:xfrm>
          <a:off x="1130501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4200599</xdr:colOff>
      <xdr:row>36</xdr:row>
      <xdr:rowOff>122984</xdr:rowOff>
    </xdr:to>
    <xdr:sp macro="" textlink="">
      <xdr:nvSpPr>
        <xdr:cNvPr id="56" name="Text Box 50" hidden="1">
          <a:extLst>
            <a:ext uri="{FF2B5EF4-FFF2-40B4-BE49-F238E27FC236}">
              <a16:creationId xmlns:a16="http://schemas.microsoft.com/office/drawing/2014/main" id="{185EF336-AC13-4722-9939-FC3E96CBC160}"/>
            </a:ext>
          </a:extLst>
        </xdr:cNvPr>
        <xdr:cNvSpPr txBox="1">
          <a:spLocks noChangeArrowheads="1"/>
        </xdr:cNvSpPr>
      </xdr:nvSpPr>
      <xdr:spPr bwMode="auto">
        <a:xfrm>
          <a:off x="3384550" y="6759388"/>
          <a:ext cx="1568524"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763639</xdr:colOff>
      <xdr:row>31</xdr:row>
      <xdr:rowOff>153520</xdr:rowOff>
    </xdr:to>
    <xdr:sp macro="" textlink="">
      <xdr:nvSpPr>
        <xdr:cNvPr id="57" name="Text Box 53" hidden="1">
          <a:extLst>
            <a:ext uri="{FF2B5EF4-FFF2-40B4-BE49-F238E27FC236}">
              <a16:creationId xmlns:a16="http://schemas.microsoft.com/office/drawing/2014/main" id="{1AACBF53-CDCC-48E6-AE66-DE6F71A7C6C0}"/>
            </a:ext>
          </a:extLst>
        </xdr:cNvPr>
        <xdr:cNvSpPr txBox="1">
          <a:spLocks noChangeArrowheads="1"/>
        </xdr:cNvSpPr>
      </xdr:nvSpPr>
      <xdr:spPr bwMode="auto">
        <a:xfrm>
          <a:off x="16424275" y="5314576"/>
          <a:ext cx="1345037" cy="7653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763639</xdr:colOff>
      <xdr:row>28</xdr:row>
      <xdr:rowOff>115047</xdr:rowOff>
    </xdr:to>
    <xdr:sp macro="" textlink="">
      <xdr:nvSpPr>
        <xdr:cNvPr id="58" name="Text Box 54" hidden="1">
          <a:extLst>
            <a:ext uri="{FF2B5EF4-FFF2-40B4-BE49-F238E27FC236}">
              <a16:creationId xmlns:a16="http://schemas.microsoft.com/office/drawing/2014/main" id="{99AC66A4-4D6D-4840-9AB0-347F45077448}"/>
            </a:ext>
          </a:extLst>
        </xdr:cNvPr>
        <xdr:cNvSpPr txBox="1">
          <a:spLocks noChangeArrowheads="1"/>
        </xdr:cNvSpPr>
      </xdr:nvSpPr>
      <xdr:spPr bwMode="auto">
        <a:xfrm>
          <a:off x="16424275" y="4563036"/>
          <a:ext cx="1345037" cy="8340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155137</xdr:rowOff>
    </xdr:to>
    <xdr:sp macro="" textlink="">
      <xdr:nvSpPr>
        <xdr:cNvPr id="59" name="Text Box 56" hidden="1">
          <a:extLst>
            <a:ext uri="{FF2B5EF4-FFF2-40B4-BE49-F238E27FC236}">
              <a16:creationId xmlns:a16="http://schemas.microsoft.com/office/drawing/2014/main" id="{27122D55-4D32-496C-9D26-5E0B67120E36}"/>
            </a:ext>
          </a:extLst>
        </xdr:cNvPr>
        <xdr:cNvSpPr txBox="1">
          <a:spLocks noChangeArrowheads="1"/>
        </xdr:cNvSpPr>
      </xdr:nvSpPr>
      <xdr:spPr bwMode="auto">
        <a:xfrm>
          <a:off x="17935575" y="17366091"/>
          <a:ext cx="1381867" cy="13422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0" name="Text Box 62" hidden="1">
          <a:extLst>
            <a:ext uri="{FF2B5EF4-FFF2-40B4-BE49-F238E27FC236}">
              <a16:creationId xmlns:a16="http://schemas.microsoft.com/office/drawing/2014/main" id="{6028E8AF-8310-482F-BE50-EE9BD91AA8EA}"/>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1" name="Text Box 61" hidden="1">
          <a:extLst>
            <a:ext uri="{FF2B5EF4-FFF2-40B4-BE49-F238E27FC236}">
              <a16:creationId xmlns:a16="http://schemas.microsoft.com/office/drawing/2014/main" id="{9F4D4BD1-FFFD-4CD2-99A3-3F61C5FE6F98}"/>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2" name="Text Box 60" hidden="1">
          <a:extLst>
            <a:ext uri="{FF2B5EF4-FFF2-40B4-BE49-F238E27FC236}">
              <a16:creationId xmlns:a16="http://schemas.microsoft.com/office/drawing/2014/main" id="{E86438DB-4788-4AA7-92B8-4FC3E102831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3" name="Text Box 59" hidden="1">
          <a:extLst>
            <a:ext uri="{FF2B5EF4-FFF2-40B4-BE49-F238E27FC236}">
              <a16:creationId xmlns:a16="http://schemas.microsoft.com/office/drawing/2014/main" id="{C654AE99-02DC-4004-B9EB-CD8E53A52B9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64" name="Text Box 58" hidden="1">
          <a:extLst>
            <a:ext uri="{FF2B5EF4-FFF2-40B4-BE49-F238E27FC236}">
              <a16:creationId xmlns:a16="http://schemas.microsoft.com/office/drawing/2014/main" id="{D75468F9-D413-49A6-BE8D-FB64AAA0C03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65" name="Text Box 57" hidden="1">
          <a:extLst>
            <a:ext uri="{FF2B5EF4-FFF2-40B4-BE49-F238E27FC236}">
              <a16:creationId xmlns:a16="http://schemas.microsoft.com/office/drawing/2014/main" id="{725DCDDC-4AA1-4A40-B5E7-AF6E9509F58E}"/>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6" name="Text Box 68" hidden="1">
          <a:extLst>
            <a:ext uri="{FF2B5EF4-FFF2-40B4-BE49-F238E27FC236}">
              <a16:creationId xmlns:a16="http://schemas.microsoft.com/office/drawing/2014/main" id="{3519ECD4-973B-40FF-9AFE-0EE797B1D33C}"/>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7" name="Text Box 67" hidden="1">
          <a:extLst>
            <a:ext uri="{FF2B5EF4-FFF2-40B4-BE49-F238E27FC236}">
              <a16:creationId xmlns:a16="http://schemas.microsoft.com/office/drawing/2014/main" id="{5A30CA96-087C-4B04-8C87-D74E5876D4FC}"/>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8" name="Text Box 66" hidden="1">
          <a:extLst>
            <a:ext uri="{FF2B5EF4-FFF2-40B4-BE49-F238E27FC236}">
              <a16:creationId xmlns:a16="http://schemas.microsoft.com/office/drawing/2014/main" id="{3A9679D4-F943-472A-A2C1-7E7C68EE3EA1}"/>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9" name="Text Box 65" hidden="1">
          <a:extLst>
            <a:ext uri="{FF2B5EF4-FFF2-40B4-BE49-F238E27FC236}">
              <a16:creationId xmlns:a16="http://schemas.microsoft.com/office/drawing/2014/main" id="{5059A9CE-7AC4-4334-93BE-938E0012D805}"/>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0" name="Text Box 64" hidden="1">
          <a:extLst>
            <a:ext uri="{FF2B5EF4-FFF2-40B4-BE49-F238E27FC236}">
              <a16:creationId xmlns:a16="http://schemas.microsoft.com/office/drawing/2014/main" id="{63A6A6F3-1F46-42D3-A9E7-75B8690AFAE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71" name="Text Box 63" hidden="1">
          <a:extLst>
            <a:ext uri="{FF2B5EF4-FFF2-40B4-BE49-F238E27FC236}">
              <a16:creationId xmlns:a16="http://schemas.microsoft.com/office/drawing/2014/main" id="{25454F2E-A0E8-4B3F-8CAC-E8800CF769AC}"/>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2" name="Text Box 86" hidden="1">
          <a:extLst>
            <a:ext uri="{FF2B5EF4-FFF2-40B4-BE49-F238E27FC236}">
              <a16:creationId xmlns:a16="http://schemas.microsoft.com/office/drawing/2014/main" id="{E8E09BAD-0D56-4EEE-A6B1-323EE7C97DD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3" name="Text Box 85" hidden="1">
          <a:extLst>
            <a:ext uri="{FF2B5EF4-FFF2-40B4-BE49-F238E27FC236}">
              <a16:creationId xmlns:a16="http://schemas.microsoft.com/office/drawing/2014/main" id="{0E79090E-EB1E-419C-8C09-F98F4269A6D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74" name="Text Box 84" hidden="1">
          <a:extLst>
            <a:ext uri="{FF2B5EF4-FFF2-40B4-BE49-F238E27FC236}">
              <a16:creationId xmlns:a16="http://schemas.microsoft.com/office/drawing/2014/main" id="{91EFF052-F785-4ECD-BF59-FF038FC63FFE}"/>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75" name="Text Box 83" hidden="1">
          <a:extLst>
            <a:ext uri="{FF2B5EF4-FFF2-40B4-BE49-F238E27FC236}">
              <a16:creationId xmlns:a16="http://schemas.microsoft.com/office/drawing/2014/main" id="{9B110E89-0755-4BD6-B4E0-17BC53ECB89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6" name="Text Box 82" hidden="1">
          <a:extLst>
            <a:ext uri="{FF2B5EF4-FFF2-40B4-BE49-F238E27FC236}">
              <a16:creationId xmlns:a16="http://schemas.microsoft.com/office/drawing/2014/main" id="{C82BBD84-CEEB-448A-B204-C464ACF4A97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77" name="Text Box 81" hidden="1">
          <a:extLst>
            <a:ext uri="{FF2B5EF4-FFF2-40B4-BE49-F238E27FC236}">
              <a16:creationId xmlns:a16="http://schemas.microsoft.com/office/drawing/2014/main" id="{7E1FCECD-58A6-4365-AE10-4ED921A6A8F0}"/>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8" name="Text Box 80" hidden="1">
          <a:extLst>
            <a:ext uri="{FF2B5EF4-FFF2-40B4-BE49-F238E27FC236}">
              <a16:creationId xmlns:a16="http://schemas.microsoft.com/office/drawing/2014/main" id="{AF5FB31C-263D-4D5E-B8F1-B35AF9791013}"/>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9" name="Text Box 79" hidden="1">
          <a:extLst>
            <a:ext uri="{FF2B5EF4-FFF2-40B4-BE49-F238E27FC236}">
              <a16:creationId xmlns:a16="http://schemas.microsoft.com/office/drawing/2014/main" id="{6A90470A-FE37-417E-B47B-3CB3A4099BE1}"/>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0" name="Text Box 78" hidden="1">
          <a:extLst>
            <a:ext uri="{FF2B5EF4-FFF2-40B4-BE49-F238E27FC236}">
              <a16:creationId xmlns:a16="http://schemas.microsoft.com/office/drawing/2014/main" id="{C129D15A-4835-46BF-BE3E-E2F61EF76400}"/>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1" name="Text Box 77" hidden="1">
          <a:extLst>
            <a:ext uri="{FF2B5EF4-FFF2-40B4-BE49-F238E27FC236}">
              <a16:creationId xmlns:a16="http://schemas.microsoft.com/office/drawing/2014/main" id="{D8E2B37A-1C9A-4BAD-8310-2D78FAE559F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2" name="Text Box 76" hidden="1">
          <a:extLst>
            <a:ext uri="{FF2B5EF4-FFF2-40B4-BE49-F238E27FC236}">
              <a16:creationId xmlns:a16="http://schemas.microsoft.com/office/drawing/2014/main" id="{04DA3957-565C-4F19-B812-4B910374205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3" name="Text Box 75" hidden="1">
          <a:extLst>
            <a:ext uri="{FF2B5EF4-FFF2-40B4-BE49-F238E27FC236}">
              <a16:creationId xmlns:a16="http://schemas.microsoft.com/office/drawing/2014/main" id="{F48C2320-0703-476E-8505-3E795B6B92D1}"/>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84" name="Text Box 74" hidden="1">
          <a:extLst>
            <a:ext uri="{FF2B5EF4-FFF2-40B4-BE49-F238E27FC236}">
              <a16:creationId xmlns:a16="http://schemas.microsoft.com/office/drawing/2014/main" id="{27CCDA49-B5F4-4569-B068-B9A8DE0E371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85" name="Text Box 73" hidden="1">
          <a:extLst>
            <a:ext uri="{FF2B5EF4-FFF2-40B4-BE49-F238E27FC236}">
              <a16:creationId xmlns:a16="http://schemas.microsoft.com/office/drawing/2014/main" id="{DC0E5855-B6F0-4629-8194-6229891B990C}"/>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6" name="Text Box 72" hidden="1">
          <a:extLst>
            <a:ext uri="{FF2B5EF4-FFF2-40B4-BE49-F238E27FC236}">
              <a16:creationId xmlns:a16="http://schemas.microsoft.com/office/drawing/2014/main" id="{20A705E3-93C8-451F-AE71-2F1F7D4C91D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7" name="Text Box 71" hidden="1">
          <a:extLst>
            <a:ext uri="{FF2B5EF4-FFF2-40B4-BE49-F238E27FC236}">
              <a16:creationId xmlns:a16="http://schemas.microsoft.com/office/drawing/2014/main" id="{D989AA20-0A69-4EDE-AAA8-F9C6940AA83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8" name="Text Box 70" hidden="1">
          <a:extLst>
            <a:ext uri="{FF2B5EF4-FFF2-40B4-BE49-F238E27FC236}">
              <a16:creationId xmlns:a16="http://schemas.microsoft.com/office/drawing/2014/main" id="{06CFADB1-8A78-42EB-B9AA-3722F1E9CE6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9" name="Text Box 69" hidden="1">
          <a:extLst>
            <a:ext uri="{FF2B5EF4-FFF2-40B4-BE49-F238E27FC236}">
              <a16:creationId xmlns:a16="http://schemas.microsoft.com/office/drawing/2014/main" id="{627F20CE-A3C1-4A97-8DF7-B059389C4842}"/>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0" name="Text Box 104" hidden="1">
          <a:extLst>
            <a:ext uri="{FF2B5EF4-FFF2-40B4-BE49-F238E27FC236}">
              <a16:creationId xmlns:a16="http://schemas.microsoft.com/office/drawing/2014/main" id="{E9E84B01-29C2-4A62-A670-38DD4222331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1" name="Text Box 103" hidden="1">
          <a:extLst>
            <a:ext uri="{FF2B5EF4-FFF2-40B4-BE49-F238E27FC236}">
              <a16:creationId xmlns:a16="http://schemas.microsoft.com/office/drawing/2014/main" id="{88BEBD20-4FBA-4A89-8DD5-39FAD111D4A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2" name="Text Box 102" hidden="1">
          <a:extLst>
            <a:ext uri="{FF2B5EF4-FFF2-40B4-BE49-F238E27FC236}">
              <a16:creationId xmlns:a16="http://schemas.microsoft.com/office/drawing/2014/main" id="{F14918DF-6AEB-42E6-863D-8C594B15D16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3" name="Text Box 101" hidden="1">
          <a:extLst>
            <a:ext uri="{FF2B5EF4-FFF2-40B4-BE49-F238E27FC236}">
              <a16:creationId xmlns:a16="http://schemas.microsoft.com/office/drawing/2014/main" id="{39F26558-3152-471F-91BA-153D86F3775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94" name="Text Box 100" hidden="1">
          <a:extLst>
            <a:ext uri="{FF2B5EF4-FFF2-40B4-BE49-F238E27FC236}">
              <a16:creationId xmlns:a16="http://schemas.microsoft.com/office/drawing/2014/main" id="{8A9D9558-DF33-4429-9617-D0E6DD2F48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95" name="Text Box 99" hidden="1">
          <a:extLst>
            <a:ext uri="{FF2B5EF4-FFF2-40B4-BE49-F238E27FC236}">
              <a16:creationId xmlns:a16="http://schemas.microsoft.com/office/drawing/2014/main" id="{657F6E6B-AF23-4BCD-B6A8-26AD805809A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6" name="Text Box 98" hidden="1">
          <a:extLst>
            <a:ext uri="{FF2B5EF4-FFF2-40B4-BE49-F238E27FC236}">
              <a16:creationId xmlns:a16="http://schemas.microsoft.com/office/drawing/2014/main" id="{EA439995-1E96-49D9-9AC1-952DE1521C7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7" name="Text Box 97" hidden="1">
          <a:extLst>
            <a:ext uri="{FF2B5EF4-FFF2-40B4-BE49-F238E27FC236}">
              <a16:creationId xmlns:a16="http://schemas.microsoft.com/office/drawing/2014/main" id="{BFF2C50D-1063-42DD-9060-7602A60AC580}"/>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8" name="Text Box 96" hidden="1">
          <a:extLst>
            <a:ext uri="{FF2B5EF4-FFF2-40B4-BE49-F238E27FC236}">
              <a16:creationId xmlns:a16="http://schemas.microsoft.com/office/drawing/2014/main" id="{B2689C0D-F18D-4E51-994E-25065883523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9" name="Text Box 95" hidden="1">
          <a:extLst>
            <a:ext uri="{FF2B5EF4-FFF2-40B4-BE49-F238E27FC236}">
              <a16:creationId xmlns:a16="http://schemas.microsoft.com/office/drawing/2014/main" id="{6A998CB4-E69F-4F81-B737-BEC530E644FB}"/>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0" name="Text Box 94" hidden="1">
          <a:extLst>
            <a:ext uri="{FF2B5EF4-FFF2-40B4-BE49-F238E27FC236}">
              <a16:creationId xmlns:a16="http://schemas.microsoft.com/office/drawing/2014/main" id="{1A20A847-4912-4134-A690-DEFD2E79149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1" name="Text Box 93" hidden="1">
          <a:extLst>
            <a:ext uri="{FF2B5EF4-FFF2-40B4-BE49-F238E27FC236}">
              <a16:creationId xmlns:a16="http://schemas.microsoft.com/office/drawing/2014/main" id="{DE4B78B4-1287-4A82-89AF-97DCC6ACF300}"/>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2" name="Text Box 92" hidden="1">
          <a:extLst>
            <a:ext uri="{FF2B5EF4-FFF2-40B4-BE49-F238E27FC236}">
              <a16:creationId xmlns:a16="http://schemas.microsoft.com/office/drawing/2014/main" id="{7A2237AF-FA2D-418B-B9C7-A9A4540D984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3" name="Text Box 91" hidden="1">
          <a:extLst>
            <a:ext uri="{FF2B5EF4-FFF2-40B4-BE49-F238E27FC236}">
              <a16:creationId xmlns:a16="http://schemas.microsoft.com/office/drawing/2014/main" id="{230E9036-348D-4186-BAC7-8A255B1C22B7}"/>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04" name="Text Box 90" hidden="1">
          <a:extLst>
            <a:ext uri="{FF2B5EF4-FFF2-40B4-BE49-F238E27FC236}">
              <a16:creationId xmlns:a16="http://schemas.microsoft.com/office/drawing/2014/main" id="{9A9CAF44-9132-419F-8EA9-1388CB24DFE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05" name="Text Box 89" hidden="1">
          <a:extLst>
            <a:ext uri="{FF2B5EF4-FFF2-40B4-BE49-F238E27FC236}">
              <a16:creationId xmlns:a16="http://schemas.microsoft.com/office/drawing/2014/main" id="{06A1C27B-1E87-4A32-99D1-72230C1A01B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6" name="Text Box 88" hidden="1">
          <a:extLst>
            <a:ext uri="{FF2B5EF4-FFF2-40B4-BE49-F238E27FC236}">
              <a16:creationId xmlns:a16="http://schemas.microsoft.com/office/drawing/2014/main" id="{2D9F1411-3F13-4237-BAB1-44E444C28B5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7" name="Text Box 87" hidden="1">
          <a:extLst>
            <a:ext uri="{FF2B5EF4-FFF2-40B4-BE49-F238E27FC236}">
              <a16:creationId xmlns:a16="http://schemas.microsoft.com/office/drawing/2014/main" id="{3C205AC5-23E9-48CE-8129-69C4A9126529}"/>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8" name="Text Box 110" hidden="1">
          <a:extLst>
            <a:ext uri="{FF2B5EF4-FFF2-40B4-BE49-F238E27FC236}">
              <a16:creationId xmlns:a16="http://schemas.microsoft.com/office/drawing/2014/main" id="{CB7D790E-1F99-4283-805B-94A077F30715}"/>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9" name="Text Box 109" hidden="1">
          <a:extLst>
            <a:ext uri="{FF2B5EF4-FFF2-40B4-BE49-F238E27FC236}">
              <a16:creationId xmlns:a16="http://schemas.microsoft.com/office/drawing/2014/main" id="{DDABB981-AF01-4699-BB64-42C289DFA26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0" name="Text Box 108" hidden="1">
          <a:extLst>
            <a:ext uri="{FF2B5EF4-FFF2-40B4-BE49-F238E27FC236}">
              <a16:creationId xmlns:a16="http://schemas.microsoft.com/office/drawing/2014/main" id="{99DFC96A-66D2-40B0-893D-0D305212C81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1" name="Text Box 107" hidden="1">
          <a:extLst>
            <a:ext uri="{FF2B5EF4-FFF2-40B4-BE49-F238E27FC236}">
              <a16:creationId xmlns:a16="http://schemas.microsoft.com/office/drawing/2014/main" id="{1B8212ED-F562-4870-90DF-5AB7BD7BD8C4}"/>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2" name="Text Box 106" hidden="1">
          <a:extLst>
            <a:ext uri="{FF2B5EF4-FFF2-40B4-BE49-F238E27FC236}">
              <a16:creationId xmlns:a16="http://schemas.microsoft.com/office/drawing/2014/main" id="{B81D8F48-8510-4CF9-9006-5091CD59DF1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3" name="Text Box 105" hidden="1">
          <a:extLst>
            <a:ext uri="{FF2B5EF4-FFF2-40B4-BE49-F238E27FC236}">
              <a16:creationId xmlns:a16="http://schemas.microsoft.com/office/drawing/2014/main" id="{741AFE87-71BC-42A5-A699-7323407F8104}"/>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14" name="Text Box 116" hidden="1">
          <a:extLst>
            <a:ext uri="{FF2B5EF4-FFF2-40B4-BE49-F238E27FC236}">
              <a16:creationId xmlns:a16="http://schemas.microsoft.com/office/drawing/2014/main" id="{46720586-45AF-4F0E-A4B5-38C894A902CB}"/>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15" name="Text Box 115" hidden="1">
          <a:extLst>
            <a:ext uri="{FF2B5EF4-FFF2-40B4-BE49-F238E27FC236}">
              <a16:creationId xmlns:a16="http://schemas.microsoft.com/office/drawing/2014/main" id="{70808BFA-85E3-4E75-9684-03F428667D3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6" name="Text Box 114" hidden="1">
          <a:extLst>
            <a:ext uri="{FF2B5EF4-FFF2-40B4-BE49-F238E27FC236}">
              <a16:creationId xmlns:a16="http://schemas.microsoft.com/office/drawing/2014/main" id="{D4104070-560B-4C0D-B542-D1D9F21AB3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7" name="Text Box 113" hidden="1">
          <a:extLst>
            <a:ext uri="{FF2B5EF4-FFF2-40B4-BE49-F238E27FC236}">
              <a16:creationId xmlns:a16="http://schemas.microsoft.com/office/drawing/2014/main" id="{28C4EBA9-F93D-49D4-AAE9-0BE2E1C5854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8" name="Text Box 112" hidden="1">
          <a:extLst>
            <a:ext uri="{FF2B5EF4-FFF2-40B4-BE49-F238E27FC236}">
              <a16:creationId xmlns:a16="http://schemas.microsoft.com/office/drawing/2014/main" id="{5D90D618-C800-4571-9F2D-FC2389FBA20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9" name="Text Box 111" hidden="1">
          <a:extLst>
            <a:ext uri="{FF2B5EF4-FFF2-40B4-BE49-F238E27FC236}">
              <a16:creationId xmlns:a16="http://schemas.microsoft.com/office/drawing/2014/main" id="{6D403D7D-0335-4684-AC3F-737FF86B3E2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0" name="Text Box 122" hidden="1">
          <a:extLst>
            <a:ext uri="{FF2B5EF4-FFF2-40B4-BE49-F238E27FC236}">
              <a16:creationId xmlns:a16="http://schemas.microsoft.com/office/drawing/2014/main" id="{D92B1F6D-3BB6-4BE6-9968-C7D2C7EB703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1" name="Text Box 121" hidden="1">
          <a:extLst>
            <a:ext uri="{FF2B5EF4-FFF2-40B4-BE49-F238E27FC236}">
              <a16:creationId xmlns:a16="http://schemas.microsoft.com/office/drawing/2014/main" id="{6D12F573-2094-4FB4-89D2-D547451EC212}"/>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2" name="Text Box 120" hidden="1">
          <a:extLst>
            <a:ext uri="{FF2B5EF4-FFF2-40B4-BE49-F238E27FC236}">
              <a16:creationId xmlns:a16="http://schemas.microsoft.com/office/drawing/2014/main" id="{AD72E19A-83F0-4595-A1F5-2863915AC469}"/>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3" name="Text Box 119" hidden="1">
          <a:extLst>
            <a:ext uri="{FF2B5EF4-FFF2-40B4-BE49-F238E27FC236}">
              <a16:creationId xmlns:a16="http://schemas.microsoft.com/office/drawing/2014/main" id="{0579671D-2EF8-4A0B-87FC-C4731E56F7A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24" name="Text Box 118" hidden="1">
          <a:extLst>
            <a:ext uri="{FF2B5EF4-FFF2-40B4-BE49-F238E27FC236}">
              <a16:creationId xmlns:a16="http://schemas.microsoft.com/office/drawing/2014/main" id="{B6CFA056-A3F1-4B77-81BC-F6BE44907C7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25" name="Text Box 117" hidden="1">
          <a:extLst>
            <a:ext uri="{FF2B5EF4-FFF2-40B4-BE49-F238E27FC236}">
              <a16:creationId xmlns:a16="http://schemas.microsoft.com/office/drawing/2014/main" id="{6B1D4D1D-6D1B-4DC9-9E07-0A675682A08D}"/>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6" name="Text Box 128" hidden="1">
          <a:extLst>
            <a:ext uri="{FF2B5EF4-FFF2-40B4-BE49-F238E27FC236}">
              <a16:creationId xmlns:a16="http://schemas.microsoft.com/office/drawing/2014/main" id="{94A714CC-5E78-480B-804C-B48D007B2DA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7" name="Text Box 127" hidden="1">
          <a:extLst>
            <a:ext uri="{FF2B5EF4-FFF2-40B4-BE49-F238E27FC236}">
              <a16:creationId xmlns:a16="http://schemas.microsoft.com/office/drawing/2014/main" id="{D436D0A3-1F76-489C-B80B-8DCF7DF09D76}"/>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8" name="Text Box 126" hidden="1">
          <a:extLst>
            <a:ext uri="{FF2B5EF4-FFF2-40B4-BE49-F238E27FC236}">
              <a16:creationId xmlns:a16="http://schemas.microsoft.com/office/drawing/2014/main" id="{282B7E0F-5863-4DF2-BE9E-1EE428003B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9" name="Text Box 125" hidden="1">
          <a:extLst>
            <a:ext uri="{FF2B5EF4-FFF2-40B4-BE49-F238E27FC236}">
              <a16:creationId xmlns:a16="http://schemas.microsoft.com/office/drawing/2014/main" id="{2EEF4852-E46E-4823-9545-00851D115AE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0" name="Text Box 124" hidden="1">
          <a:extLst>
            <a:ext uri="{FF2B5EF4-FFF2-40B4-BE49-F238E27FC236}">
              <a16:creationId xmlns:a16="http://schemas.microsoft.com/office/drawing/2014/main" id="{96C33DEB-3691-4AFE-997A-678F836CE605}"/>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1" name="Text Box 123" hidden="1">
          <a:extLst>
            <a:ext uri="{FF2B5EF4-FFF2-40B4-BE49-F238E27FC236}">
              <a16:creationId xmlns:a16="http://schemas.microsoft.com/office/drawing/2014/main" id="{2F2076EE-3D1A-42B5-A860-74B170ECC55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32" name="Text Box 134" hidden="1">
          <a:extLst>
            <a:ext uri="{FF2B5EF4-FFF2-40B4-BE49-F238E27FC236}">
              <a16:creationId xmlns:a16="http://schemas.microsoft.com/office/drawing/2014/main" id="{60A400AE-D34B-4914-A86B-C57A90EF7FA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33" name="Text Box 133" hidden="1">
          <a:extLst>
            <a:ext uri="{FF2B5EF4-FFF2-40B4-BE49-F238E27FC236}">
              <a16:creationId xmlns:a16="http://schemas.microsoft.com/office/drawing/2014/main" id="{1D3E26AD-E9B1-4581-A4E9-83CC6DF1218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34" name="Text Box 132" hidden="1">
          <a:extLst>
            <a:ext uri="{FF2B5EF4-FFF2-40B4-BE49-F238E27FC236}">
              <a16:creationId xmlns:a16="http://schemas.microsoft.com/office/drawing/2014/main" id="{54AE923D-0A7C-4B71-B6F0-9A576EFFDB7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35" name="Text Box 131" hidden="1">
          <a:extLst>
            <a:ext uri="{FF2B5EF4-FFF2-40B4-BE49-F238E27FC236}">
              <a16:creationId xmlns:a16="http://schemas.microsoft.com/office/drawing/2014/main" id="{2860915D-1648-49B0-A3BF-4723E04D664A}"/>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6" name="Text Box 130" hidden="1">
          <a:extLst>
            <a:ext uri="{FF2B5EF4-FFF2-40B4-BE49-F238E27FC236}">
              <a16:creationId xmlns:a16="http://schemas.microsoft.com/office/drawing/2014/main" id="{5A2F794F-E0E0-450F-9E8A-A80D90EA02A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7" name="Text Box 129" hidden="1">
          <a:extLst>
            <a:ext uri="{FF2B5EF4-FFF2-40B4-BE49-F238E27FC236}">
              <a16:creationId xmlns:a16="http://schemas.microsoft.com/office/drawing/2014/main" id="{5F7B6042-A339-4B64-9AA1-909212B4B5E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38" name="Text Box 140" hidden="1">
          <a:extLst>
            <a:ext uri="{FF2B5EF4-FFF2-40B4-BE49-F238E27FC236}">
              <a16:creationId xmlns:a16="http://schemas.microsoft.com/office/drawing/2014/main" id="{DEDF39B6-1FE4-4D85-88D5-5647B7575FB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39" name="Text Box 139" hidden="1">
          <a:extLst>
            <a:ext uri="{FF2B5EF4-FFF2-40B4-BE49-F238E27FC236}">
              <a16:creationId xmlns:a16="http://schemas.microsoft.com/office/drawing/2014/main" id="{D35D6C79-4041-4424-A11E-933CBF4E2D1A}"/>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0" name="Text Box 137" hidden="1">
          <a:extLst>
            <a:ext uri="{FF2B5EF4-FFF2-40B4-BE49-F238E27FC236}">
              <a16:creationId xmlns:a16="http://schemas.microsoft.com/office/drawing/2014/main" id="{3129022D-2902-445B-8D19-F54376034BD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1" name="Text Box 136" hidden="1">
          <a:extLst>
            <a:ext uri="{FF2B5EF4-FFF2-40B4-BE49-F238E27FC236}">
              <a16:creationId xmlns:a16="http://schemas.microsoft.com/office/drawing/2014/main" id="{B3A50CD5-BCEB-442E-9BCF-5057BF582B1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2" name="Text Box 135" hidden="1">
          <a:extLst>
            <a:ext uri="{FF2B5EF4-FFF2-40B4-BE49-F238E27FC236}">
              <a16:creationId xmlns:a16="http://schemas.microsoft.com/office/drawing/2014/main" id="{3A499909-BB3C-46ED-ABC3-C6AE4C0A5971}"/>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43" name="Text Box 141" hidden="1">
          <a:extLst>
            <a:ext uri="{FF2B5EF4-FFF2-40B4-BE49-F238E27FC236}">
              <a16:creationId xmlns:a16="http://schemas.microsoft.com/office/drawing/2014/main" id="{15295C4A-A305-4C39-976D-00D1E6CB71DB}"/>
            </a:ext>
          </a:extLst>
        </xdr:cNvPr>
        <xdr:cNvSpPr txBox="1">
          <a:spLocks noChangeArrowheads="1"/>
        </xdr:cNvSpPr>
      </xdr:nvSpPr>
      <xdr:spPr bwMode="auto">
        <a:xfrm>
          <a:off x="18066492" y="3333750"/>
          <a:ext cx="1289050" cy="7530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44" name="Text Box 142" hidden="1">
          <a:extLst>
            <a:ext uri="{FF2B5EF4-FFF2-40B4-BE49-F238E27FC236}">
              <a16:creationId xmlns:a16="http://schemas.microsoft.com/office/drawing/2014/main" id="{E467389B-1AF0-46E3-9232-D50BCFE116E0}"/>
            </a:ext>
          </a:extLst>
        </xdr:cNvPr>
        <xdr:cNvSpPr txBox="1">
          <a:spLocks noChangeArrowheads="1"/>
        </xdr:cNvSpPr>
      </xdr:nvSpPr>
      <xdr:spPr bwMode="auto">
        <a:xfrm>
          <a:off x="4225471" y="613708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45" name="Text Box 7" hidden="1">
          <a:extLst>
            <a:ext uri="{FF2B5EF4-FFF2-40B4-BE49-F238E27FC236}">
              <a16:creationId xmlns:a16="http://schemas.microsoft.com/office/drawing/2014/main" id="{1B9F6CEB-AEEE-4E2F-8196-9F7F4D15F00A}"/>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46" name="Text Box 6" hidden="1">
          <a:extLst>
            <a:ext uri="{FF2B5EF4-FFF2-40B4-BE49-F238E27FC236}">
              <a16:creationId xmlns:a16="http://schemas.microsoft.com/office/drawing/2014/main" id="{08DC28C8-A284-4E77-BE3F-682EC806DF81}"/>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7" name="Text Box 5" hidden="1">
          <a:extLst>
            <a:ext uri="{FF2B5EF4-FFF2-40B4-BE49-F238E27FC236}">
              <a16:creationId xmlns:a16="http://schemas.microsoft.com/office/drawing/2014/main" id="{B940D84A-80A6-4CB5-B8D3-138107E4CBFC}"/>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8" name="Text Box 4" hidden="1">
          <a:extLst>
            <a:ext uri="{FF2B5EF4-FFF2-40B4-BE49-F238E27FC236}">
              <a16:creationId xmlns:a16="http://schemas.microsoft.com/office/drawing/2014/main" id="{3560799F-6F96-4BA1-9721-FE6CD61BDD2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9" name="Text Box 3" hidden="1">
          <a:extLst>
            <a:ext uri="{FF2B5EF4-FFF2-40B4-BE49-F238E27FC236}">
              <a16:creationId xmlns:a16="http://schemas.microsoft.com/office/drawing/2014/main" id="{7EF8C29F-3905-4789-BE5C-FBDF7AD929CB}"/>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0" name="Text Box 2" hidden="1">
          <a:extLst>
            <a:ext uri="{FF2B5EF4-FFF2-40B4-BE49-F238E27FC236}">
              <a16:creationId xmlns:a16="http://schemas.microsoft.com/office/drawing/2014/main" id="{462EC419-FF8C-4765-B03B-841BF3A66508}"/>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1" name="Text Box 1" hidden="1">
          <a:extLst>
            <a:ext uri="{FF2B5EF4-FFF2-40B4-BE49-F238E27FC236}">
              <a16:creationId xmlns:a16="http://schemas.microsoft.com/office/drawing/2014/main" id="{73BE6DCD-38B0-4301-BF92-CB6DE85C45FD}"/>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2" name="Text Box 14" hidden="1">
          <a:extLst>
            <a:ext uri="{FF2B5EF4-FFF2-40B4-BE49-F238E27FC236}">
              <a16:creationId xmlns:a16="http://schemas.microsoft.com/office/drawing/2014/main" id="{C356011A-5E44-44FC-88B5-72FE1B3B3AE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53" name="Text Box 13" hidden="1">
          <a:extLst>
            <a:ext uri="{FF2B5EF4-FFF2-40B4-BE49-F238E27FC236}">
              <a16:creationId xmlns:a16="http://schemas.microsoft.com/office/drawing/2014/main" id="{913490E5-9E7A-4E2B-BC44-F5E805647F10}"/>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54" name="Text Box 12" hidden="1">
          <a:extLst>
            <a:ext uri="{FF2B5EF4-FFF2-40B4-BE49-F238E27FC236}">
              <a16:creationId xmlns:a16="http://schemas.microsoft.com/office/drawing/2014/main" id="{462CF0FF-9894-4A70-9DD7-5DBF0ABDF80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55" name="Text Box 11" hidden="1">
          <a:extLst>
            <a:ext uri="{FF2B5EF4-FFF2-40B4-BE49-F238E27FC236}">
              <a16:creationId xmlns:a16="http://schemas.microsoft.com/office/drawing/2014/main" id="{67072118-2E93-49F6-9827-DE47E422385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56" name="Text Box 10" hidden="1">
          <a:extLst>
            <a:ext uri="{FF2B5EF4-FFF2-40B4-BE49-F238E27FC236}">
              <a16:creationId xmlns:a16="http://schemas.microsoft.com/office/drawing/2014/main" id="{C37B8B9D-24A5-41EB-AF03-204BA893B8A3}"/>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7" name="Text Box 9" hidden="1">
          <a:extLst>
            <a:ext uri="{FF2B5EF4-FFF2-40B4-BE49-F238E27FC236}">
              <a16:creationId xmlns:a16="http://schemas.microsoft.com/office/drawing/2014/main" id="{811E5EE5-C73E-466D-B85F-93C85B6424A3}"/>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8" name="Text Box 8" hidden="1">
          <a:extLst>
            <a:ext uri="{FF2B5EF4-FFF2-40B4-BE49-F238E27FC236}">
              <a16:creationId xmlns:a16="http://schemas.microsoft.com/office/drawing/2014/main" id="{7102F625-4BA0-4501-82AB-995863A46CF8}"/>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9" name="Text Box 21" hidden="1">
          <a:extLst>
            <a:ext uri="{FF2B5EF4-FFF2-40B4-BE49-F238E27FC236}">
              <a16:creationId xmlns:a16="http://schemas.microsoft.com/office/drawing/2014/main" id="{F064D310-CFE2-4EFF-B953-413B0697FFF7}"/>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60" name="Text Box 20" hidden="1">
          <a:extLst>
            <a:ext uri="{FF2B5EF4-FFF2-40B4-BE49-F238E27FC236}">
              <a16:creationId xmlns:a16="http://schemas.microsoft.com/office/drawing/2014/main" id="{6DCF086E-C16C-4A10-A8C5-9DC23C59E242}"/>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61" name="Text Box 19" hidden="1">
          <a:extLst>
            <a:ext uri="{FF2B5EF4-FFF2-40B4-BE49-F238E27FC236}">
              <a16:creationId xmlns:a16="http://schemas.microsoft.com/office/drawing/2014/main" id="{8DECFEBB-D1D9-46F8-BC85-54017049BE8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62" name="Text Box 18" hidden="1">
          <a:extLst>
            <a:ext uri="{FF2B5EF4-FFF2-40B4-BE49-F238E27FC236}">
              <a16:creationId xmlns:a16="http://schemas.microsoft.com/office/drawing/2014/main" id="{FA42CBF2-E4E8-4DEA-8AF5-CBC3D24ABF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63" name="Text Box 17" hidden="1">
          <a:extLst>
            <a:ext uri="{FF2B5EF4-FFF2-40B4-BE49-F238E27FC236}">
              <a16:creationId xmlns:a16="http://schemas.microsoft.com/office/drawing/2014/main" id="{3FD3D4B0-A152-40FD-96FE-9B830252EDD0}"/>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64" name="Text Box 16" hidden="1">
          <a:extLst>
            <a:ext uri="{FF2B5EF4-FFF2-40B4-BE49-F238E27FC236}">
              <a16:creationId xmlns:a16="http://schemas.microsoft.com/office/drawing/2014/main" id="{397BBE25-18E9-40AE-98B3-6ED150C327E6}"/>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65" name="Text Box 15" hidden="1">
          <a:extLst>
            <a:ext uri="{FF2B5EF4-FFF2-40B4-BE49-F238E27FC236}">
              <a16:creationId xmlns:a16="http://schemas.microsoft.com/office/drawing/2014/main" id="{D932F572-994B-4D82-A4F7-9E3CAD42FFC9}"/>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66" name="Text Box 28" hidden="1">
          <a:extLst>
            <a:ext uri="{FF2B5EF4-FFF2-40B4-BE49-F238E27FC236}">
              <a16:creationId xmlns:a16="http://schemas.microsoft.com/office/drawing/2014/main" id="{68A6C076-5447-4A90-9C21-9856C88B3FB3}"/>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67" name="Text Box 27" hidden="1">
          <a:extLst>
            <a:ext uri="{FF2B5EF4-FFF2-40B4-BE49-F238E27FC236}">
              <a16:creationId xmlns:a16="http://schemas.microsoft.com/office/drawing/2014/main" id="{2760D67D-A256-4CB0-8F71-522381AD55AD}"/>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68" name="Text Box 26" hidden="1">
          <a:extLst>
            <a:ext uri="{FF2B5EF4-FFF2-40B4-BE49-F238E27FC236}">
              <a16:creationId xmlns:a16="http://schemas.microsoft.com/office/drawing/2014/main" id="{7EA378B0-1CA1-4C72-B444-69542F028400}"/>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69" name="Text Box 25" hidden="1">
          <a:extLst>
            <a:ext uri="{FF2B5EF4-FFF2-40B4-BE49-F238E27FC236}">
              <a16:creationId xmlns:a16="http://schemas.microsoft.com/office/drawing/2014/main" id="{F83A08D2-D4CD-4DD1-BC74-A9DEA0E73A05}"/>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70" name="Text Box 23" hidden="1">
          <a:extLst>
            <a:ext uri="{FF2B5EF4-FFF2-40B4-BE49-F238E27FC236}">
              <a16:creationId xmlns:a16="http://schemas.microsoft.com/office/drawing/2014/main" id="{2143026F-D481-4B0F-92F2-6615B238F847}"/>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71" name="Text Box 22" hidden="1">
          <a:extLst>
            <a:ext uri="{FF2B5EF4-FFF2-40B4-BE49-F238E27FC236}">
              <a16:creationId xmlns:a16="http://schemas.microsoft.com/office/drawing/2014/main" id="{049CA03D-1327-40DE-9092-7CCFE5A590C2}"/>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72" name="Text Box 37" hidden="1">
          <a:extLst>
            <a:ext uri="{FF2B5EF4-FFF2-40B4-BE49-F238E27FC236}">
              <a16:creationId xmlns:a16="http://schemas.microsoft.com/office/drawing/2014/main" id="{D7153C76-AE1E-4D6A-B816-F8FB760C6471}"/>
            </a:ext>
          </a:extLst>
        </xdr:cNvPr>
        <xdr:cNvSpPr txBox="1">
          <a:spLocks noChangeArrowheads="1"/>
        </xdr:cNvSpPr>
      </xdr:nvSpPr>
      <xdr:spPr bwMode="auto">
        <a:xfrm>
          <a:off x="4241800" y="2023079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73" name="Text Box 38" hidden="1">
          <a:extLst>
            <a:ext uri="{FF2B5EF4-FFF2-40B4-BE49-F238E27FC236}">
              <a16:creationId xmlns:a16="http://schemas.microsoft.com/office/drawing/2014/main" id="{B7562AFE-2D7B-4C4B-A03B-852772ACCCD7}"/>
            </a:ext>
          </a:extLst>
        </xdr:cNvPr>
        <xdr:cNvSpPr txBox="1">
          <a:spLocks noChangeArrowheads="1"/>
        </xdr:cNvSpPr>
      </xdr:nvSpPr>
      <xdr:spPr bwMode="auto">
        <a:xfrm>
          <a:off x="188501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74" name="Text Box 39" hidden="1">
          <a:extLst>
            <a:ext uri="{FF2B5EF4-FFF2-40B4-BE49-F238E27FC236}">
              <a16:creationId xmlns:a16="http://schemas.microsoft.com/office/drawing/2014/main" id="{E560B32E-EDEB-4044-825F-7CDAB8B1F291}"/>
            </a:ext>
          </a:extLst>
        </xdr:cNvPr>
        <xdr:cNvSpPr txBox="1">
          <a:spLocks noChangeArrowheads="1"/>
        </xdr:cNvSpPr>
      </xdr:nvSpPr>
      <xdr:spPr bwMode="auto">
        <a:xfrm>
          <a:off x="218727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75" name="Text Box 40" hidden="1">
          <a:extLst>
            <a:ext uri="{FF2B5EF4-FFF2-40B4-BE49-F238E27FC236}">
              <a16:creationId xmlns:a16="http://schemas.microsoft.com/office/drawing/2014/main" id="{5186A126-FB94-4C56-B086-6DED7AB0E2EB}"/>
            </a:ext>
          </a:extLst>
        </xdr:cNvPr>
        <xdr:cNvSpPr txBox="1">
          <a:spLocks noChangeArrowheads="1"/>
        </xdr:cNvSpPr>
      </xdr:nvSpPr>
      <xdr:spPr bwMode="auto">
        <a:xfrm>
          <a:off x="248953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76" name="Text Box 50" hidden="1">
          <a:extLst>
            <a:ext uri="{FF2B5EF4-FFF2-40B4-BE49-F238E27FC236}">
              <a16:creationId xmlns:a16="http://schemas.microsoft.com/office/drawing/2014/main" id="{28C16050-1E2C-484C-A452-F51FA93AC809}"/>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77" name="Text Box 49" hidden="1">
          <a:extLst>
            <a:ext uri="{FF2B5EF4-FFF2-40B4-BE49-F238E27FC236}">
              <a16:creationId xmlns:a16="http://schemas.microsoft.com/office/drawing/2014/main" id="{B73F4AEA-FAEF-4A06-B16E-E73CFA35EF5E}"/>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78" name="Text Box 48" hidden="1">
          <a:extLst>
            <a:ext uri="{FF2B5EF4-FFF2-40B4-BE49-F238E27FC236}">
              <a16:creationId xmlns:a16="http://schemas.microsoft.com/office/drawing/2014/main" id="{9D76AD83-17E6-4B10-9A7B-524931879C91}"/>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79" name="Text Box 47" hidden="1">
          <a:extLst>
            <a:ext uri="{FF2B5EF4-FFF2-40B4-BE49-F238E27FC236}">
              <a16:creationId xmlns:a16="http://schemas.microsoft.com/office/drawing/2014/main" id="{8B9EF6C7-9EF8-4596-90F9-D385120E45C7}"/>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80" name="Text Box 46" hidden="1">
          <a:extLst>
            <a:ext uri="{FF2B5EF4-FFF2-40B4-BE49-F238E27FC236}">
              <a16:creationId xmlns:a16="http://schemas.microsoft.com/office/drawing/2014/main" id="{B33A40B2-908D-4A86-A1F2-EFE964450AA3}"/>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81" name="Text Box 45" hidden="1">
          <a:extLst>
            <a:ext uri="{FF2B5EF4-FFF2-40B4-BE49-F238E27FC236}">
              <a16:creationId xmlns:a16="http://schemas.microsoft.com/office/drawing/2014/main" id="{34D7EAD1-6BFF-4A9A-9A1C-459267E21A1D}"/>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82" name="Text Box 44" hidden="1">
          <a:extLst>
            <a:ext uri="{FF2B5EF4-FFF2-40B4-BE49-F238E27FC236}">
              <a16:creationId xmlns:a16="http://schemas.microsoft.com/office/drawing/2014/main" id="{239E9272-6975-4243-9137-3EA508FD04EF}"/>
            </a:ext>
          </a:extLst>
        </xdr:cNvPr>
        <xdr:cNvSpPr txBox="1">
          <a:spLocks noChangeArrowheads="1"/>
        </xdr:cNvSpPr>
      </xdr:nvSpPr>
      <xdr:spPr bwMode="auto">
        <a:xfrm>
          <a:off x="4241800" y="2023079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83" name="Text Box 43" hidden="1">
          <a:extLst>
            <a:ext uri="{FF2B5EF4-FFF2-40B4-BE49-F238E27FC236}">
              <a16:creationId xmlns:a16="http://schemas.microsoft.com/office/drawing/2014/main" id="{30725E94-B03D-4BCC-A915-43303086878C}"/>
            </a:ext>
          </a:extLst>
        </xdr:cNvPr>
        <xdr:cNvSpPr txBox="1">
          <a:spLocks noChangeArrowheads="1"/>
        </xdr:cNvSpPr>
      </xdr:nvSpPr>
      <xdr:spPr bwMode="auto">
        <a:xfrm>
          <a:off x="188501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84" name="Text Box 42" hidden="1">
          <a:extLst>
            <a:ext uri="{FF2B5EF4-FFF2-40B4-BE49-F238E27FC236}">
              <a16:creationId xmlns:a16="http://schemas.microsoft.com/office/drawing/2014/main" id="{FFC70C03-6667-4DDE-9527-78B47AC3D2D2}"/>
            </a:ext>
          </a:extLst>
        </xdr:cNvPr>
        <xdr:cNvSpPr txBox="1">
          <a:spLocks noChangeArrowheads="1"/>
        </xdr:cNvSpPr>
      </xdr:nvSpPr>
      <xdr:spPr bwMode="auto">
        <a:xfrm>
          <a:off x="218727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85" name="Text Box 41" hidden="1">
          <a:extLst>
            <a:ext uri="{FF2B5EF4-FFF2-40B4-BE49-F238E27FC236}">
              <a16:creationId xmlns:a16="http://schemas.microsoft.com/office/drawing/2014/main" id="{728F141E-8167-449D-97A8-70DAD1D0205E}"/>
            </a:ext>
          </a:extLst>
        </xdr:cNvPr>
        <xdr:cNvSpPr txBox="1">
          <a:spLocks noChangeArrowheads="1"/>
        </xdr:cNvSpPr>
      </xdr:nvSpPr>
      <xdr:spPr bwMode="auto">
        <a:xfrm>
          <a:off x="248953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629375</xdr:colOff>
      <xdr:row>15</xdr:row>
      <xdr:rowOff>98238</xdr:rowOff>
    </xdr:from>
    <xdr:to>
      <xdr:col>20</xdr:col>
      <xdr:colOff>67774</xdr:colOff>
      <xdr:row>19</xdr:row>
      <xdr:rowOff>31563</xdr:rowOff>
    </xdr:to>
    <xdr:sp macro="" textlink="">
      <xdr:nvSpPr>
        <xdr:cNvPr id="186" name="Text Box 51" hidden="1">
          <a:extLst>
            <a:ext uri="{FF2B5EF4-FFF2-40B4-BE49-F238E27FC236}">
              <a16:creationId xmlns:a16="http://schemas.microsoft.com/office/drawing/2014/main" id="{0408B566-513D-41CB-BC7A-06723D05D61C}"/>
            </a:ext>
          </a:extLst>
        </xdr:cNvPr>
        <xdr:cNvSpPr txBox="1">
          <a:spLocks noChangeArrowheads="1"/>
        </xdr:cNvSpPr>
      </xdr:nvSpPr>
      <xdr:spPr bwMode="auto">
        <a:xfrm>
          <a:off x="20418590" y="2038350"/>
          <a:ext cx="12954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187" name="Text Box 11" hidden="1">
          <a:extLst>
            <a:ext uri="{FF2B5EF4-FFF2-40B4-BE49-F238E27FC236}">
              <a16:creationId xmlns:a16="http://schemas.microsoft.com/office/drawing/2014/main" id="{315C7795-E6C1-472B-B7FF-FBDACBAFA72A}"/>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188" name="Text Box 10" hidden="1">
          <a:extLst>
            <a:ext uri="{FF2B5EF4-FFF2-40B4-BE49-F238E27FC236}">
              <a16:creationId xmlns:a16="http://schemas.microsoft.com/office/drawing/2014/main" id="{60DB76B6-10EC-4883-B17C-9CA325F81BEB}"/>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189" name="Text Box 9" hidden="1">
          <a:extLst>
            <a:ext uri="{FF2B5EF4-FFF2-40B4-BE49-F238E27FC236}">
              <a16:creationId xmlns:a16="http://schemas.microsoft.com/office/drawing/2014/main" id="{330119AF-D21B-41E1-903E-D2B5643DAEC8}"/>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190" name="Text Box 8" hidden="1">
          <a:extLst>
            <a:ext uri="{FF2B5EF4-FFF2-40B4-BE49-F238E27FC236}">
              <a16:creationId xmlns:a16="http://schemas.microsoft.com/office/drawing/2014/main" id="{F8080779-78C3-4CA4-A23E-1569D2EA0124}"/>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191" name="Text Box 7" hidden="1">
          <a:extLst>
            <a:ext uri="{FF2B5EF4-FFF2-40B4-BE49-F238E27FC236}">
              <a16:creationId xmlns:a16="http://schemas.microsoft.com/office/drawing/2014/main" id="{9B1F69C5-B1DC-4009-9BAE-47CA863D4C0E}"/>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192" name="Text Box 6" hidden="1">
          <a:extLst>
            <a:ext uri="{FF2B5EF4-FFF2-40B4-BE49-F238E27FC236}">
              <a16:creationId xmlns:a16="http://schemas.microsoft.com/office/drawing/2014/main" id="{D338E343-083A-4126-91E9-D9858D4C0A22}"/>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193" name="Text Box 5" hidden="1">
          <a:extLst>
            <a:ext uri="{FF2B5EF4-FFF2-40B4-BE49-F238E27FC236}">
              <a16:creationId xmlns:a16="http://schemas.microsoft.com/office/drawing/2014/main" id="{F48F2BBF-6FFC-48A4-95C8-48D2A30E4DBC}"/>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194" name="Text Box 4" hidden="1">
          <a:extLst>
            <a:ext uri="{FF2B5EF4-FFF2-40B4-BE49-F238E27FC236}">
              <a16:creationId xmlns:a16="http://schemas.microsoft.com/office/drawing/2014/main" id="{4739DDF3-B867-498A-99C4-F3FF6F52107D}"/>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195" name="Text Box 3" hidden="1">
          <a:extLst>
            <a:ext uri="{FF2B5EF4-FFF2-40B4-BE49-F238E27FC236}">
              <a16:creationId xmlns:a16="http://schemas.microsoft.com/office/drawing/2014/main" id="{3DA9007A-AC5B-4CB7-B345-C93B45D8835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196" name="Text Box 2" hidden="1">
          <a:extLst>
            <a:ext uri="{FF2B5EF4-FFF2-40B4-BE49-F238E27FC236}">
              <a16:creationId xmlns:a16="http://schemas.microsoft.com/office/drawing/2014/main" id="{D0BF4F1A-C285-4281-B5E9-0AC2B6E995B7}"/>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197" name="Text Box 1" hidden="1">
          <a:extLst>
            <a:ext uri="{FF2B5EF4-FFF2-40B4-BE49-F238E27FC236}">
              <a16:creationId xmlns:a16="http://schemas.microsoft.com/office/drawing/2014/main" id="{670875FA-265B-4BBB-9E69-8EDA4D454061}"/>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198" name="Text Box 12" hidden="1">
          <a:extLst>
            <a:ext uri="{FF2B5EF4-FFF2-40B4-BE49-F238E27FC236}">
              <a16:creationId xmlns:a16="http://schemas.microsoft.com/office/drawing/2014/main" id="{2DBE2BAC-AE05-42B6-8DE4-E0A11C706E43}"/>
            </a:ext>
          </a:extLst>
        </xdr:cNvPr>
        <xdr:cNvSpPr txBox="1">
          <a:spLocks noChangeArrowheads="1"/>
        </xdr:cNvSpPr>
      </xdr:nvSpPr>
      <xdr:spPr bwMode="auto">
        <a:xfrm>
          <a:off x="4984750" y="11734800"/>
          <a:ext cx="1428750" cy="7795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199" name="Text Box 25" hidden="1">
          <a:extLst>
            <a:ext uri="{FF2B5EF4-FFF2-40B4-BE49-F238E27FC236}">
              <a16:creationId xmlns:a16="http://schemas.microsoft.com/office/drawing/2014/main" id="{5F155865-369F-4A2D-A73A-98843D4F898E}"/>
            </a:ext>
          </a:extLst>
        </xdr:cNvPr>
        <xdr:cNvSpPr txBox="1">
          <a:spLocks noChangeArrowheads="1"/>
        </xdr:cNvSpPr>
      </xdr:nvSpPr>
      <xdr:spPr bwMode="auto">
        <a:xfrm>
          <a:off x="196342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00" name="Text Box 26" hidden="1">
          <a:extLst>
            <a:ext uri="{FF2B5EF4-FFF2-40B4-BE49-F238E27FC236}">
              <a16:creationId xmlns:a16="http://schemas.microsoft.com/office/drawing/2014/main" id="{3A7A2A9F-80DB-4ABB-81D9-28AEF0921206}"/>
            </a:ext>
          </a:extLst>
        </xdr:cNvPr>
        <xdr:cNvSpPr txBox="1">
          <a:spLocks noChangeArrowheads="1"/>
        </xdr:cNvSpPr>
      </xdr:nvSpPr>
      <xdr:spPr bwMode="auto">
        <a:xfrm>
          <a:off x="226568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01" name="Text Box 27" hidden="1">
          <a:extLst>
            <a:ext uri="{FF2B5EF4-FFF2-40B4-BE49-F238E27FC236}">
              <a16:creationId xmlns:a16="http://schemas.microsoft.com/office/drawing/2014/main" id="{DACBADAF-A16C-4251-8C9E-98DB0FAB5093}"/>
            </a:ext>
          </a:extLst>
        </xdr:cNvPr>
        <xdr:cNvSpPr txBox="1">
          <a:spLocks noChangeArrowheads="1"/>
        </xdr:cNvSpPr>
      </xdr:nvSpPr>
      <xdr:spPr bwMode="auto">
        <a:xfrm>
          <a:off x="256794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48372</xdr:rowOff>
    </xdr:to>
    <xdr:sp macro="" textlink="">
      <xdr:nvSpPr>
        <xdr:cNvPr id="202" name="Text Box 28" hidden="1">
          <a:extLst>
            <a:ext uri="{FF2B5EF4-FFF2-40B4-BE49-F238E27FC236}">
              <a16:creationId xmlns:a16="http://schemas.microsoft.com/office/drawing/2014/main" id="{7255F18B-E981-47AD-BA15-33E591767ABD}"/>
            </a:ext>
          </a:extLst>
        </xdr:cNvPr>
        <xdr:cNvSpPr txBox="1">
          <a:spLocks noChangeArrowheads="1"/>
        </xdr:cNvSpPr>
      </xdr:nvSpPr>
      <xdr:spPr bwMode="auto">
        <a:xfrm>
          <a:off x="20351750" y="4563036"/>
          <a:ext cx="125095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03" name="Text Box 44" hidden="1">
          <a:extLst>
            <a:ext uri="{FF2B5EF4-FFF2-40B4-BE49-F238E27FC236}">
              <a16:creationId xmlns:a16="http://schemas.microsoft.com/office/drawing/2014/main" id="{D0626D30-E301-4495-ABB6-192080689A17}"/>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04" name="Text Box 43" hidden="1">
          <a:extLst>
            <a:ext uri="{FF2B5EF4-FFF2-40B4-BE49-F238E27FC236}">
              <a16:creationId xmlns:a16="http://schemas.microsoft.com/office/drawing/2014/main" id="{944672EB-32D9-453F-9834-E13327DEF535}"/>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05" name="Text Box 42" hidden="1">
          <a:extLst>
            <a:ext uri="{FF2B5EF4-FFF2-40B4-BE49-F238E27FC236}">
              <a16:creationId xmlns:a16="http://schemas.microsoft.com/office/drawing/2014/main" id="{1816ED6A-F2DB-4054-A3BF-491E7DD8C2CD}"/>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06" name="Text Box 41" hidden="1">
          <a:extLst>
            <a:ext uri="{FF2B5EF4-FFF2-40B4-BE49-F238E27FC236}">
              <a16:creationId xmlns:a16="http://schemas.microsoft.com/office/drawing/2014/main" id="{B1BC53A6-212D-4F4B-BC52-DDD55697EE9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07" name="Text Box 40" hidden="1">
          <a:extLst>
            <a:ext uri="{FF2B5EF4-FFF2-40B4-BE49-F238E27FC236}">
              <a16:creationId xmlns:a16="http://schemas.microsoft.com/office/drawing/2014/main" id="{D329CA19-9458-4AF6-9AAC-C789A5E2E61F}"/>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08" name="Text Box 39" hidden="1">
          <a:extLst>
            <a:ext uri="{FF2B5EF4-FFF2-40B4-BE49-F238E27FC236}">
              <a16:creationId xmlns:a16="http://schemas.microsoft.com/office/drawing/2014/main" id="{89250C48-EE30-4134-A4DA-6B7649173D40}"/>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09" name="Text Box 38" hidden="1">
          <a:extLst>
            <a:ext uri="{FF2B5EF4-FFF2-40B4-BE49-F238E27FC236}">
              <a16:creationId xmlns:a16="http://schemas.microsoft.com/office/drawing/2014/main" id="{B5593585-E86F-44F1-A866-5692CE3548BD}"/>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10" name="Text Box 37" hidden="1">
          <a:extLst>
            <a:ext uri="{FF2B5EF4-FFF2-40B4-BE49-F238E27FC236}">
              <a16:creationId xmlns:a16="http://schemas.microsoft.com/office/drawing/2014/main" id="{B4862B6F-0BFF-4522-816C-2E00AFF137FA}"/>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11" name="Text Box 36" hidden="1">
          <a:extLst>
            <a:ext uri="{FF2B5EF4-FFF2-40B4-BE49-F238E27FC236}">
              <a16:creationId xmlns:a16="http://schemas.microsoft.com/office/drawing/2014/main" id="{1A626188-3053-488D-B402-6381B1BAB19B}"/>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12" name="Text Box 35" hidden="1">
          <a:extLst>
            <a:ext uri="{FF2B5EF4-FFF2-40B4-BE49-F238E27FC236}">
              <a16:creationId xmlns:a16="http://schemas.microsoft.com/office/drawing/2014/main" id="{7BC7A37F-74AD-4930-8CBE-0A9E105A5FED}"/>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13" name="Text Box 34" hidden="1">
          <a:extLst>
            <a:ext uri="{FF2B5EF4-FFF2-40B4-BE49-F238E27FC236}">
              <a16:creationId xmlns:a16="http://schemas.microsoft.com/office/drawing/2014/main" id="{D288E8B2-17F1-41AA-B3B3-374C2616AB6B}"/>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14" name="Text Box 33" hidden="1">
          <a:extLst>
            <a:ext uri="{FF2B5EF4-FFF2-40B4-BE49-F238E27FC236}">
              <a16:creationId xmlns:a16="http://schemas.microsoft.com/office/drawing/2014/main" id="{BC13EF71-F402-4D26-8187-8F539D195E7F}"/>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15" name="Text Box 32" hidden="1">
          <a:extLst>
            <a:ext uri="{FF2B5EF4-FFF2-40B4-BE49-F238E27FC236}">
              <a16:creationId xmlns:a16="http://schemas.microsoft.com/office/drawing/2014/main" id="{A16D102F-551E-4C11-A790-9638EA3FF6A2}"/>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16" name="Text Box 31" hidden="1">
          <a:extLst>
            <a:ext uri="{FF2B5EF4-FFF2-40B4-BE49-F238E27FC236}">
              <a16:creationId xmlns:a16="http://schemas.microsoft.com/office/drawing/2014/main" id="{80BBEC1B-6DA8-4470-9928-54E481068EC1}"/>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17" name="Text Box 30" hidden="1">
          <a:extLst>
            <a:ext uri="{FF2B5EF4-FFF2-40B4-BE49-F238E27FC236}">
              <a16:creationId xmlns:a16="http://schemas.microsoft.com/office/drawing/2014/main" id="{80C0C5D3-CD75-4226-95E4-E5A93F14FE69}"/>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18" name="Text Box 29" hidden="1">
          <a:extLst>
            <a:ext uri="{FF2B5EF4-FFF2-40B4-BE49-F238E27FC236}">
              <a16:creationId xmlns:a16="http://schemas.microsoft.com/office/drawing/2014/main" id="{6C2E1603-A2AC-42D9-A5D9-2D141DF7D298}"/>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19" name="Text Box 60" hidden="1">
          <a:extLst>
            <a:ext uri="{FF2B5EF4-FFF2-40B4-BE49-F238E27FC236}">
              <a16:creationId xmlns:a16="http://schemas.microsoft.com/office/drawing/2014/main" id="{6A980248-1D12-467A-9265-6E3C01AA2285}"/>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20" name="Text Box 59" hidden="1">
          <a:extLst>
            <a:ext uri="{FF2B5EF4-FFF2-40B4-BE49-F238E27FC236}">
              <a16:creationId xmlns:a16="http://schemas.microsoft.com/office/drawing/2014/main" id="{F1EA1CC1-4867-451D-BA6B-999D26EA6426}"/>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21" name="Text Box 58" hidden="1">
          <a:extLst>
            <a:ext uri="{FF2B5EF4-FFF2-40B4-BE49-F238E27FC236}">
              <a16:creationId xmlns:a16="http://schemas.microsoft.com/office/drawing/2014/main" id="{7DB3C464-14A9-4A2D-AC66-88C7C2BBC559}"/>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22" name="Text Box 57" hidden="1">
          <a:extLst>
            <a:ext uri="{FF2B5EF4-FFF2-40B4-BE49-F238E27FC236}">
              <a16:creationId xmlns:a16="http://schemas.microsoft.com/office/drawing/2014/main" id="{820D90C3-39A7-4D43-8E16-B6F93602662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23" name="Text Box 56" hidden="1">
          <a:extLst>
            <a:ext uri="{FF2B5EF4-FFF2-40B4-BE49-F238E27FC236}">
              <a16:creationId xmlns:a16="http://schemas.microsoft.com/office/drawing/2014/main" id="{AA584057-DC5D-44F3-ADF1-26D0772000C5}"/>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24" name="Text Box 55" hidden="1">
          <a:extLst>
            <a:ext uri="{FF2B5EF4-FFF2-40B4-BE49-F238E27FC236}">
              <a16:creationId xmlns:a16="http://schemas.microsoft.com/office/drawing/2014/main" id="{FAC049E7-B18E-4705-AFBB-F025E00A64C4}"/>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25" name="Text Box 54" hidden="1">
          <a:extLst>
            <a:ext uri="{FF2B5EF4-FFF2-40B4-BE49-F238E27FC236}">
              <a16:creationId xmlns:a16="http://schemas.microsoft.com/office/drawing/2014/main" id="{DFF73731-3E3B-4B17-BF6F-FC8E7C052338}"/>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26" name="Text Box 53" hidden="1">
          <a:extLst>
            <a:ext uri="{FF2B5EF4-FFF2-40B4-BE49-F238E27FC236}">
              <a16:creationId xmlns:a16="http://schemas.microsoft.com/office/drawing/2014/main" id="{3B14A920-A4D1-4082-9959-E9C37CE7A62B}"/>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27" name="Text Box 52" hidden="1">
          <a:extLst>
            <a:ext uri="{FF2B5EF4-FFF2-40B4-BE49-F238E27FC236}">
              <a16:creationId xmlns:a16="http://schemas.microsoft.com/office/drawing/2014/main" id="{B3486FAA-A258-48FC-8611-2B6E93DAF1C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28" name="Text Box 51" hidden="1">
          <a:extLst>
            <a:ext uri="{FF2B5EF4-FFF2-40B4-BE49-F238E27FC236}">
              <a16:creationId xmlns:a16="http://schemas.microsoft.com/office/drawing/2014/main" id="{DF976546-8629-4BEE-BC8E-A829410092CA}"/>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29" name="Text Box 50" hidden="1">
          <a:extLst>
            <a:ext uri="{FF2B5EF4-FFF2-40B4-BE49-F238E27FC236}">
              <a16:creationId xmlns:a16="http://schemas.microsoft.com/office/drawing/2014/main" id="{D69A9207-9428-475A-90C5-75C27D94AD04}"/>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30" name="Text Box 49" hidden="1">
          <a:extLst>
            <a:ext uri="{FF2B5EF4-FFF2-40B4-BE49-F238E27FC236}">
              <a16:creationId xmlns:a16="http://schemas.microsoft.com/office/drawing/2014/main" id="{F6DB6BA8-9DAF-49E8-AFD6-848032BF089D}"/>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31" name="Text Box 48" hidden="1">
          <a:extLst>
            <a:ext uri="{FF2B5EF4-FFF2-40B4-BE49-F238E27FC236}">
              <a16:creationId xmlns:a16="http://schemas.microsoft.com/office/drawing/2014/main" id="{9CA5EEC1-D9FF-49CC-AFD7-F9B21E401185}"/>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32" name="Text Box 47" hidden="1">
          <a:extLst>
            <a:ext uri="{FF2B5EF4-FFF2-40B4-BE49-F238E27FC236}">
              <a16:creationId xmlns:a16="http://schemas.microsoft.com/office/drawing/2014/main" id="{3F28E797-EEDC-4D4D-9107-80BC6E8A4A28}"/>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33" name="Text Box 46" hidden="1">
          <a:extLst>
            <a:ext uri="{FF2B5EF4-FFF2-40B4-BE49-F238E27FC236}">
              <a16:creationId xmlns:a16="http://schemas.microsoft.com/office/drawing/2014/main" id="{92258867-CE14-4AA9-8901-00163741241A}"/>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34" name="Text Box 45" hidden="1">
          <a:extLst>
            <a:ext uri="{FF2B5EF4-FFF2-40B4-BE49-F238E27FC236}">
              <a16:creationId xmlns:a16="http://schemas.microsoft.com/office/drawing/2014/main" id="{A6D2E36A-E0CD-47CB-A071-902F423E8190}"/>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4</xdr:col>
      <xdr:colOff>59765</xdr:colOff>
      <xdr:row>96</xdr:row>
      <xdr:rowOff>2989</xdr:rowOff>
    </xdr:from>
    <xdr:to>
      <xdr:col>9</xdr:col>
      <xdr:colOff>702236</xdr:colOff>
      <xdr:row>104</xdr:row>
      <xdr:rowOff>191247</xdr:rowOff>
    </xdr:to>
    <xdr:graphicFrame macro="">
      <xdr:nvGraphicFramePr>
        <xdr:cNvPr id="235" name="Chart 234">
          <a:extLst>
            <a:ext uri="{FF2B5EF4-FFF2-40B4-BE49-F238E27FC236}">
              <a16:creationId xmlns:a16="http://schemas.microsoft.com/office/drawing/2014/main" id="{FA25A0F1-D784-4750-9714-6FD725E88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57377" name="Text Box 1" hidden="1">
          <a:extLst>
            <a:ext uri="{FF2B5EF4-FFF2-40B4-BE49-F238E27FC236}">
              <a16:creationId xmlns:a16="http://schemas.microsoft.com/office/drawing/2014/main" id="{7CFD5789-12FA-20A1-A45F-BA1265054393}"/>
            </a:ext>
          </a:extLst>
        </xdr:cNvPr>
        <xdr:cNvSpPr txBox="1">
          <a:spLocks noChangeArrowheads="1"/>
        </xdr:cNvSpPr>
      </xdr:nvSpPr>
      <xdr:spPr bwMode="auto">
        <a:xfrm>
          <a:off x="2110105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57378" name="Text Box 2" hidden="1">
          <a:extLst>
            <a:ext uri="{FF2B5EF4-FFF2-40B4-BE49-F238E27FC236}">
              <a16:creationId xmlns:a16="http://schemas.microsoft.com/office/drawing/2014/main" id="{0EBCD07A-6269-F838-7BC2-52EC748E7E52}"/>
            </a:ext>
          </a:extLst>
        </xdr:cNvPr>
        <xdr:cNvSpPr txBox="1">
          <a:spLocks noChangeArrowheads="1"/>
        </xdr:cNvSpPr>
      </xdr:nvSpPr>
      <xdr:spPr bwMode="auto">
        <a:xfrm>
          <a:off x="1958975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57379" name="Text Box 3" hidden="1">
          <a:extLst>
            <a:ext uri="{FF2B5EF4-FFF2-40B4-BE49-F238E27FC236}">
              <a16:creationId xmlns:a16="http://schemas.microsoft.com/office/drawing/2014/main" id="{AB071B14-7C33-AB72-2CF7-B2D463FA7DAF}"/>
            </a:ext>
          </a:extLst>
        </xdr:cNvPr>
        <xdr:cNvSpPr txBox="1">
          <a:spLocks noChangeArrowheads="1"/>
        </xdr:cNvSpPr>
      </xdr:nvSpPr>
      <xdr:spPr bwMode="auto">
        <a:xfrm>
          <a:off x="2185670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57380" name="Text Box 4" hidden="1">
          <a:extLst>
            <a:ext uri="{FF2B5EF4-FFF2-40B4-BE49-F238E27FC236}">
              <a16:creationId xmlns:a16="http://schemas.microsoft.com/office/drawing/2014/main" id="{736C8763-E866-20F5-C6F9-EC59E3AFF830}"/>
            </a:ext>
          </a:extLst>
        </xdr:cNvPr>
        <xdr:cNvSpPr txBox="1">
          <a:spLocks noChangeArrowheads="1"/>
        </xdr:cNvSpPr>
      </xdr:nvSpPr>
      <xdr:spPr bwMode="auto">
        <a:xfrm>
          <a:off x="188341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57381" name="Text Box 5" hidden="1">
          <a:extLst>
            <a:ext uri="{FF2B5EF4-FFF2-40B4-BE49-F238E27FC236}">
              <a16:creationId xmlns:a16="http://schemas.microsoft.com/office/drawing/2014/main" id="{5126F1D3-4566-96CB-8E5A-7AC14968BC81}"/>
            </a:ext>
          </a:extLst>
        </xdr:cNvPr>
        <xdr:cNvSpPr txBox="1">
          <a:spLocks noChangeArrowheads="1"/>
        </xdr:cNvSpPr>
      </xdr:nvSpPr>
      <xdr:spPr bwMode="auto">
        <a:xfrm>
          <a:off x="203454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57382" name="Text Box 6" hidden="1">
          <a:extLst>
            <a:ext uri="{FF2B5EF4-FFF2-40B4-BE49-F238E27FC236}">
              <a16:creationId xmlns:a16="http://schemas.microsoft.com/office/drawing/2014/main" id="{4E4EEA33-A300-5815-BB77-A915F4AD2B70}"/>
            </a:ext>
          </a:extLst>
        </xdr:cNvPr>
        <xdr:cNvSpPr txBox="1">
          <a:spLocks noChangeArrowheads="1"/>
        </xdr:cNvSpPr>
      </xdr:nvSpPr>
      <xdr:spPr bwMode="auto">
        <a:xfrm>
          <a:off x="1883410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57383" name="Text Box 7" hidden="1">
          <a:extLst>
            <a:ext uri="{FF2B5EF4-FFF2-40B4-BE49-F238E27FC236}">
              <a16:creationId xmlns:a16="http://schemas.microsoft.com/office/drawing/2014/main" id="{FA8DA20D-2F15-D224-4E87-2631F627C58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57384" name="Text Box 8" hidden="1">
          <a:extLst>
            <a:ext uri="{FF2B5EF4-FFF2-40B4-BE49-F238E27FC236}">
              <a16:creationId xmlns:a16="http://schemas.microsoft.com/office/drawing/2014/main" id="{499732DE-8457-24E0-1F3F-699888B4DB8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57385" name="Text Box 9" hidden="1">
          <a:extLst>
            <a:ext uri="{FF2B5EF4-FFF2-40B4-BE49-F238E27FC236}">
              <a16:creationId xmlns:a16="http://schemas.microsoft.com/office/drawing/2014/main" id="{1826EC43-CCF9-3438-E2C9-FF6505EA4DE6}"/>
            </a:ext>
          </a:extLst>
        </xdr:cNvPr>
        <xdr:cNvSpPr txBox="1">
          <a:spLocks noChangeArrowheads="1"/>
        </xdr:cNvSpPr>
      </xdr:nvSpPr>
      <xdr:spPr bwMode="auto">
        <a:xfrm>
          <a:off x="2185670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57386" name="Text Box 10" hidden="1">
          <a:extLst>
            <a:ext uri="{FF2B5EF4-FFF2-40B4-BE49-F238E27FC236}">
              <a16:creationId xmlns:a16="http://schemas.microsoft.com/office/drawing/2014/main" id="{C133CD44-5602-A2EC-3924-6895BD7DE8F5}"/>
            </a:ext>
          </a:extLst>
        </xdr:cNvPr>
        <xdr:cNvSpPr txBox="1">
          <a:spLocks noChangeArrowheads="1"/>
        </xdr:cNvSpPr>
      </xdr:nvSpPr>
      <xdr:spPr bwMode="auto">
        <a:xfrm>
          <a:off x="120205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57387" name="Text Box 11" hidden="1">
          <a:extLst>
            <a:ext uri="{FF2B5EF4-FFF2-40B4-BE49-F238E27FC236}">
              <a16:creationId xmlns:a16="http://schemas.microsoft.com/office/drawing/2014/main" id="{6CD70F4F-69D0-D73D-E506-4B95499F8613}"/>
            </a:ext>
          </a:extLst>
        </xdr:cNvPr>
        <xdr:cNvSpPr txBox="1">
          <a:spLocks noChangeArrowheads="1"/>
        </xdr:cNvSpPr>
      </xdr:nvSpPr>
      <xdr:spPr bwMode="auto">
        <a:xfrm>
          <a:off x="142875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57388" name="Text Box 12" hidden="1">
          <a:extLst>
            <a:ext uri="{FF2B5EF4-FFF2-40B4-BE49-F238E27FC236}">
              <a16:creationId xmlns:a16="http://schemas.microsoft.com/office/drawing/2014/main" id="{9C6B8F93-E4E6-2A97-5067-EBAF49D98AF1}"/>
            </a:ext>
          </a:extLst>
        </xdr:cNvPr>
        <xdr:cNvSpPr txBox="1">
          <a:spLocks noChangeArrowheads="1"/>
        </xdr:cNvSpPr>
      </xdr:nvSpPr>
      <xdr:spPr bwMode="auto">
        <a:xfrm>
          <a:off x="2034540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57389" name="Text Box 13" hidden="1">
          <a:extLst>
            <a:ext uri="{FF2B5EF4-FFF2-40B4-BE49-F238E27FC236}">
              <a16:creationId xmlns:a16="http://schemas.microsoft.com/office/drawing/2014/main" id="{801F3F4F-CE48-0D69-404F-C09FA1FCE20E}"/>
            </a:ext>
          </a:extLst>
        </xdr:cNvPr>
        <xdr:cNvSpPr txBox="1">
          <a:spLocks noChangeArrowheads="1"/>
        </xdr:cNvSpPr>
      </xdr:nvSpPr>
      <xdr:spPr bwMode="auto">
        <a:xfrm>
          <a:off x="233553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57390" name="Text Box 14" hidden="1">
          <a:extLst>
            <a:ext uri="{FF2B5EF4-FFF2-40B4-BE49-F238E27FC236}">
              <a16:creationId xmlns:a16="http://schemas.microsoft.com/office/drawing/2014/main" id="{6A27B001-7E28-22AF-AB0F-68D95BA160E1}"/>
            </a:ext>
          </a:extLst>
        </xdr:cNvPr>
        <xdr:cNvSpPr txBox="1">
          <a:spLocks noChangeArrowheads="1"/>
        </xdr:cNvSpPr>
      </xdr:nvSpPr>
      <xdr:spPr bwMode="auto">
        <a:xfrm>
          <a:off x="263779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57391" name="Text Box 15" hidden="1">
          <a:extLst>
            <a:ext uri="{FF2B5EF4-FFF2-40B4-BE49-F238E27FC236}">
              <a16:creationId xmlns:a16="http://schemas.microsoft.com/office/drawing/2014/main" id="{DDB3D6FB-F00B-3CBA-BF2C-040A2768F341}"/>
            </a:ext>
          </a:extLst>
        </xdr:cNvPr>
        <xdr:cNvSpPr txBox="1">
          <a:spLocks noChangeArrowheads="1"/>
        </xdr:cNvSpPr>
      </xdr:nvSpPr>
      <xdr:spPr bwMode="auto">
        <a:xfrm>
          <a:off x="2034540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57392" name="Text Box 16" hidden="1">
          <a:extLst>
            <a:ext uri="{FF2B5EF4-FFF2-40B4-BE49-F238E27FC236}">
              <a16:creationId xmlns:a16="http://schemas.microsoft.com/office/drawing/2014/main" id="{B33FDCFE-0DAB-0237-966A-B8CFB9EF5DCB}"/>
            </a:ext>
          </a:extLst>
        </xdr:cNvPr>
        <xdr:cNvSpPr txBox="1">
          <a:spLocks noChangeArrowheads="1"/>
        </xdr:cNvSpPr>
      </xdr:nvSpPr>
      <xdr:spPr bwMode="auto">
        <a:xfrm>
          <a:off x="2335530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57393" name="Text Box 17" hidden="1">
          <a:extLst>
            <a:ext uri="{FF2B5EF4-FFF2-40B4-BE49-F238E27FC236}">
              <a16:creationId xmlns:a16="http://schemas.microsoft.com/office/drawing/2014/main" id="{0C26B681-F8F8-3910-2C3F-861D2095EA58}"/>
            </a:ext>
          </a:extLst>
        </xdr:cNvPr>
        <xdr:cNvSpPr txBox="1">
          <a:spLocks noChangeArrowheads="1"/>
        </xdr:cNvSpPr>
      </xdr:nvSpPr>
      <xdr:spPr bwMode="auto">
        <a:xfrm>
          <a:off x="2637790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57394" name="Text Box 18" hidden="1">
          <a:extLst>
            <a:ext uri="{FF2B5EF4-FFF2-40B4-BE49-F238E27FC236}">
              <a16:creationId xmlns:a16="http://schemas.microsoft.com/office/drawing/2014/main" id="{7614FBC5-B03C-3063-B865-30BC172D213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57395" name="Text Box 19" hidden="1">
          <a:extLst>
            <a:ext uri="{FF2B5EF4-FFF2-40B4-BE49-F238E27FC236}">
              <a16:creationId xmlns:a16="http://schemas.microsoft.com/office/drawing/2014/main" id="{76AAC99C-9E1A-4EFB-FDDC-CEA6996D7088}"/>
            </a:ext>
          </a:extLst>
        </xdr:cNvPr>
        <xdr:cNvSpPr txBox="1">
          <a:spLocks noChangeArrowheads="1"/>
        </xdr:cNvSpPr>
      </xdr:nvSpPr>
      <xdr:spPr bwMode="auto">
        <a:xfrm>
          <a:off x="2110105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57396" name="Text Box 20" hidden="1">
          <a:extLst>
            <a:ext uri="{FF2B5EF4-FFF2-40B4-BE49-F238E27FC236}">
              <a16:creationId xmlns:a16="http://schemas.microsoft.com/office/drawing/2014/main" id="{486CE879-BBF9-0C07-6E2A-29B946FCB94E}"/>
            </a:ext>
          </a:extLst>
        </xdr:cNvPr>
        <xdr:cNvSpPr txBox="1">
          <a:spLocks noChangeArrowheads="1"/>
        </xdr:cNvSpPr>
      </xdr:nvSpPr>
      <xdr:spPr bwMode="auto">
        <a:xfrm>
          <a:off x="188341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57397" name="Text Box 21" hidden="1">
          <a:extLst>
            <a:ext uri="{FF2B5EF4-FFF2-40B4-BE49-F238E27FC236}">
              <a16:creationId xmlns:a16="http://schemas.microsoft.com/office/drawing/2014/main" id="{AAEA89EE-B4F4-36ED-5916-A61B0F1FCDB8}"/>
            </a:ext>
          </a:extLst>
        </xdr:cNvPr>
        <xdr:cNvSpPr txBox="1">
          <a:spLocks noChangeArrowheads="1"/>
        </xdr:cNvSpPr>
      </xdr:nvSpPr>
      <xdr:spPr bwMode="auto">
        <a:xfrm>
          <a:off x="203454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57398" name="Text Box 22" hidden="1">
          <a:extLst>
            <a:ext uri="{FF2B5EF4-FFF2-40B4-BE49-F238E27FC236}">
              <a16:creationId xmlns:a16="http://schemas.microsoft.com/office/drawing/2014/main" id="{D90D6721-103E-60F7-ECF2-862F5D613214}"/>
            </a:ext>
          </a:extLst>
        </xdr:cNvPr>
        <xdr:cNvSpPr txBox="1">
          <a:spLocks noChangeArrowheads="1"/>
        </xdr:cNvSpPr>
      </xdr:nvSpPr>
      <xdr:spPr bwMode="auto">
        <a:xfrm>
          <a:off x="2185670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28" name="Text Box 44" hidden="1">
          <a:extLst>
            <a:ext uri="{FF2B5EF4-FFF2-40B4-BE49-F238E27FC236}">
              <a16:creationId xmlns:a16="http://schemas.microsoft.com/office/drawing/2014/main" id="{73E59521-47E4-8BBC-9166-C84FAEB519DD}"/>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27" name="Text Box 43" hidden="1">
          <a:extLst>
            <a:ext uri="{FF2B5EF4-FFF2-40B4-BE49-F238E27FC236}">
              <a16:creationId xmlns:a16="http://schemas.microsoft.com/office/drawing/2014/main" id="{898A5B89-7F2C-DE08-EAB2-7CB545BDAC5C}"/>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26" name="Text Box 42" hidden="1">
          <a:extLst>
            <a:ext uri="{FF2B5EF4-FFF2-40B4-BE49-F238E27FC236}">
              <a16:creationId xmlns:a16="http://schemas.microsoft.com/office/drawing/2014/main" id="{444B58B9-407F-A97E-D3C5-FF1B4271CB2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25" name="Text Box 41" hidden="1">
          <a:extLst>
            <a:ext uri="{FF2B5EF4-FFF2-40B4-BE49-F238E27FC236}">
              <a16:creationId xmlns:a16="http://schemas.microsoft.com/office/drawing/2014/main" id="{9293FA13-5AF1-86D4-53C4-F8430538A3F8}"/>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24" name="Text Box 40" hidden="1">
          <a:extLst>
            <a:ext uri="{FF2B5EF4-FFF2-40B4-BE49-F238E27FC236}">
              <a16:creationId xmlns:a16="http://schemas.microsoft.com/office/drawing/2014/main" id="{44DF28E2-CF8A-0F97-AAB2-2583BC05C443}"/>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23" name="Text Box 39" hidden="1">
          <a:extLst>
            <a:ext uri="{FF2B5EF4-FFF2-40B4-BE49-F238E27FC236}">
              <a16:creationId xmlns:a16="http://schemas.microsoft.com/office/drawing/2014/main" id="{8B64B797-1E35-C205-4909-321036FDBA2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22" name="Text Box 38" hidden="1">
          <a:extLst>
            <a:ext uri="{FF2B5EF4-FFF2-40B4-BE49-F238E27FC236}">
              <a16:creationId xmlns:a16="http://schemas.microsoft.com/office/drawing/2014/main" id="{7966490A-EFCE-5F02-6B3B-885AF24A1A24}"/>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21" name="Text Box 37" hidden="1">
          <a:extLst>
            <a:ext uri="{FF2B5EF4-FFF2-40B4-BE49-F238E27FC236}">
              <a16:creationId xmlns:a16="http://schemas.microsoft.com/office/drawing/2014/main" id="{2A8CBA35-A112-8D49-F5C3-D6C9FC9F8231}"/>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20" name="Text Box 36" hidden="1">
          <a:extLst>
            <a:ext uri="{FF2B5EF4-FFF2-40B4-BE49-F238E27FC236}">
              <a16:creationId xmlns:a16="http://schemas.microsoft.com/office/drawing/2014/main" id="{22484497-4A68-1E42-12E7-10E83B64AD32}"/>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19" name="Text Box 35" hidden="1">
          <a:extLst>
            <a:ext uri="{FF2B5EF4-FFF2-40B4-BE49-F238E27FC236}">
              <a16:creationId xmlns:a16="http://schemas.microsoft.com/office/drawing/2014/main" id="{5CB9870B-D060-2E3B-6CD5-717F9C8B9EC8}"/>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18" name="Text Box 34" hidden="1">
          <a:extLst>
            <a:ext uri="{FF2B5EF4-FFF2-40B4-BE49-F238E27FC236}">
              <a16:creationId xmlns:a16="http://schemas.microsoft.com/office/drawing/2014/main" id="{883B630C-EDDD-00EA-E865-81E08F579EA1}"/>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17" name="Text Box 33" hidden="1">
          <a:extLst>
            <a:ext uri="{FF2B5EF4-FFF2-40B4-BE49-F238E27FC236}">
              <a16:creationId xmlns:a16="http://schemas.microsoft.com/office/drawing/2014/main" id="{331B63C2-0A51-8D65-B4D1-E48041AA70F2}"/>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16" name="Text Box 32" hidden="1">
          <a:extLst>
            <a:ext uri="{FF2B5EF4-FFF2-40B4-BE49-F238E27FC236}">
              <a16:creationId xmlns:a16="http://schemas.microsoft.com/office/drawing/2014/main" id="{2F012BDD-85C6-2B70-9346-5D3939D00BBE}"/>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15" name="Text Box 31" hidden="1">
          <a:extLst>
            <a:ext uri="{FF2B5EF4-FFF2-40B4-BE49-F238E27FC236}">
              <a16:creationId xmlns:a16="http://schemas.microsoft.com/office/drawing/2014/main" id="{7AD7FC98-288A-2482-7D02-847A5587BA39}"/>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14" name="Text Box 30" hidden="1">
          <a:extLst>
            <a:ext uri="{FF2B5EF4-FFF2-40B4-BE49-F238E27FC236}">
              <a16:creationId xmlns:a16="http://schemas.microsoft.com/office/drawing/2014/main" id="{76E167FC-0AC5-B988-A090-C30D0C51B3FF}"/>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13" name="Text Box 29" hidden="1">
          <a:extLst>
            <a:ext uri="{FF2B5EF4-FFF2-40B4-BE49-F238E27FC236}">
              <a16:creationId xmlns:a16="http://schemas.microsoft.com/office/drawing/2014/main" id="{0BBAABD9-3D2F-4B9F-0539-6F1EC5166096}"/>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12" name="Text Box 28" hidden="1">
          <a:extLst>
            <a:ext uri="{FF2B5EF4-FFF2-40B4-BE49-F238E27FC236}">
              <a16:creationId xmlns:a16="http://schemas.microsoft.com/office/drawing/2014/main" id="{89592A0A-2FC5-C15F-7AB9-C67821504B85}"/>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11" name="Text Box 27" hidden="1">
          <a:extLst>
            <a:ext uri="{FF2B5EF4-FFF2-40B4-BE49-F238E27FC236}">
              <a16:creationId xmlns:a16="http://schemas.microsoft.com/office/drawing/2014/main" id="{59A728CE-286C-8A29-3792-2157BB076805}"/>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10" name="Text Box 26" hidden="1">
          <a:extLst>
            <a:ext uri="{FF2B5EF4-FFF2-40B4-BE49-F238E27FC236}">
              <a16:creationId xmlns:a16="http://schemas.microsoft.com/office/drawing/2014/main" id="{12880D43-9A17-8528-8900-D9BE356A8152}"/>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09" name="Text Box 25" hidden="1">
          <a:extLst>
            <a:ext uri="{FF2B5EF4-FFF2-40B4-BE49-F238E27FC236}">
              <a16:creationId xmlns:a16="http://schemas.microsoft.com/office/drawing/2014/main" id="{A4F803CC-E6A2-CE67-DD08-3FC5B9D5FD63}"/>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08" name="Text Box 24" hidden="1">
          <a:extLst>
            <a:ext uri="{FF2B5EF4-FFF2-40B4-BE49-F238E27FC236}">
              <a16:creationId xmlns:a16="http://schemas.microsoft.com/office/drawing/2014/main" id="{F2DCC30D-6C99-FF9D-1817-80CB687DAE6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07" name="Text Box 23" hidden="1">
          <a:extLst>
            <a:ext uri="{FF2B5EF4-FFF2-40B4-BE49-F238E27FC236}">
              <a16:creationId xmlns:a16="http://schemas.microsoft.com/office/drawing/2014/main" id="{DFC3924C-543C-DFE6-D12E-DA9D78AD7692}"/>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06" name="Text Box 22" hidden="1">
          <a:extLst>
            <a:ext uri="{FF2B5EF4-FFF2-40B4-BE49-F238E27FC236}">
              <a16:creationId xmlns:a16="http://schemas.microsoft.com/office/drawing/2014/main" id="{CC3BC435-FF3F-6AA1-2939-4B68422DC308}"/>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05" name="Text Box 21" hidden="1">
          <a:extLst>
            <a:ext uri="{FF2B5EF4-FFF2-40B4-BE49-F238E27FC236}">
              <a16:creationId xmlns:a16="http://schemas.microsoft.com/office/drawing/2014/main" id="{272B7225-6B2D-4D9F-A838-C8D1DA58308A}"/>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04" name="Text Box 20" hidden="1">
          <a:extLst>
            <a:ext uri="{FF2B5EF4-FFF2-40B4-BE49-F238E27FC236}">
              <a16:creationId xmlns:a16="http://schemas.microsoft.com/office/drawing/2014/main" id="{F6A1BC15-E03C-ADA4-70F1-8759CFFC5120}"/>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03" name="Text Box 19" hidden="1">
          <a:extLst>
            <a:ext uri="{FF2B5EF4-FFF2-40B4-BE49-F238E27FC236}">
              <a16:creationId xmlns:a16="http://schemas.microsoft.com/office/drawing/2014/main" id="{C870F326-687C-94ED-FAE2-0D44EE491FDA}"/>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02" name="Text Box 18" hidden="1">
          <a:extLst>
            <a:ext uri="{FF2B5EF4-FFF2-40B4-BE49-F238E27FC236}">
              <a16:creationId xmlns:a16="http://schemas.microsoft.com/office/drawing/2014/main" id="{18F427B0-C5DF-4445-E399-3670E767E4C4}"/>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01" name="Text Box 17" hidden="1">
          <a:extLst>
            <a:ext uri="{FF2B5EF4-FFF2-40B4-BE49-F238E27FC236}">
              <a16:creationId xmlns:a16="http://schemas.microsoft.com/office/drawing/2014/main" id="{9060A08F-374B-5B50-9CC6-66DB511053B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00" name="Text Box 16" hidden="1">
          <a:extLst>
            <a:ext uri="{FF2B5EF4-FFF2-40B4-BE49-F238E27FC236}">
              <a16:creationId xmlns:a16="http://schemas.microsoft.com/office/drawing/2014/main" id="{24B7349C-2BD0-A087-C78A-A9CC94E4F450}"/>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799" name="Text Box 15" hidden="1">
          <a:extLst>
            <a:ext uri="{FF2B5EF4-FFF2-40B4-BE49-F238E27FC236}">
              <a16:creationId xmlns:a16="http://schemas.microsoft.com/office/drawing/2014/main" id="{5DDD761A-13C1-2BC6-3447-3747C9E32C6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798" name="Text Box 14" hidden="1">
          <a:extLst>
            <a:ext uri="{FF2B5EF4-FFF2-40B4-BE49-F238E27FC236}">
              <a16:creationId xmlns:a16="http://schemas.microsoft.com/office/drawing/2014/main" id="{F53EC694-F16E-5A10-322A-CA7FF0340567}"/>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797" name="Text Box 13" hidden="1">
          <a:extLst>
            <a:ext uri="{FF2B5EF4-FFF2-40B4-BE49-F238E27FC236}">
              <a16:creationId xmlns:a16="http://schemas.microsoft.com/office/drawing/2014/main" id="{F543D351-8DBC-F50B-1062-2F9154B8B8ED}"/>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796" name="Text Box 12" hidden="1">
          <a:extLst>
            <a:ext uri="{FF2B5EF4-FFF2-40B4-BE49-F238E27FC236}">
              <a16:creationId xmlns:a16="http://schemas.microsoft.com/office/drawing/2014/main" id="{C0A05457-7600-16BB-893B-CF6C120EBE8F}"/>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795" name="Text Box 11" hidden="1">
          <a:extLst>
            <a:ext uri="{FF2B5EF4-FFF2-40B4-BE49-F238E27FC236}">
              <a16:creationId xmlns:a16="http://schemas.microsoft.com/office/drawing/2014/main" id="{B2C67A36-10AD-885F-DDCC-1E3B6617A2EF}"/>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794" name="Text Box 10" hidden="1">
          <a:extLst>
            <a:ext uri="{FF2B5EF4-FFF2-40B4-BE49-F238E27FC236}">
              <a16:creationId xmlns:a16="http://schemas.microsoft.com/office/drawing/2014/main" id="{67D9ECF6-36A2-B24C-CB2B-19AF4E65DE22}"/>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793" name="Text Box 9" hidden="1">
          <a:extLst>
            <a:ext uri="{FF2B5EF4-FFF2-40B4-BE49-F238E27FC236}">
              <a16:creationId xmlns:a16="http://schemas.microsoft.com/office/drawing/2014/main" id="{6499AFD0-0D3C-9626-77E0-163B00E0C5A8}"/>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792" name="Text Box 8" hidden="1">
          <a:extLst>
            <a:ext uri="{FF2B5EF4-FFF2-40B4-BE49-F238E27FC236}">
              <a16:creationId xmlns:a16="http://schemas.microsoft.com/office/drawing/2014/main" id="{8323A68D-C652-1CB0-83AD-2C533213EA66}"/>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791" name="Text Box 7" hidden="1">
          <a:extLst>
            <a:ext uri="{FF2B5EF4-FFF2-40B4-BE49-F238E27FC236}">
              <a16:creationId xmlns:a16="http://schemas.microsoft.com/office/drawing/2014/main" id="{95C09B52-68C8-0F41-659B-823A23339DE1}"/>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790" name="Text Box 6" hidden="1">
          <a:extLst>
            <a:ext uri="{FF2B5EF4-FFF2-40B4-BE49-F238E27FC236}">
              <a16:creationId xmlns:a16="http://schemas.microsoft.com/office/drawing/2014/main" id="{8CB1AAAF-58D9-9031-9789-2AC182EA9A72}"/>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789" name="Text Box 5" hidden="1">
          <a:extLst>
            <a:ext uri="{FF2B5EF4-FFF2-40B4-BE49-F238E27FC236}">
              <a16:creationId xmlns:a16="http://schemas.microsoft.com/office/drawing/2014/main" id="{FF18EBFC-7F38-6B20-BD49-0160F06B309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788" name="Text Box 4" hidden="1">
          <a:extLst>
            <a:ext uri="{FF2B5EF4-FFF2-40B4-BE49-F238E27FC236}">
              <a16:creationId xmlns:a16="http://schemas.microsoft.com/office/drawing/2014/main" id="{9D61376E-C2CF-1CB9-590B-710CD4D51A27}"/>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787" name="Text Box 3" hidden="1">
          <a:extLst>
            <a:ext uri="{FF2B5EF4-FFF2-40B4-BE49-F238E27FC236}">
              <a16:creationId xmlns:a16="http://schemas.microsoft.com/office/drawing/2014/main" id="{51BC98D4-A2F3-372A-3290-601916FEC46D}"/>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786" name="Text Box 2" hidden="1">
          <a:extLst>
            <a:ext uri="{FF2B5EF4-FFF2-40B4-BE49-F238E27FC236}">
              <a16:creationId xmlns:a16="http://schemas.microsoft.com/office/drawing/2014/main" id="{10A233C3-8A75-CFE0-A6D6-3D975BFE6960}"/>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785" name="Text Box 1" hidden="1">
          <a:extLst>
            <a:ext uri="{FF2B5EF4-FFF2-40B4-BE49-F238E27FC236}">
              <a16:creationId xmlns:a16="http://schemas.microsoft.com/office/drawing/2014/main" id="{0F349C63-4ECF-5776-6CFB-8F7B7F73F96C}"/>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50" name="Text Box 66" hidden="1">
          <a:extLst>
            <a:ext uri="{FF2B5EF4-FFF2-40B4-BE49-F238E27FC236}">
              <a16:creationId xmlns:a16="http://schemas.microsoft.com/office/drawing/2014/main" id="{99640061-894F-95E7-1020-749D48C6CB0F}"/>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49" name="Text Box 65" hidden="1">
          <a:extLst>
            <a:ext uri="{FF2B5EF4-FFF2-40B4-BE49-F238E27FC236}">
              <a16:creationId xmlns:a16="http://schemas.microsoft.com/office/drawing/2014/main" id="{F0705C3F-82EE-8576-A345-6FDBF6095DAF}"/>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48" name="Text Box 64" hidden="1">
          <a:extLst>
            <a:ext uri="{FF2B5EF4-FFF2-40B4-BE49-F238E27FC236}">
              <a16:creationId xmlns:a16="http://schemas.microsoft.com/office/drawing/2014/main" id="{AE5E62E2-989E-1E44-F8C7-3546FE8C674D}"/>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47" name="Text Box 63" hidden="1">
          <a:extLst>
            <a:ext uri="{FF2B5EF4-FFF2-40B4-BE49-F238E27FC236}">
              <a16:creationId xmlns:a16="http://schemas.microsoft.com/office/drawing/2014/main" id="{B289B906-00DA-2B28-8819-AA028B14CC01}"/>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46" name="Text Box 62" hidden="1">
          <a:extLst>
            <a:ext uri="{FF2B5EF4-FFF2-40B4-BE49-F238E27FC236}">
              <a16:creationId xmlns:a16="http://schemas.microsoft.com/office/drawing/2014/main" id="{CBCBF812-4BFA-5A9F-C09D-4FB6987A5870}"/>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45" name="Text Box 61" hidden="1">
          <a:extLst>
            <a:ext uri="{FF2B5EF4-FFF2-40B4-BE49-F238E27FC236}">
              <a16:creationId xmlns:a16="http://schemas.microsoft.com/office/drawing/2014/main" id="{71981D4B-BC9B-E0AB-7FDE-325ADC4D630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44" name="Text Box 60" hidden="1">
          <a:extLst>
            <a:ext uri="{FF2B5EF4-FFF2-40B4-BE49-F238E27FC236}">
              <a16:creationId xmlns:a16="http://schemas.microsoft.com/office/drawing/2014/main" id="{0E891BA3-7D65-C766-F2A4-AADFDC9A8AF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43" name="Text Box 59" hidden="1">
          <a:extLst>
            <a:ext uri="{FF2B5EF4-FFF2-40B4-BE49-F238E27FC236}">
              <a16:creationId xmlns:a16="http://schemas.microsoft.com/office/drawing/2014/main" id="{D1E3070C-99B5-A70D-7D02-C02044B3DAB9}"/>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42" name="Text Box 58" hidden="1">
          <a:extLst>
            <a:ext uri="{FF2B5EF4-FFF2-40B4-BE49-F238E27FC236}">
              <a16:creationId xmlns:a16="http://schemas.microsoft.com/office/drawing/2014/main" id="{016EE477-7142-C5AC-5E4A-DB6CB6849D31}"/>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41" name="Text Box 57" hidden="1">
          <a:extLst>
            <a:ext uri="{FF2B5EF4-FFF2-40B4-BE49-F238E27FC236}">
              <a16:creationId xmlns:a16="http://schemas.microsoft.com/office/drawing/2014/main" id="{90D653DB-50BD-6ADE-A80B-3F3ECCB4E741}"/>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40" name="Text Box 56" hidden="1">
          <a:extLst>
            <a:ext uri="{FF2B5EF4-FFF2-40B4-BE49-F238E27FC236}">
              <a16:creationId xmlns:a16="http://schemas.microsoft.com/office/drawing/2014/main" id="{805D8F2B-F76D-57BF-C4AC-FFF2A6A03DDA}"/>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39" name="Text Box 55" hidden="1">
          <a:extLst>
            <a:ext uri="{FF2B5EF4-FFF2-40B4-BE49-F238E27FC236}">
              <a16:creationId xmlns:a16="http://schemas.microsoft.com/office/drawing/2014/main" id="{27241CC6-0220-5396-4E32-7C49A659D570}"/>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38" name="Text Box 54" hidden="1">
          <a:extLst>
            <a:ext uri="{FF2B5EF4-FFF2-40B4-BE49-F238E27FC236}">
              <a16:creationId xmlns:a16="http://schemas.microsoft.com/office/drawing/2014/main" id="{BA29C60B-4330-33F3-7BF4-2BFAFCC2EA75}"/>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37" name="Text Box 53" hidden="1">
          <a:extLst>
            <a:ext uri="{FF2B5EF4-FFF2-40B4-BE49-F238E27FC236}">
              <a16:creationId xmlns:a16="http://schemas.microsoft.com/office/drawing/2014/main" id="{FFA6B635-DF6E-A97E-0BF6-CE6BE320FFE5}"/>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36" name="Text Box 52" hidden="1">
          <a:extLst>
            <a:ext uri="{FF2B5EF4-FFF2-40B4-BE49-F238E27FC236}">
              <a16:creationId xmlns:a16="http://schemas.microsoft.com/office/drawing/2014/main" id="{A7653E6D-827D-82D6-FAC7-A423EF80E3C2}"/>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35" name="Text Box 51" hidden="1">
          <a:extLst>
            <a:ext uri="{FF2B5EF4-FFF2-40B4-BE49-F238E27FC236}">
              <a16:creationId xmlns:a16="http://schemas.microsoft.com/office/drawing/2014/main" id="{48BFD2B7-4F6E-0261-C57C-AE34B0229C08}"/>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34" name="Text Box 50" hidden="1">
          <a:extLst>
            <a:ext uri="{FF2B5EF4-FFF2-40B4-BE49-F238E27FC236}">
              <a16:creationId xmlns:a16="http://schemas.microsoft.com/office/drawing/2014/main" id="{F6241024-671F-41EE-558D-4CCDF5A4B0C4}"/>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33" name="Text Box 49" hidden="1">
          <a:extLst>
            <a:ext uri="{FF2B5EF4-FFF2-40B4-BE49-F238E27FC236}">
              <a16:creationId xmlns:a16="http://schemas.microsoft.com/office/drawing/2014/main" id="{9D31A86F-CAFD-41BA-39AC-36300E4D4BC4}"/>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32" name="Text Box 48" hidden="1">
          <a:extLst>
            <a:ext uri="{FF2B5EF4-FFF2-40B4-BE49-F238E27FC236}">
              <a16:creationId xmlns:a16="http://schemas.microsoft.com/office/drawing/2014/main" id="{E9F40E56-3167-D8F7-70ED-AEFA47D02106}"/>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31" name="Text Box 47" hidden="1">
          <a:extLst>
            <a:ext uri="{FF2B5EF4-FFF2-40B4-BE49-F238E27FC236}">
              <a16:creationId xmlns:a16="http://schemas.microsoft.com/office/drawing/2014/main" id="{438A0AA6-3419-A854-CF4E-62113C787745}"/>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30" name="Text Box 46" hidden="1">
          <a:extLst>
            <a:ext uri="{FF2B5EF4-FFF2-40B4-BE49-F238E27FC236}">
              <a16:creationId xmlns:a16="http://schemas.microsoft.com/office/drawing/2014/main" id="{0BE35A8E-D55E-43E0-707E-D1AD086C3032}"/>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29" name="Text Box 45" hidden="1">
          <a:extLst>
            <a:ext uri="{FF2B5EF4-FFF2-40B4-BE49-F238E27FC236}">
              <a16:creationId xmlns:a16="http://schemas.microsoft.com/office/drawing/2014/main" id="{7575D9DB-E972-6250-4981-B5503FB221CF}"/>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72" name="Text Box 88" hidden="1">
          <a:extLst>
            <a:ext uri="{FF2B5EF4-FFF2-40B4-BE49-F238E27FC236}">
              <a16:creationId xmlns:a16="http://schemas.microsoft.com/office/drawing/2014/main" id="{7AF91232-8281-6785-7ADC-4F3D69AC7E53}"/>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71" name="Text Box 87" hidden="1">
          <a:extLst>
            <a:ext uri="{FF2B5EF4-FFF2-40B4-BE49-F238E27FC236}">
              <a16:creationId xmlns:a16="http://schemas.microsoft.com/office/drawing/2014/main" id="{E4F7059B-2534-AE74-4B50-D8DCAB434741}"/>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70" name="Text Box 86" hidden="1">
          <a:extLst>
            <a:ext uri="{FF2B5EF4-FFF2-40B4-BE49-F238E27FC236}">
              <a16:creationId xmlns:a16="http://schemas.microsoft.com/office/drawing/2014/main" id="{F9BA2D91-B171-D2EF-77C0-04285C0718F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69" name="Text Box 85" hidden="1">
          <a:extLst>
            <a:ext uri="{FF2B5EF4-FFF2-40B4-BE49-F238E27FC236}">
              <a16:creationId xmlns:a16="http://schemas.microsoft.com/office/drawing/2014/main" id="{A0F6F90C-D882-86A4-45FA-F41D5996E595}"/>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68" name="Text Box 84" hidden="1">
          <a:extLst>
            <a:ext uri="{FF2B5EF4-FFF2-40B4-BE49-F238E27FC236}">
              <a16:creationId xmlns:a16="http://schemas.microsoft.com/office/drawing/2014/main" id="{6A469C6C-AA4D-7A1E-7EC5-F1CFFFD7E507}"/>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67" name="Text Box 83" hidden="1">
          <a:extLst>
            <a:ext uri="{FF2B5EF4-FFF2-40B4-BE49-F238E27FC236}">
              <a16:creationId xmlns:a16="http://schemas.microsoft.com/office/drawing/2014/main" id="{1F3B3CCA-C9A9-708A-8B17-596D12A3250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66" name="Text Box 82" hidden="1">
          <a:extLst>
            <a:ext uri="{FF2B5EF4-FFF2-40B4-BE49-F238E27FC236}">
              <a16:creationId xmlns:a16="http://schemas.microsoft.com/office/drawing/2014/main" id="{7B74789C-79E3-F9F0-D3DF-17558EE46C26}"/>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65" name="Text Box 81" hidden="1">
          <a:extLst>
            <a:ext uri="{FF2B5EF4-FFF2-40B4-BE49-F238E27FC236}">
              <a16:creationId xmlns:a16="http://schemas.microsoft.com/office/drawing/2014/main" id="{12AC4C36-F398-BA2E-4199-B90887F6021C}"/>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64" name="Text Box 80" hidden="1">
          <a:extLst>
            <a:ext uri="{FF2B5EF4-FFF2-40B4-BE49-F238E27FC236}">
              <a16:creationId xmlns:a16="http://schemas.microsoft.com/office/drawing/2014/main" id="{5341A950-D91D-7AC6-8A85-2B36285D5589}"/>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63" name="Text Box 79" hidden="1">
          <a:extLst>
            <a:ext uri="{FF2B5EF4-FFF2-40B4-BE49-F238E27FC236}">
              <a16:creationId xmlns:a16="http://schemas.microsoft.com/office/drawing/2014/main" id="{D5993588-39DB-4F37-6696-25C073A466D0}"/>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62" name="Text Box 78" hidden="1">
          <a:extLst>
            <a:ext uri="{FF2B5EF4-FFF2-40B4-BE49-F238E27FC236}">
              <a16:creationId xmlns:a16="http://schemas.microsoft.com/office/drawing/2014/main" id="{2A1A90C0-9F55-BE35-F10B-A89D8D30A8B0}"/>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61" name="Text Box 77" hidden="1">
          <a:extLst>
            <a:ext uri="{FF2B5EF4-FFF2-40B4-BE49-F238E27FC236}">
              <a16:creationId xmlns:a16="http://schemas.microsoft.com/office/drawing/2014/main" id="{64EA3E40-834D-CEBF-C660-FBCB51A29E98}"/>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60" name="Text Box 76" hidden="1">
          <a:extLst>
            <a:ext uri="{FF2B5EF4-FFF2-40B4-BE49-F238E27FC236}">
              <a16:creationId xmlns:a16="http://schemas.microsoft.com/office/drawing/2014/main" id="{2BB8A40B-3FFE-52B4-4CEF-72FAE5BAFC56}"/>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59" name="Text Box 75" hidden="1">
          <a:extLst>
            <a:ext uri="{FF2B5EF4-FFF2-40B4-BE49-F238E27FC236}">
              <a16:creationId xmlns:a16="http://schemas.microsoft.com/office/drawing/2014/main" id="{9260CD24-44E2-F5C3-2066-BB8BCB37CF33}"/>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58" name="Text Box 74" hidden="1">
          <a:extLst>
            <a:ext uri="{FF2B5EF4-FFF2-40B4-BE49-F238E27FC236}">
              <a16:creationId xmlns:a16="http://schemas.microsoft.com/office/drawing/2014/main" id="{1EB2E648-5F14-258F-2FEB-1D3469BE027E}"/>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57" name="Text Box 73" hidden="1">
          <a:extLst>
            <a:ext uri="{FF2B5EF4-FFF2-40B4-BE49-F238E27FC236}">
              <a16:creationId xmlns:a16="http://schemas.microsoft.com/office/drawing/2014/main" id="{94C6C7A5-FFFE-18B6-7C44-1B714188AD7D}"/>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56" name="Text Box 72" hidden="1">
          <a:extLst>
            <a:ext uri="{FF2B5EF4-FFF2-40B4-BE49-F238E27FC236}">
              <a16:creationId xmlns:a16="http://schemas.microsoft.com/office/drawing/2014/main" id="{B3D97B66-4672-EB2A-9776-F5C61C6654BC}"/>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55" name="Text Box 71" hidden="1">
          <a:extLst>
            <a:ext uri="{FF2B5EF4-FFF2-40B4-BE49-F238E27FC236}">
              <a16:creationId xmlns:a16="http://schemas.microsoft.com/office/drawing/2014/main" id="{87BE496F-6C86-0A90-C7B8-FD640790D816}"/>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54" name="Text Box 70" hidden="1">
          <a:extLst>
            <a:ext uri="{FF2B5EF4-FFF2-40B4-BE49-F238E27FC236}">
              <a16:creationId xmlns:a16="http://schemas.microsoft.com/office/drawing/2014/main" id="{71FF8AEC-610D-F4A5-D692-EAF96D6BE45E}"/>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53" name="Text Box 69" hidden="1">
          <a:extLst>
            <a:ext uri="{FF2B5EF4-FFF2-40B4-BE49-F238E27FC236}">
              <a16:creationId xmlns:a16="http://schemas.microsoft.com/office/drawing/2014/main" id="{30DFF70A-C6F5-E18B-D007-AE747151E6E2}"/>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52" name="Text Box 68" hidden="1">
          <a:extLst>
            <a:ext uri="{FF2B5EF4-FFF2-40B4-BE49-F238E27FC236}">
              <a16:creationId xmlns:a16="http://schemas.microsoft.com/office/drawing/2014/main" id="{B15F50AA-CF08-D8E8-97F2-3360AC321FF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51" name="Text Box 67" hidden="1">
          <a:extLst>
            <a:ext uri="{FF2B5EF4-FFF2-40B4-BE49-F238E27FC236}">
              <a16:creationId xmlns:a16="http://schemas.microsoft.com/office/drawing/2014/main" id="{8EE795C3-8C65-CD4C-4A8C-3BA97381E917}"/>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94" name="Text Box 110" hidden="1">
          <a:extLst>
            <a:ext uri="{FF2B5EF4-FFF2-40B4-BE49-F238E27FC236}">
              <a16:creationId xmlns:a16="http://schemas.microsoft.com/office/drawing/2014/main" id="{25256130-E880-A47D-82C5-08B5A99AEFD2}"/>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93" name="Text Box 109" hidden="1">
          <a:extLst>
            <a:ext uri="{FF2B5EF4-FFF2-40B4-BE49-F238E27FC236}">
              <a16:creationId xmlns:a16="http://schemas.microsoft.com/office/drawing/2014/main" id="{1CCBAA83-BC2C-595C-1E39-ADD863B1BC8B}"/>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92" name="Text Box 108" hidden="1">
          <a:extLst>
            <a:ext uri="{FF2B5EF4-FFF2-40B4-BE49-F238E27FC236}">
              <a16:creationId xmlns:a16="http://schemas.microsoft.com/office/drawing/2014/main" id="{CFF7E405-F6F7-C9BF-0FAC-950A9A3D3B1D}"/>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91" name="Text Box 107" hidden="1">
          <a:extLst>
            <a:ext uri="{FF2B5EF4-FFF2-40B4-BE49-F238E27FC236}">
              <a16:creationId xmlns:a16="http://schemas.microsoft.com/office/drawing/2014/main" id="{90A7D46F-C880-775B-CB81-0D99C0A0D95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90" name="Text Box 106" hidden="1">
          <a:extLst>
            <a:ext uri="{FF2B5EF4-FFF2-40B4-BE49-F238E27FC236}">
              <a16:creationId xmlns:a16="http://schemas.microsoft.com/office/drawing/2014/main" id="{B188E858-BA5A-B740-51A5-FF851A99877D}"/>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89" name="Text Box 105" hidden="1">
          <a:extLst>
            <a:ext uri="{FF2B5EF4-FFF2-40B4-BE49-F238E27FC236}">
              <a16:creationId xmlns:a16="http://schemas.microsoft.com/office/drawing/2014/main" id="{F0B62279-91EF-0E6F-F35A-50B6357DF33B}"/>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88" name="Text Box 104" hidden="1">
          <a:extLst>
            <a:ext uri="{FF2B5EF4-FFF2-40B4-BE49-F238E27FC236}">
              <a16:creationId xmlns:a16="http://schemas.microsoft.com/office/drawing/2014/main" id="{CFB98FD6-0CB4-91AD-7A63-21FFDF1B83FF}"/>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87" name="Text Box 103" hidden="1">
          <a:extLst>
            <a:ext uri="{FF2B5EF4-FFF2-40B4-BE49-F238E27FC236}">
              <a16:creationId xmlns:a16="http://schemas.microsoft.com/office/drawing/2014/main" id="{A2C3E25A-4D37-FADF-E0B6-C088FDAD2C7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86" name="Text Box 102" hidden="1">
          <a:extLst>
            <a:ext uri="{FF2B5EF4-FFF2-40B4-BE49-F238E27FC236}">
              <a16:creationId xmlns:a16="http://schemas.microsoft.com/office/drawing/2014/main" id="{D29B5CDF-6F39-8EFA-89BC-88B13BA8E2D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85" name="Text Box 101" hidden="1">
          <a:extLst>
            <a:ext uri="{FF2B5EF4-FFF2-40B4-BE49-F238E27FC236}">
              <a16:creationId xmlns:a16="http://schemas.microsoft.com/office/drawing/2014/main" id="{C00933AE-39FB-7ECE-E4A1-F86A263BA6AE}"/>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84" name="Text Box 100" hidden="1">
          <a:extLst>
            <a:ext uri="{FF2B5EF4-FFF2-40B4-BE49-F238E27FC236}">
              <a16:creationId xmlns:a16="http://schemas.microsoft.com/office/drawing/2014/main" id="{60291502-FFCF-D628-B423-80271B78114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83" name="Text Box 99" hidden="1">
          <a:extLst>
            <a:ext uri="{FF2B5EF4-FFF2-40B4-BE49-F238E27FC236}">
              <a16:creationId xmlns:a16="http://schemas.microsoft.com/office/drawing/2014/main" id="{3DCD7691-D6E1-668F-FE13-79F69057AC57}"/>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82" name="Text Box 98" hidden="1">
          <a:extLst>
            <a:ext uri="{FF2B5EF4-FFF2-40B4-BE49-F238E27FC236}">
              <a16:creationId xmlns:a16="http://schemas.microsoft.com/office/drawing/2014/main" id="{0D212C12-AC6D-9779-D628-4EB83D70B92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81" name="Text Box 97" hidden="1">
          <a:extLst>
            <a:ext uri="{FF2B5EF4-FFF2-40B4-BE49-F238E27FC236}">
              <a16:creationId xmlns:a16="http://schemas.microsoft.com/office/drawing/2014/main" id="{194272D9-CBAF-ACF7-DBCD-B52E65F58DE5}"/>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80" name="Text Box 96" hidden="1">
          <a:extLst>
            <a:ext uri="{FF2B5EF4-FFF2-40B4-BE49-F238E27FC236}">
              <a16:creationId xmlns:a16="http://schemas.microsoft.com/office/drawing/2014/main" id="{E2D54384-02E0-0302-4735-379EB36B878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79" name="Text Box 95" hidden="1">
          <a:extLst>
            <a:ext uri="{FF2B5EF4-FFF2-40B4-BE49-F238E27FC236}">
              <a16:creationId xmlns:a16="http://schemas.microsoft.com/office/drawing/2014/main" id="{2D72BFA8-C0F0-B699-46E7-E2DB707D997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78" name="Text Box 94" hidden="1">
          <a:extLst>
            <a:ext uri="{FF2B5EF4-FFF2-40B4-BE49-F238E27FC236}">
              <a16:creationId xmlns:a16="http://schemas.microsoft.com/office/drawing/2014/main" id="{1804D1E9-F634-3B79-C16E-1CE1C679353A}"/>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77" name="Text Box 93" hidden="1">
          <a:extLst>
            <a:ext uri="{FF2B5EF4-FFF2-40B4-BE49-F238E27FC236}">
              <a16:creationId xmlns:a16="http://schemas.microsoft.com/office/drawing/2014/main" id="{E8F36882-1846-5B86-0EAB-2E659038672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76" name="Text Box 92" hidden="1">
          <a:extLst>
            <a:ext uri="{FF2B5EF4-FFF2-40B4-BE49-F238E27FC236}">
              <a16:creationId xmlns:a16="http://schemas.microsoft.com/office/drawing/2014/main" id="{74B758DE-0508-00CD-6789-4D9C3FD51A1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75" name="Text Box 91" hidden="1">
          <a:extLst>
            <a:ext uri="{FF2B5EF4-FFF2-40B4-BE49-F238E27FC236}">
              <a16:creationId xmlns:a16="http://schemas.microsoft.com/office/drawing/2014/main" id="{52A7E333-B261-790F-4952-A411D7A5B2D3}"/>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74" name="Text Box 90" hidden="1">
          <a:extLst>
            <a:ext uri="{FF2B5EF4-FFF2-40B4-BE49-F238E27FC236}">
              <a16:creationId xmlns:a16="http://schemas.microsoft.com/office/drawing/2014/main" id="{A34CF741-B2A6-E77C-A3AE-6F25997135DE}"/>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73" name="Text Box 89" hidden="1">
          <a:extLst>
            <a:ext uri="{FF2B5EF4-FFF2-40B4-BE49-F238E27FC236}">
              <a16:creationId xmlns:a16="http://schemas.microsoft.com/office/drawing/2014/main" id="{A21C6280-7F95-67DB-3DD8-4951E5CF6A1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16" name="Text Box 132" hidden="1">
          <a:extLst>
            <a:ext uri="{FF2B5EF4-FFF2-40B4-BE49-F238E27FC236}">
              <a16:creationId xmlns:a16="http://schemas.microsoft.com/office/drawing/2014/main" id="{0A221E32-BE23-E809-05DA-D6D169D613D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15" name="Text Box 131" hidden="1">
          <a:extLst>
            <a:ext uri="{FF2B5EF4-FFF2-40B4-BE49-F238E27FC236}">
              <a16:creationId xmlns:a16="http://schemas.microsoft.com/office/drawing/2014/main" id="{B02DD45E-7C11-2175-08B1-BE8397BD534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14" name="Text Box 130" hidden="1">
          <a:extLst>
            <a:ext uri="{FF2B5EF4-FFF2-40B4-BE49-F238E27FC236}">
              <a16:creationId xmlns:a16="http://schemas.microsoft.com/office/drawing/2014/main" id="{FA260A94-443E-B1F4-004D-986D34C65598}"/>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13" name="Text Box 129" hidden="1">
          <a:extLst>
            <a:ext uri="{FF2B5EF4-FFF2-40B4-BE49-F238E27FC236}">
              <a16:creationId xmlns:a16="http://schemas.microsoft.com/office/drawing/2014/main" id="{9BC31091-3980-BD5B-1994-B44A8C8C0351}"/>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12" name="Text Box 128" hidden="1">
          <a:extLst>
            <a:ext uri="{FF2B5EF4-FFF2-40B4-BE49-F238E27FC236}">
              <a16:creationId xmlns:a16="http://schemas.microsoft.com/office/drawing/2014/main" id="{7252387C-3FEB-7B88-89C9-6FF40315CDD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11" name="Text Box 127" hidden="1">
          <a:extLst>
            <a:ext uri="{FF2B5EF4-FFF2-40B4-BE49-F238E27FC236}">
              <a16:creationId xmlns:a16="http://schemas.microsoft.com/office/drawing/2014/main" id="{4F8E13B4-9921-5B4F-A040-4FAE479CCB4A}"/>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10" name="Text Box 126" hidden="1">
          <a:extLst>
            <a:ext uri="{FF2B5EF4-FFF2-40B4-BE49-F238E27FC236}">
              <a16:creationId xmlns:a16="http://schemas.microsoft.com/office/drawing/2014/main" id="{102E055F-7D9C-26BD-90F3-8C4FD8398CCE}"/>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09" name="Text Box 125" hidden="1">
          <a:extLst>
            <a:ext uri="{FF2B5EF4-FFF2-40B4-BE49-F238E27FC236}">
              <a16:creationId xmlns:a16="http://schemas.microsoft.com/office/drawing/2014/main" id="{3E1C61F4-8B56-525B-47ED-5384AFBC96D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08" name="Text Box 124" hidden="1">
          <a:extLst>
            <a:ext uri="{FF2B5EF4-FFF2-40B4-BE49-F238E27FC236}">
              <a16:creationId xmlns:a16="http://schemas.microsoft.com/office/drawing/2014/main" id="{01FC1866-F113-FF12-4823-666EF0231F5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07" name="Text Box 123" hidden="1">
          <a:extLst>
            <a:ext uri="{FF2B5EF4-FFF2-40B4-BE49-F238E27FC236}">
              <a16:creationId xmlns:a16="http://schemas.microsoft.com/office/drawing/2014/main" id="{81AE6A70-3ED4-D4AD-5987-4518A22EC21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06" name="Text Box 122" hidden="1">
          <a:extLst>
            <a:ext uri="{FF2B5EF4-FFF2-40B4-BE49-F238E27FC236}">
              <a16:creationId xmlns:a16="http://schemas.microsoft.com/office/drawing/2014/main" id="{1875F95E-BEEA-12C7-76F9-E6B13F5B4B1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05" name="Text Box 121" hidden="1">
          <a:extLst>
            <a:ext uri="{FF2B5EF4-FFF2-40B4-BE49-F238E27FC236}">
              <a16:creationId xmlns:a16="http://schemas.microsoft.com/office/drawing/2014/main" id="{F65D3EA8-8AAA-8BAD-170C-8276218E978A}"/>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04" name="Text Box 120" hidden="1">
          <a:extLst>
            <a:ext uri="{FF2B5EF4-FFF2-40B4-BE49-F238E27FC236}">
              <a16:creationId xmlns:a16="http://schemas.microsoft.com/office/drawing/2014/main" id="{A2E5B693-0632-710B-49A8-5DC8504EB2C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03" name="Text Box 119" hidden="1">
          <a:extLst>
            <a:ext uri="{FF2B5EF4-FFF2-40B4-BE49-F238E27FC236}">
              <a16:creationId xmlns:a16="http://schemas.microsoft.com/office/drawing/2014/main" id="{163F81B9-D678-685F-196A-9447D479B117}"/>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02" name="Text Box 118" hidden="1">
          <a:extLst>
            <a:ext uri="{FF2B5EF4-FFF2-40B4-BE49-F238E27FC236}">
              <a16:creationId xmlns:a16="http://schemas.microsoft.com/office/drawing/2014/main" id="{F0BDF787-76F2-AD6B-89EF-AE16B0CA335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01" name="Text Box 117" hidden="1">
          <a:extLst>
            <a:ext uri="{FF2B5EF4-FFF2-40B4-BE49-F238E27FC236}">
              <a16:creationId xmlns:a16="http://schemas.microsoft.com/office/drawing/2014/main" id="{1F0A853F-BD49-C482-A3A3-DD74860C7731}"/>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00" name="Text Box 116" hidden="1">
          <a:extLst>
            <a:ext uri="{FF2B5EF4-FFF2-40B4-BE49-F238E27FC236}">
              <a16:creationId xmlns:a16="http://schemas.microsoft.com/office/drawing/2014/main" id="{54E639DF-D850-CC7C-E2F0-3B784D47180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99" name="Text Box 115" hidden="1">
          <a:extLst>
            <a:ext uri="{FF2B5EF4-FFF2-40B4-BE49-F238E27FC236}">
              <a16:creationId xmlns:a16="http://schemas.microsoft.com/office/drawing/2014/main" id="{602C2BAF-031C-B283-5B24-8EB103D4BC7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98" name="Text Box 114" hidden="1">
          <a:extLst>
            <a:ext uri="{FF2B5EF4-FFF2-40B4-BE49-F238E27FC236}">
              <a16:creationId xmlns:a16="http://schemas.microsoft.com/office/drawing/2014/main" id="{55191122-C950-CE5C-CC2D-50879D9DA1F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97" name="Text Box 113" hidden="1">
          <a:extLst>
            <a:ext uri="{FF2B5EF4-FFF2-40B4-BE49-F238E27FC236}">
              <a16:creationId xmlns:a16="http://schemas.microsoft.com/office/drawing/2014/main" id="{CF1BA278-C5FA-D1A2-7D97-301275074399}"/>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96" name="Text Box 112" hidden="1">
          <a:extLst>
            <a:ext uri="{FF2B5EF4-FFF2-40B4-BE49-F238E27FC236}">
              <a16:creationId xmlns:a16="http://schemas.microsoft.com/office/drawing/2014/main" id="{2A24F6E1-97FE-40BF-96A0-2EEE1DB94D6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95" name="Text Box 111" hidden="1">
          <a:extLst>
            <a:ext uri="{FF2B5EF4-FFF2-40B4-BE49-F238E27FC236}">
              <a16:creationId xmlns:a16="http://schemas.microsoft.com/office/drawing/2014/main" id="{57DDF94C-20EF-A458-1395-D495F26E51ED}"/>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60" name="Text Box 176" hidden="1">
          <a:extLst>
            <a:ext uri="{FF2B5EF4-FFF2-40B4-BE49-F238E27FC236}">
              <a16:creationId xmlns:a16="http://schemas.microsoft.com/office/drawing/2014/main" id="{3E3313D9-BDB2-EC61-09D0-183805E0B8FE}"/>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59" name="Text Box 175" hidden="1">
          <a:extLst>
            <a:ext uri="{FF2B5EF4-FFF2-40B4-BE49-F238E27FC236}">
              <a16:creationId xmlns:a16="http://schemas.microsoft.com/office/drawing/2014/main" id="{6A6D2E87-DB96-C3F3-8C54-9207C7F8954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58" name="Text Box 174" hidden="1">
          <a:extLst>
            <a:ext uri="{FF2B5EF4-FFF2-40B4-BE49-F238E27FC236}">
              <a16:creationId xmlns:a16="http://schemas.microsoft.com/office/drawing/2014/main" id="{5DA4CE58-E148-AA23-6FF4-1E391AC66C1E}"/>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57" name="Text Box 173" hidden="1">
          <a:extLst>
            <a:ext uri="{FF2B5EF4-FFF2-40B4-BE49-F238E27FC236}">
              <a16:creationId xmlns:a16="http://schemas.microsoft.com/office/drawing/2014/main" id="{2A646F4C-5D22-C6AF-05EE-31C3A0AFD77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56" name="Text Box 172" hidden="1">
          <a:extLst>
            <a:ext uri="{FF2B5EF4-FFF2-40B4-BE49-F238E27FC236}">
              <a16:creationId xmlns:a16="http://schemas.microsoft.com/office/drawing/2014/main" id="{6235E126-2106-1B6A-3042-18A56A5DC1D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55" name="Text Box 171" hidden="1">
          <a:extLst>
            <a:ext uri="{FF2B5EF4-FFF2-40B4-BE49-F238E27FC236}">
              <a16:creationId xmlns:a16="http://schemas.microsoft.com/office/drawing/2014/main" id="{F549100D-DEBC-A93D-8AF2-991E08A6533C}"/>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54" name="Text Box 170" hidden="1">
          <a:extLst>
            <a:ext uri="{FF2B5EF4-FFF2-40B4-BE49-F238E27FC236}">
              <a16:creationId xmlns:a16="http://schemas.microsoft.com/office/drawing/2014/main" id="{9D1C03AC-2F36-182C-64C1-4AFE77120B02}"/>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53" name="Text Box 169" hidden="1">
          <a:extLst>
            <a:ext uri="{FF2B5EF4-FFF2-40B4-BE49-F238E27FC236}">
              <a16:creationId xmlns:a16="http://schemas.microsoft.com/office/drawing/2014/main" id="{67B2AE80-5948-C6C4-C0D9-D414B27A4A3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52" name="Text Box 168" hidden="1">
          <a:extLst>
            <a:ext uri="{FF2B5EF4-FFF2-40B4-BE49-F238E27FC236}">
              <a16:creationId xmlns:a16="http://schemas.microsoft.com/office/drawing/2014/main" id="{C08AEF15-86F9-D266-7199-1FA804323466}"/>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51" name="Text Box 167" hidden="1">
          <a:extLst>
            <a:ext uri="{FF2B5EF4-FFF2-40B4-BE49-F238E27FC236}">
              <a16:creationId xmlns:a16="http://schemas.microsoft.com/office/drawing/2014/main" id="{ECBE2DCE-FA78-F08E-10F6-C0633B92F597}"/>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50" name="Text Box 166" hidden="1">
          <a:extLst>
            <a:ext uri="{FF2B5EF4-FFF2-40B4-BE49-F238E27FC236}">
              <a16:creationId xmlns:a16="http://schemas.microsoft.com/office/drawing/2014/main" id="{7DD0053C-C812-56D7-509F-1890694D7055}"/>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49" name="Text Box 165" hidden="1">
          <a:extLst>
            <a:ext uri="{FF2B5EF4-FFF2-40B4-BE49-F238E27FC236}">
              <a16:creationId xmlns:a16="http://schemas.microsoft.com/office/drawing/2014/main" id="{45B6424F-E63A-356F-D13B-D5378266D77F}"/>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48" name="Text Box 164" hidden="1">
          <a:extLst>
            <a:ext uri="{FF2B5EF4-FFF2-40B4-BE49-F238E27FC236}">
              <a16:creationId xmlns:a16="http://schemas.microsoft.com/office/drawing/2014/main" id="{C7556EE7-B4C5-6126-3A2F-5F58F6BC9466}"/>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47" name="Text Box 163" hidden="1">
          <a:extLst>
            <a:ext uri="{FF2B5EF4-FFF2-40B4-BE49-F238E27FC236}">
              <a16:creationId xmlns:a16="http://schemas.microsoft.com/office/drawing/2014/main" id="{CCA7C250-3A75-FE5D-54A3-B8F777B401FF}"/>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46" name="Text Box 162" hidden="1">
          <a:extLst>
            <a:ext uri="{FF2B5EF4-FFF2-40B4-BE49-F238E27FC236}">
              <a16:creationId xmlns:a16="http://schemas.microsoft.com/office/drawing/2014/main" id="{37EEF064-7850-8B1F-2F26-37313C5BFCBC}"/>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45" name="Text Box 161" hidden="1">
          <a:extLst>
            <a:ext uri="{FF2B5EF4-FFF2-40B4-BE49-F238E27FC236}">
              <a16:creationId xmlns:a16="http://schemas.microsoft.com/office/drawing/2014/main" id="{357A817F-CF13-2BCF-D5FC-B87E90EDAA9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44" name="Text Box 160" hidden="1">
          <a:extLst>
            <a:ext uri="{FF2B5EF4-FFF2-40B4-BE49-F238E27FC236}">
              <a16:creationId xmlns:a16="http://schemas.microsoft.com/office/drawing/2014/main" id="{E20E53A6-7955-8CBA-5A6C-97B70B131722}"/>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43" name="Text Box 159" hidden="1">
          <a:extLst>
            <a:ext uri="{FF2B5EF4-FFF2-40B4-BE49-F238E27FC236}">
              <a16:creationId xmlns:a16="http://schemas.microsoft.com/office/drawing/2014/main" id="{ACE1EA6E-E087-7F3D-80A7-94535698860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42" name="Text Box 158" hidden="1">
          <a:extLst>
            <a:ext uri="{FF2B5EF4-FFF2-40B4-BE49-F238E27FC236}">
              <a16:creationId xmlns:a16="http://schemas.microsoft.com/office/drawing/2014/main" id="{C366C66E-FBF4-3F20-EA12-D584847F6ACE}"/>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41" name="Text Box 157" hidden="1">
          <a:extLst>
            <a:ext uri="{FF2B5EF4-FFF2-40B4-BE49-F238E27FC236}">
              <a16:creationId xmlns:a16="http://schemas.microsoft.com/office/drawing/2014/main" id="{996AE549-E406-1D74-1028-D720D40B9994}"/>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40" name="Text Box 156" hidden="1">
          <a:extLst>
            <a:ext uri="{FF2B5EF4-FFF2-40B4-BE49-F238E27FC236}">
              <a16:creationId xmlns:a16="http://schemas.microsoft.com/office/drawing/2014/main" id="{123E9179-1A44-E056-20CC-BB8A471B6F70}"/>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39" name="Text Box 155" hidden="1">
          <a:extLst>
            <a:ext uri="{FF2B5EF4-FFF2-40B4-BE49-F238E27FC236}">
              <a16:creationId xmlns:a16="http://schemas.microsoft.com/office/drawing/2014/main" id="{465EDC81-A63B-476B-91D8-772EC718645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38" name="Text Box 154" hidden="1">
          <a:extLst>
            <a:ext uri="{FF2B5EF4-FFF2-40B4-BE49-F238E27FC236}">
              <a16:creationId xmlns:a16="http://schemas.microsoft.com/office/drawing/2014/main" id="{168554AA-784B-8626-9959-2251CD7A196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37" name="Text Box 153" hidden="1">
          <a:extLst>
            <a:ext uri="{FF2B5EF4-FFF2-40B4-BE49-F238E27FC236}">
              <a16:creationId xmlns:a16="http://schemas.microsoft.com/office/drawing/2014/main" id="{74735856-8E5C-E555-DBA2-43763EB0273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36" name="Text Box 152" hidden="1">
          <a:extLst>
            <a:ext uri="{FF2B5EF4-FFF2-40B4-BE49-F238E27FC236}">
              <a16:creationId xmlns:a16="http://schemas.microsoft.com/office/drawing/2014/main" id="{F6B16625-F18C-E504-E669-FE5421929B8F}"/>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35" name="Text Box 151" hidden="1">
          <a:extLst>
            <a:ext uri="{FF2B5EF4-FFF2-40B4-BE49-F238E27FC236}">
              <a16:creationId xmlns:a16="http://schemas.microsoft.com/office/drawing/2014/main" id="{C6A714E4-016E-8B47-E71D-CB00A89B915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34" name="Text Box 150" hidden="1">
          <a:extLst>
            <a:ext uri="{FF2B5EF4-FFF2-40B4-BE49-F238E27FC236}">
              <a16:creationId xmlns:a16="http://schemas.microsoft.com/office/drawing/2014/main" id="{FAF8111D-E987-7668-771D-54C5F8A6425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33" name="Text Box 149" hidden="1">
          <a:extLst>
            <a:ext uri="{FF2B5EF4-FFF2-40B4-BE49-F238E27FC236}">
              <a16:creationId xmlns:a16="http://schemas.microsoft.com/office/drawing/2014/main" id="{F379D76C-3E50-B653-0999-4ADAA25925C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32" name="Text Box 148" hidden="1">
          <a:extLst>
            <a:ext uri="{FF2B5EF4-FFF2-40B4-BE49-F238E27FC236}">
              <a16:creationId xmlns:a16="http://schemas.microsoft.com/office/drawing/2014/main" id="{A9AC013C-6B48-8902-247E-88D15F7A3EC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31" name="Text Box 147" hidden="1">
          <a:extLst>
            <a:ext uri="{FF2B5EF4-FFF2-40B4-BE49-F238E27FC236}">
              <a16:creationId xmlns:a16="http://schemas.microsoft.com/office/drawing/2014/main" id="{7E2BD28F-803C-6FE7-81F0-25A1EE622A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30" name="Text Box 146" hidden="1">
          <a:extLst>
            <a:ext uri="{FF2B5EF4-FFF2-40B4-BE49-F238E27FC236}">
              <a16:creationId xmlns:a16="http://schemas.microsoft.com/office/drawing/2014/main" id="{111E2831-4C32-20D5-3280-B57A91628F8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29" name="Text Box 145" hidden="1">
          <a:extLst>
            <a:ext uri="{FF2B5EF4-FFF2-40B4-BE49-F238E27FC236}">
              <a16:creationId xmlns:a16="http://schemas.microsoft.com/office/drawing/2014/main" id="{A503F966-8ECB-A0AD-C8DB-1F798F009C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28" name="Text Box 144" hidden="1">
          <a:extLst>
            <a:ext uri="{FF2B5EF4-FFF2-40B4-BE49-F238E27FC236}">
              <a16:creationId xmlns:a16="http://schemas.microsoft.com/office/drawing/2014/main" id="{BDD02D13-9168-A308-FB09-0DB6753DFA1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27" name="Text Box 143" hidden="1">
          <a:extLst>
            <a:ext uri="{FF2B5EF4-FFF2-40B4-BE49-F238E27FC236}">
              <a16:creationId xmlns:a16="http://schemas.microsoft.com/office/drawing/2014/main" id="{EF626C9C-299A-C7BE-7F9D-CC7CC490BE4F}"/>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26" name="Text Box 142" hidden="1">
          <a:extLst>
            <a:ext uri="{FF2B5EF4-FFF2-40B4-BE49-F238E27FC236}">
              <a16:creationId xmlns:a16="http://schemas.microsoft.com/office/drawing/2014/main" id="{EF33B2F0-0816-5FD1-DC2F-7360C3A5CA7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25" name="Text Box 141" hidden="1">
          <a:extLst>
            <a:ext uri="{FF2B5EF4-FFF2-40B4-BE49-F238E27FC236}">
              <a16:creationId xmlns:a16="http://schemas.microsoft.com/office/drawing/2014/main" id="{D3AE8064-A549-14F0-3196-77BF47D52D4D}"/>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24" name="Text Box 140" hidden="1">
          <a:extLst>
            <a:ext uri="{FF2B5EF4-FFF2-40B4-BE49-F238E27FC236}">
              <a16:creationId xmlns:a16="http://schemas.microsoft.com/office/drawing/2014/main" id="{03E33C4C-D805-3C2C-5BB3-2E5974C6CCD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23" name="Text Box 139" hidden="1">
          <a:extLst>
            <a:ext uri="{FF2B5EF4-FFF2-40B4-BE49-F238E27FC236}">
              <a16:creationId xmlns:a16="http://schemas.microsoft.com/office/drawing/2014/main" id="{7C96EA5D-BD7A-4095-19D6-53FB255CC837}"/>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22" name="Text Box 138" hidden="1">
          <a:extLst>
            <a:ext uri="{FF2B5EF4-FFF2-40B4-BE49-F238E27FC236}">
              <a16:creationId xmlns:a16="http://schemas.microsoft.com/office/drawing/2014/main" id="{664E4C36-59BD-BD29-9533-8DE808322108}"/>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21" name="Text Box 137" hidden="1">
          <a:extLst>
            <a:ext uri="{FF2B5EF4-FFF2-40B4-BE49-F238E27FC236}">
              <a16:creationId xmlns:a16="http://schemas.microsoft.com/office/drawing/2014/main" id="{353FD4B3-4821-A728-14B0-999131F3F784}"/>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20" name="Text Box 136" hidden="1">
          <a:extLst>
            <a:ext uri="{FF2B5EF4-FFF2-40B4-BE49-F238E27FC236}">
              <a16:creationId xmlns:a16="http://schemas.microsoft.com/office/drawing/2014/main" id="{3610237A-8B83-7346-2B3F-C443F0321E4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19" name="Text Box 135" hidden="1">
          <a:extLst>
            <a:ext uri="{FF2B5EF4-FFF2-40B4-BE49-F238E27FC236}">
              <a16:creationId xmlns:a16="http://schemas.microsoft.com/office/drawing/2014/main" id="{E3BFC6A4-6590-A5A9-E053-01C415C8EF50}"/>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18" name="Text Box 134" hidden="1">
          <a:extLst>
            <a:ext uri="{FF2B5EF4-FFF2-40B4-BE49-F238E27FC236}">
              <a16:creationId xmlns:a16="http://schemas.microsoft.com/office/drawing/2014/main" id="{C3707851-9C23-3EBB-282C-B1A8970E6BC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17" name="Text Box 133" hidden="1">
          <a:extLst>
            <a:ext uri="{FF2B5EF4-FFF2-40B4-BE49-F238E27FC236}">
              <a16:creationId xmlns:a16="http://schemas.microsoft.com/office/drawing/2014/main" id="{F4E50FFD-B8DB-7980-980D-5F80CA8D4D4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82" name="Text Box 198" hidden="1">
          <a:extLst>
            <a:ext uri="{FF2B5EF4-FFF2-40B4-BE49-F238E27FC236}">
              <a16:creationId xmlns:a16="http://schemas.microsoft.com/office/drawing/2014/main" id="{F2E645B3-A2A3-D186-34C9-B3FEB825EACB}"/>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81" name="Text Box 197" hidden="1">
          <a:extLst>
            <a:ext uri="{FF2B5EF4-FFF2-40B4-BE49-F238E27FC236}">
              <a16:creationId xmlns:a16="http://schemas.microsoft.com/office/drawing/2014/main" id="{467E8DEC-722B-6C58-0C68-98614DC92C12}"/>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80" name="Text Box 196" hidden="1">
          <a:extLst>
            <a:ext uri="{FF2B5EF4-FFF2-40B4-BE49-F238E27FC236}">
              <a16:creationId xmlns:a16="http://schemas.microsoft.com/office/drawing/2014/main" id="{90A2C3B4-73F2-AC21-64D5-4CBB5239941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79" name="Text Box 195" hidden="1">
          <a:extLst>
            <a:ext uri="{FF2B5EF4-FFF2-40B4-BE49-F238E27FC236}">
              <a16:creationId xmlns:a16="http://schemas.microsoft.com/office/drawing/2014/main" id="{336DACC3-DBC9-C868-F064-59D46C3D8D6E}"/>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78" name="Text Box 194" hidden="1">
          <a:extLst>
            <a:ext uri="{FF2B5EF4-FFF2-40B4-BE49-F238E27FC236}">
              <a16:creationId xmlns:a16="http://schemas.microsoft.com/office/drawing/2014/main" id="{885F6C78-9BB0-EF66-D428-BCC04B03BE4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77" name="Text Box 193" hidden="1">
          <a:extLst>
            <a:ext uri="{FF2B5EF4-FFF2-40B4-BE49-F238E27FC236}">
              <a16:creationId xmlns:a16="http://schemas.microsoft.com/office/drawing/2014/main" id="{0C8925E1-C6F0-76C9-C0C2-B3E653E1732F}"/>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76" name="Text Box 192" hidden="1">
          <a:extLst>
            <a:ext uri="{FF2B5EF4-FFF2-40B4-BE49-F238E27FC236}">
              <a16:creationId xmlns:a16="http://schemas.microsoft.com/office/drawing/2014/main" id="{F433C225-9244-D196-10DC-19C823225E7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75" name="Text Box 191" hidden="1">
          <a:extLst>
            <a:ext uri="{FF2B5EF4-FFF2-40B4-BE49-F238E27FC236}">
              <a16:creationId xmlns:a16="http://schemas.microsoft.com/office/drawing/2014/main" id="{B37AAED9-F5A5-2118-D597-2D913C067060}"/>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74" name="Text Box 190" hidden="1">
          <a:extLst>
            <a:ext uri="{FF2B5EF4-FFF2-40B4-BE49-F238E27FC236}">
              <a16:creationId xmlns:a16="http://schemas.microsoft.com/office/drawing/2014/main" id="{0D4B92DA-AB6A-4A6B-8A73-CE7FC39FAC35}"/>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73" name="Text Box 189" hidden="1">
          <a:extLst>
            <a:ext uri="{FF2B5EF4-FFF2-40B4-BE49-F238E27FC236}">
              <a16:creationId xmlns:a16="http://schemas.microsoft.com/office/drawing/2014/main" id="{30DA190E-1DA0-9964-5D9F-53F9B8716812}"/>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72" name="Text Box 188" hidden="1">
          <a:extLst>
            <a:ext uri="{FF2B5EF4-FFF2-40B4-BE49-F238E27FC236}">
              <a16:creationId xmlns:a16="http://schemas.microsoft.com/office/drawing/2014/main" id="{B5921755-D949-58EA-91FD-7D85D661907F}"/>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71" name="Text Box 187" hidden="1">
          <a:extLst>
            <a:ext uri="{FF2B5EF4-FFF2-40B4-BE49-F238E27FC236}">
              <a16:creationId xmlns:a16="http://schemas.microsoft.com/office/drawing/2014/main" id="{6115DBA2-5C09-7C5E-907D-CA33034AF8FE}"/>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70" name="Text Box 186" hidden="1">
          <a:extLst>
            <a:ext uri="{FF2B5EF4-FFF2-40B4-BE49-F238E27FC236}">
              <a16:creationId xmlns:a16="http://schemas.microsoft.com/office/drawing/2014/main" id="{0DBC72F0-6620-20D9-0E57-A32BEDD4255E}"/>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69" name="Text Box 185" hidden="1">
          <a:extLst>
            <a:ext uri="{FF2B5EF4-FFF2-40B4-BE49-F238E27FC236}">
              <a16:creationId xmlns:a16="http://schemas.microsoft.com/office/drawing/2014/main" id="{A21F5CF1-D950-DB24-F731-F3633B1B7283}"/>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68" name="Text Box 184" hidden="1">
          <a:extLst>
            <a:ext uri="{FF2B5EF4-FFF2-40B4-BE49-F238E27FC236}">
              <a16:creationId xmlns:a16="http://schemas.microsoft.com/office/drawing/2014/main" id="{1C476E20-4D11-2CDF-FF51-8E3C900348BA}"/>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67" name="Text Box 183" hidden="1">
          <a:extLst>
            <a:ext uri="{FF2B5EF4-FFF2-40B4-BE49-F238E27FC236}">
              <a16:creationId xmlns:a16="http://schemas.microsoft.com/office/drawing/2014/main" id="{90B70625-8A60-9B7E-6BFB-BC437179B4A3}"/>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66" name="Text Box 182" hidden="1">
          <a:extLst>
            <a:ext uri="{FF2B5EF4-FFF2-40B4-BE49-F238E27FC236}">
              <a16:creationId xmlns:a16="http://schemas.microsoft.com/office/drawing/2014/main" id="{F7B8401B-6154-74DD-CEAB-4210F37C2D31}"/>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65" name="Text Box 181" hidden="1">
          <a:extLst>
            <a:ext uri="{FF2B5EF4-FFF2-40B4-BE49-F238E27FC236}">
              <a16:creationId xmlns:a16="http://schemas.microsoft.com/office/drawing/2014/main" id="{77D86736-E5EC-28B3-69C0-039C39A3BA99}"/>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64" name="Text Box 180" hidden="1">
          <a:extLst>
            <a:ext uri="{FF2B5EF4-FFF2-40B4-BE49-F238E27FC236}">
              <a16:creationId xmlns:a16="http://schemas.microsoft.com/office/drawing/2014/main" id="{6CB9E73B-E58C-587C-883E-DA2896DA1E7F}"/>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63" name="Text Box 179" hidden="1">
          <a:extLst>
            <a:ext uri="{FF2B5EF4-FFF2-40B4-BE49-F238E27FC236}">
              <a16:creationId xmlns:a16="http://schemas.microsoft.com/office/drawing/2014/main" id="{4A057032-3F68-119F-C36E-445DA86B92CE}"/>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62" name="Text Box 178" hidden="1">
          <a:extLst>
            <a:ext uri="{FF2B5EF4-FFF2-40B4-BE49-F238E27FC236}">
              <a16:creationId xmlns:a16="http://schemas.microsoft.com/office/drawing/2014/main" id="{E3571492-68B4-171A-D7B0-8BF00DC528BD}"/>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61" name="Text Box 177" hidden="1">
          <a:extLst>
            <a:ext uri="{FF2B5EF4-FFF2-40B4-BE49-F238E27FC236}">
              <a16:creationId xmlns:a16="http://schemas.microsoft.com/office/drawing/2014/main" id="{832B0143-5781-AB4F-212C-C19EE1E9C8BC}"/>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04" name="Text Box 220" hidden="1">
          <a:extLst>
            <a:ext uri="{FF2B5EF4-FFF2-40B4-BE49-F238E27FC236}">
              <a16:creationId xmlns:a16="http://schemas.microsoft.com/office/drawing/2014/main" id="{E50A8CD5-BEC5-9C2A-2554-7AC7B812DB85}"/>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03" name="Text Box 219" hidden="1">
          <a:extLst>
            <a:ext uri="{FF2B5EF4-FFF2-40B4-BE49-F238E27FC236}">
              <a16:creationId xmlns:a16="http://schemas.microsoft.com/office/drawing/2014/main" id="{E75EFA7B-81A2-0724-4B1C-330D2D4F1AE6}"/>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02" name="Text Box 218" hidden="1">
          <a:extLst>
            <a:ext uri="{FF2B5EF4-FFF2-40B4-BE49-F238E27FC236}">
              <a16:creationId xmlns:a16="http://schemas.microsoft.com/office/drawing/2014/main" id="{1B18B05C-BC38-70F8-2AC6-E197B01CC869}"/>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01" name="Text Box 217" hidden="1">
          <a:extLst>
            <a:ext uri="{FF2B5EF4-FFF2-40B4-BE49-F238E27FC236}">
              <a16:creationId xmlns:a16="http://schemas.microsoft.com/office/drawing/2014/main" id="{5E9DC26A-F815-00E5-DA04-970AF5D8E0F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00" name="Text Box 216" hidden="1">
          <a:extLst>
            <a:ext uri="{FF2B5EF4-FFF2-40B4-BE49-F238E27FC236}">
              <a16:creationId xmlns:a16="http://schemas.microsoft.com/office/drawing/2014/main" id="{8291EDB2-DF17-D787-D4CF-86BB06DEBD2E}"/>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99" name="Text Box 215" hidden="1">
          <a:extLst>
            <a:ext uri="{FF2B5EF4-FFF2-40B4-BE49-F238E27FC236}">
              <a16:creationId xmlns:a16="http://schemas.microsoft.com/office/drawing/2014/main" id="{350B5473-34B9-4AD9-96C6-E3626D33BA4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98" name="Text Box 214" hidden="1">
          <a:extLst>
            <a:ext uri="{FF2B5EF4-FFF2-40B4-BE49-F238E27FC236}">
              <a16:creationId xmlns:a16="http://schemas.microsoft.com/office/drawing/2014/main" id="{00F21229-A1CD-C4B8-3A55-21AD06E7F78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97" name="Text Box 213" hidden="1">
          <a:extLst>
            <a:ext uri="{FF2B5EF4-FFF2-40B4-BE49-F238E27FC236}">
              <a16:creationId xmlns:a16="http://schemas.microsoft.com/office/drawing/2014/main" id="{DDDD674C-AB70-C2A4-3452-A838D7961FFA}"/>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96" name="Text Box 212" hidden="1">
          <a:extLst>
            <a:ext uri="{FF2B5EF4-FFF2-40B4-BE49-F238E27FC236}">
              <a16:creationId xmlns:a16="http://schemas.microsoft.com/office/drawing/2014/main" id="{556B852C-B55F-6143-8D10-FA020C7B835B}"/>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95" name="Text Box 211" hidden="1">
          <a:extLst>
            <a:ext uri="{FF2B5EF4-FFF2-40B4-BE49-F238E27FC236}">
              <a16:creationId xmlns:a16="http://schemas.microsoft.com/office/drawing/2014/main" id="{F8DF5D3E-3FB8-2A80-E163-9FCBB2C87C3B}"/>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94" name="Text Box 210" hidden="1">
          <a:extLst>
            <a:ext uri="{FF2B5EF4-FFF2-40B4-BE49-F238E27FC236}">
              <a16:creationId xmlns:a16="http://schemas.microsoft.com/office/drawing/2014/main" id="{60D7881C-F2A2-0FB2-CB4A-48056B803D19}"/>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93" name="Text Box 209" hidden="1">
          <a:extLst>
            <a:ext uri="{FF2B5EF4-FFF2-40B4-BE49-F238E27FC236}">
              <a16:creationId xmlns:a16="http://schemas.microsoft.com/office/drawing/2014/main" id="{A7490B50-E11F-8CB6-136F-EDC0F855551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92" name="Text Box 208" hidden="1">
          <a:extLst>
            <a:ext uri="{FF2B5EF4-FFF2-40B4-BE49-F238E27FC236}">
              <a16:creationId xmlns:a16="http://schemas.microsoft.com/office/drawing/2014/main" id="{BF81FC27-CF06-CE92-14C6-85302198488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91" name="Text Box 207" hidden="1">
          <a:extLst>
            <a:ext uri="{FF2B5EF4-FFF2-40B4-BE49-F238E27FC236}">
              <a16:creationId xmlns:a16="http://schemas.microsoft.com/office/drawing/2014/main" id="{647D4BF4-8752-FE3A-8C1B-FC594244DE1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90" name="Text Box 206" hidden="1">
          <a:extLst>
            <a:ext uri="{FF2B5EF4-FFF2-40B4-BE49-F238E27FC236}">
              <a16:creationId xmlns:a16="http://schemas.microsoft.com/office/drawing/2014/main" id="{51E486F8-69AB-EE6C-4720-0937EFEEAC8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89" name="Text Box 205" hidden="1">
          <a:extLst>
            <a:ext uri="{FF2B5EF4-FFF2-40B4-BE49-F238E27FC236}">
              <a16:creationId xmlns:a16="http://schemas.microsoft.com/office/drawing/2014/main" id="{958D9761-1CC4-54EE-A957-5E5E95BF2AA3}"/>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88" name="Text Box 204" hidden="1">
          <a:extLst>
            <a:ext uri="{FF2B5EF4-FFF2-40B4-BE49-F238E27FC236}">
              <a16:creationId xmlns:a16="http://schemas.microsoft.com/office/drawing/2014/main" id="{77777B49-0631-0734-8DA8-A3EE0E3679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87" name="Text Box 203" hidden="1">
          <a:extLst>
            <a:ext uri="{FF2B5EF4-FFF2-40B4-BE49-F238E27FC236}">
              <a16:creationId xmlns:a16="http://schemas.microsoft.com/office/drawing/2014/main" id="{4BE36D5D-2CF7-213C-CD42-ACF20D8F062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86" name="Text Box 202" hidden="1">
          <a:extLst>
            <a:ext uri="{FF2B5EF4-FFF2-40B4-BE49-F238E27FC236}">
              <a16:creationId xmlns:a16="http://schemas.microsoft.com/office/drawing/2014/main" id="{7131FCB1-61A4-8256-428B-EE32D8FA57EE}"/>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85" name="Text Box 201" hidden="1">
          <a:extLst>
            <a:ext uri="{FF2B5EF4-FFF2-40B4-BE49-F238E27FC236}">
              <a16:creationId xmlns:a16="http://schemas.microsoft.com/office/drawing/2014/main" id="{C043C0D2-E6B7-AD07-0593-B9CC403E83FB}"/>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84" name="Text Box 200" hidden="1">
          <a:extLst>
            <a:ext uri="{FF2B5EF4-FFF2-40B4-BE49-F238E27FC236}">
              <a16:creationId xmlns:a16="http://schemas.microsoft.com/office/drawing/2014/main" id="{F84A60DF-4D75-9CF4-246F-3A1AE816A2D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83" name="Text Box 199" hidden="1">
          <a:extLst>
            <a:ext uri="{FF2B5EF4-FFF2-40B4-BE49-F238E27FC236}">
              <a16:creationId xmlns:a16="http://schemas.microsoft.com/office/drawing/2014/main" id="{2BB34790-1941-C314-B725-74BA76B48EA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26" name="Text Box 242" hidden="1">
          <a:extLst>
            <a:ext uri="{FF2B5EF4-FFF2-40B4-BE49-F238E27FC236}">
              <a16:creationId xmlns:a16="http://schemas.microsoft.com/office/drawing/2014/main" id="{AD411E48-1E6A-5F2D-2613-64F8177D4894}"/>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25" name="Text Box 241" hidden="1">
          <a:extLst>
            <a:ext uri="{FF2B5EF4-FFF2-40B4-BE49-F238E27FC236}">
              <a16:creationId xmlns:a16="http://schemas.microsoft.com/office/drawing/2014/main" id="{F431DD7A-DC76-7AC4-2EA9-8EFB6AD6879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24" name="Text Box 240" hidden="1">
          <a:extLst>
            <a:ext uri="{FF2B5EF4-FFF2-40B4-BE49-F238E27FC236}">
              <a16:creationId xmlns:a16="http://schemas.microsoft.com/office/drawing/2014/main" id="{0BDFB392-4FC7-64DD-5405-F57A2767AD5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23" name="Text Box 239" hidden="1">
          <a:extLst>
            <a:ext uri="{FF2B5EF4-FFF2-40B4-BE49-F238E27FC236}">
              <a16:creationId xmlns:a16="http://schemas.microsoft.com/office/drawing/2014/main" id="{805ED89B-CAF0-4B64-E675-A4BF95E0EC80}"/>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22" name="Text Box 238" hidden="1">
          <a:extLst>
            <a:ext uri="{FF2B5EF4-FFF2-40B4-BE49-F238E27FC236}">
              <a16:creationId xmlns:a16="http://schemas.microsoft.com/office/drawing/2014/main" id="{B8DDAB4D-CA29-0F6B-A568-3AF60D20FBA3}"/>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21" name="Text Box 237" hidden="1">
          <a:extLst>
            <a:ext uri="{FF2B5EF4-FFF2-40B4-BE49-F238E27FC236}">
              <a16:creationId xmlns:a16="http://schemas.microsoft.com/office/drawing/2014/main" id="{05100AB9-6B05-408C-4D5F-BFB6A4CEECD7}"/>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20" name="Text Box 236" hidden="1">
          <a:extLst>
            <a:ext uri="{FF2B5EF4-FFF2-40B4-BE49-F238E27FC236}">
              <a16:creationId xmlns:a16="http://schemas.microsoft.com/office/drawing/2014/main" id="{6551FE15-6A2C-6842-44B7-955A6F30B29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19" name="Text Box 235" hidden="1">
          <a:extLst>
            <a:ext uri="{FF2B5EF4-FFF2-40B4-BE49-F238E27FC236}">
              <a16:creationId xmlns:a16="http://schemas.microsoft.com/office/drawing/2014/main" id="{1863EF02-3843-8017-3CF3-EA7815C7E697}"/>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18" name="Text Box 234" hidden="1">
          <a:extLst>
            <a:ext uri="{FF2B5EF4-FFF2-40B4-BE49-F238E27FC236}">
              <a16:creationId xmlns:a16="http://schemas.microsoft.com/office/drawing/2014/main" id="{D185D7B9-4AFC-05B1-BD5B-EB530CE2A46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17" name="Text Box 233" hidden="1">
          <a:extLst>
            <a:ext uri="{FF2B5EF4-FFF2-40B4-BE49-F238E27FC236}">
              <a16:creationId xmlns:a16="http://schemas.microsoft.com/office/drawing/2014/main" id="{BD9ABC0E-5856-F196-128D-355621CB0817}"/>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16" name="Text Box 232" hidden="1">
          <a:extLst>
            <a:ext uri="{FF2B5EF4-FFF2-40B4-BE49-F238E27FC236}">
              <a16:creationId xmlns:a16="http://schemas.microsoft.com/office/drawing/2014/main" id="{83931E2B-75D5-8122-9E83-279B8525740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15" name="Text Box 231" hidden="1">
          <a:extLst>
            <a:ext uri="{FF2B5EF4-FFF2-40B4-BE49-F238E27FC236}">
              <a16:creationId xmlns:a16="http://schemas.microsoft.com/office/drawing/2014/main" id="{9B2D2A95-83DD-FE06-8091-6707CD4DB38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14" name="Text Box 230" hidden="1">
          <a:extLst>
            <a:ext uri="{FF2B5EF4-FFF2-40B4-BE49-F238E27FC236}">
              <a16:creationId xmlns:a16="http://schemas.microsoft.com/office/drawing/2014/main" id="{132AD294-5D2A-0F7B-D599-EBE733ED47EE}"/>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13" name="Text Box 229" hidden="1">
          <a:extLst>
            <a:ext uri="{FF2B5EF4-FFF2-40B4-BE49-F238E27FC236}">
              <a16:creationId xmlns:a16="http://schemas.microsoft.com/office/drawing/2014/main" id="{52DC65B1-5D24-E2B8-DF1A-148DC0D86BAE}"/>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12" name="Text Box 228" hidden="1">
          <a:extLst>
            <a:ext uri="{FF2B5EF4-FFF2-40B4-BE49-F238E27FC236}">
              <a16:creationId xmlns:a16="http://schemas.microsoft.com/office/drawing/2014/main" id="{0F4F9281-EE37-7D5D-91C4-69630C149C9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11" name="Text Box 227" hidden="1">
          <a:extLst>
            <a:ext uri="{FF2B5EF4-FFF2-40B4-BE49-F238E27FC236}">
              <a16:creationId xmlns:a16="http://schemas.microsoft.com/office/drawing/2014/main" id="{A78D2A3E-E8C4-362D-BFF9-46438560AAFC}"/>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10" name="Text Box 226" hidden="1">
          <a:extLst>
            <a:ext uri="{FF2B5EF4-FFF2-40B4-BE49-F238E27FC236}">
              <a16:creationId xmlns:a16="http://schemas.microsoft.com/office/drawing/2014/main" id="{E267D7FA-AD8B-015A-D235-285F3DEBB63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09" name="Text Box 225" hidden="1">
          <a:extLst>
            <a:ext uri="{FF2B5EF4-FFF2-40B4-BE49-F238E27FC236}">
              <a16:creationId xmlns:a16="http://schemas.microsoft.com/office/drawing/2014/main" id="{433D9199-6E21-FD31-DEFA-05706EAB1FDA}"/>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08" name="Text Box 224" hidden="1">
          <a:extLst>
            <a:ext uri="{FF2B5EF4-FFF2-40B4-BE49-F238E27FC236}">
              <a16:creationId xmlns:a16="http://schemas.microsoft.com/office/drawing/2014/main" id="{5B7E02ED-AF8D-CA1F-6FA5-46665923FDC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07" name="Text Box 223" hidden="1">
          <a:extLst>
            <a:ext uri="{FF2B5EF4-FFF2-40B4-BE49-F238E27FC236}">
              <a16:creationId xmlns:a16="http://schemas.microsoft.com/office/drawing/2014/main" id="{F003D834-7690-7C24-C998-FA138158AEE2}"/>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06" name="Text Box 222" hidden="1">
          <a:extLst>
            <a:ext uri="{FF2B5EF4-FFF2-40B4-BE49-F238E27FC236}">
              <a16:creationId xmlns:a16="http://schemas.microsoft.com/office/drawing/2014/main" id="{77F4A224-FA10-93CD-8C74-02ACC008BF9D}"/>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05" name="Text Box 221" hidden="1">
          <a:extLst>
            <a:ext uri="{FF2B5EF4-FFF2-40B4-BE49-F238E27FC236}">
              <a16:creationId xmlns:a16="http://schemas.microsoft.com/office/drawing/2014/main" id="{84278BD3-4D9B-A74D-759E-7C1DA6395B7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48" name="Text Box 264" hidden="1">
          <a:extLst>
            <a:ext uri="{FF2B5EF4-FFF2-40B4-BE49-F238E27FC236}">
              <a16:creationId xmlns:a16="http://schemas.microsoft.com/office/drawing/2014/main" id="{BEDB2F40-5846-6134-42F0-D38505A98D07}"/>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47" name="Text Box 263" hidden="1">
          <a:extLst>
            <a:ext uri="{FF2B5EF4-FFF2-40B4-BE49-F238E27FC236}">
              <a16:creationId xmlns:a16="http://schemas.microsoft.com/office/drawing/2014/main" id="{890BAA60-B579-6B79-4798-0627C6F6855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46" name="Text Box 262" hidden="1">
          <a:extLst>
            <a:ext uri="{FF2B5EF4-FFF2-40B4-BE49-F238E27FC236}">
              <a16:creationId xmlns:a16="http://schemas.microsoft.com/office/drawing/2014/main" id="{E2796292-7AEE-3F79-7520-C6C522050B6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45" name="Text Box 261" hidden="1">
          <a:extLst>
            <a:ext uri="{FF2B5EF4-FFF2-40B4-BE49-F238E27FC236}">
              <a16:creationId xmlns:a16="http://schemas.microsoft.com/office/drawing/2014/main" id="{72FE3260-9E54-E7E1-35BE-360FF17F1EF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44" name="Text Box 260" hidden="1">
          <a:extLst>
            <a:ext uri="{FF2B5EF4-FFF2-40B4-BE49-F238E27FC236}">
              <a16:creationId xmlns:a16="http://schemas.microsoft.com/office/drawing/2014/main" id="{1EC3CD39-3BB9-8265-98EF-DEBCAFA2F32D}"/>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43" name="Text Box 259" hidden="1">
          <a:extLst>
            <a:ext uri="{FF2B5EF4-FFF2-40B4-BE49-F238E27FC236}">
              <a16:creationId xmlns:a16="http://schemas.microsoft.com/office/drawing/2014/main" id="{34F12B0E-A851-F654-C3D3-989D7C84A459}"/>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42" name="Text Box 258" hidden="1">
          <a:extLst>
            <a:ext uri="{FF2B5EF4-FFF2-40B4-BE49-F238E27FC236}">
              <a16:creationId xmlns:a16="http://schemas.microsoft.com/office/drawing/2014/main" id="{AB736C52-893F-CF9F-E6B9-5A21CEA4A823}"/>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41" name="Text Box 257" hidden="1">
          <a:extLst>
            <a:ext uri="{FF2B5EF4-FFF2-40B4-BE49-F238E27FC236}">
              <a16:creationId xmlns:a16="http://schemas.microsoft.com/office/drawing/2014/main" id="{936B2B94-2F25-C869-5C10-7CBB8388DD96}"/>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40" name="Text Box 256" hidden="1">
          <a:extLst>
            <a:ext uri="{FF2B5EF4-FFF2-40B4-BE49-F238E27FC236}">
              <a16:creationId xmlns:a16="http://schemas.microsoft.com/office/drawing/2014/main" id="{294C1609-8395-8439-BD9C-CFB86B78003F}"/>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39" name="Text Box 255" hidden="1">
          <a:extLst>
            <a:ext uri="{FF2B5EF4-FFF2-40B4-BE49-F238E27FC236}">
              <a16:creationId xmlns:a16="http://schemas.microsoft.com/office/drawing/2014/main" id="{C2C17F7F-247C-48EE-CD90-0BE7C76BB214}"/>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38" name="Text Box 254" hidden="1">
          <a:extLst>
            <a:ext uri="{FF2B5EF4-FFF2-40B4-BE49-F238E27FC236}">
              <a16:creationId xmlns:a16="http://schemas.microsoft.com/office/drawing/2014/main" id="{5A4BE614-07F2-5F12-CE64-01811E7C4E97}"/>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37" name="Text Box 253" hidden="1">
          <a:extLst>
            <a:ext uri="{FF2B5EF4-FFF2-40B4-BE49-F238E27FC236}">
              <a16:creationId xmlns:a16="http://schemas.microsoft.com/office/drawing/2014/main" id="{910ABDDC-5825-BB8E-2E02-CFC515FCB9E7}"/>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36" name="Text Box 252" hidden="1">
          <a:extLst>
            <a:ext uri="{FF2B5EF4-FFF2-40B4-BE49-F238E27FC236}">
              <a16:creationId xmlns:a16="http://schemas.microsoft.com/office/drawing/2014/main" id="{35AFEA2B-06BC-2823-7F23-37B726353510}"/>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35" name="Text Box 251" hidden="1">
          <a:extLst>
            <a:ext uri="{FF2B5EF4-FFF2-40B4-BE49-F238E27FC236}">
              <a16:creationId xmlns:a16="http://schemas.microsoft.com/office/drawing/2014/main" id="{F51E11B1-4F42-D06B-0E02-B8C9C88CD325}"/>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34" name="Text Box 250" hidden="1">
          <a:extLst>
            <a:ext uri="{FF2B5EF4-FFF2-40B4-BE49-F238E27FC236}">
              <a16:creationId xmlns:a16="http://schemas.microsoft.com/office/drawing/2014/main" id="{7522785E-35F7-DFA1-7EE6-236B33CB77D9}"/>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33" name="Text Box 249" hidden="1">
          <a:extLst>
            <a:ext uri="{FF2B5EF4-FFF2-40B4-BE49-F238E27FC236}">
              <a16:creationId xmlns:a16="http://schemas.microsoft.com/office/drawing/2014/main" id="{BB705AA0-35F2-7A86-44D6-8F80521B4DF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32" name="Text Box 248" hidden="1">
          <a:extLst>
            <a:ext uri="{FF2B5EF4-FFF2-40B4-BE49-F238E27FC236}">
              <a16:creationId xmlns:a16="http://schemas.microsoft.com/office/drawing/2014/main" id="{4C7C3F88-067C-9332-7410-862BED4D1F27}"/>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31" name="Text Box 247" hidden="1">
          <a:extLst>
            <a:ext uri="{FF2B5EF4-FFF2-40B4-BE49-F238E27FC236}">
              <a16:creationId xmlns:a16="http://schemas.microsoft.com/office/drawing/2014/main" id="{1860EA21-D5A1-B9B7-2922-000348C0456B}"/>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30" name="Text Box 246" hidden="1">
          <a:extLst>
            <a:ext uri="{FF2B5EF4-FFF2-40B4-BE49-F238E27FC236}">
              <a16:creationId xmlns:a16="http://schemas.microsoft.com/office/drawing/2014/main" id="{4BA9EE6F-CAEA-1B4D-E118-8D7B8F083427}"/>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29" name="Text Box 245" hidden="1">
          <a:extLst>
            <a:ext uri="{FF2B5EF4-FFF2-40B4-BE49-F238E27FC236}">
              <a16:creationId xmlns:a16="http://schemas.microsoft.com/office/drawing/2014/main" id="{1A7D4FF7-123A-180A-12EA-B58C26AF66C5}"/>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28" name="Text Box 244" hidden="1">
          <a:extLst>
            <a:ext uri="{FF2B5EF4-FFF2-40B4-BE49-F238E27FC236}">
              <a16:creationId xmlns:a16="http://schemas.microsoft.com/office/drawing/2014/main" id="{E7E2BF5A-22C2-528E-98EC-D8C40F3280D5}"/>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27" name="Text Box 243" hidden="1">
          <a:extLst>
            <a:ext uri="{FF2B5EF4-FFF2-40B4-BE49-F238E27FC236}">
              <a16:creationId xmlns:a16="http://schemas.microsoft.com/office/drawing/2014/main" id="{B15E279E-1626-A257-9EED-72258C6861F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30" name="Text Box 22" hidden="1">
          <a:extLst>
            <a:ext uri="{FF2B5EF4-FFF2-40B4-BE49-F238E27FC236}">
              <a16:creationId xmlns:a16="http://schemas.microsoft.com/office/drawing/2014/main" id="{DDF2C3BB-F079-7C6B-3D60-CA48735F91B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29" name="Text Box 21" hidden="1">
          <a:extLst>
            <a:ext uri="{FF2B5EF4-FFF2-40B4-BE49-F238E27FC236}">
              <a16:creationId xmlns:a16="http://schemas.microsoft.com/office/drawing/2014/main" id="{D9854A14-F0BF-E0D8-8740-531BC2F02CD4}"/>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28" name="Text Box 20" hidden="1">
          <a:extLst>
            <a:ext uri="{FF2B5EF4-FFF2-40B4-BE49-F238E27FC236}">
              <a16:creationId xmlns:a16="http://schemas.microsoft.com/office/drawing/2014/main" id="{6B99D88D-ADE5-E3C8-C14A-B168C957E6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27" name="Text Box 19" hidden="1">
          <a:extLst>
            <a:ext uri="{FF2B5EF4-FFF2-40B4-BE49-F238E27FC236}">
              <a16:creationId xmlns:a16="http://schemas.microsoft.com/office/drawing/2014/main" id="{FA529988-6894-FFFF-915D-4C46BC3E7C25}"/>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26" name="Text Box 18" hidden="1">
          <a:extLst>
            <a:ext uri="{FF2B5EF4-FFF2-40B4-BE49-F238E27FC236}">
              <a16:creationId xmlns:a16="http://schemas.microsoft.com/office/drawing/2014/main" id="{0F027792-2722-8B35-E922-CAE37DE10ED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25" name="Text Box 17" hidden="1">
          <a:extLst>
            <a:ext uri="{FF2B5EF4-FFF2-40B4-BE49-F238E27FC236}">
              <a16:creationId xmlns:a16="http://schemas.microsoft.com/office/drawing/2014/main" id="{17274D97-F302-4B7D-9E3C-BDB02150CDD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24" name="Text Box 16" hidden="1">
          <a:extLst>
            <a:ext uri="{FF2B5EF4-FFF2-40B4-BE49-F238E27FC236}">
              <a16:creationId xmlns:a16="http://schemas.microsoft.com/office/drawing/2014/main" id="{4C5A51D9-1AC0-3FD4-4665-4D8B332165A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23" name="Text Box 15" hidden="1">
          <a:extLst>
            <a:ext uri="{FF2B5EF4-FFF2-40B4-BE49-F238E27FC236}">
              <a16:creationId xmlns:a16="http://schemas.microsoft.com/office/drawing/2014/main" id="{44BF098D-E07B-5138-8459-E0220B6A78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22" name="Text Box 14" hidden="1">
          <a:extLst>
            <a:ext uri="{FF2B5EF4-FFF2-40B4-BE49-F238E27FC236}">
              <a16:creationId xmlns:a16="http://schemas.microsoft.com/office/drawing/2014/main" id="{4A79F58F-3966-29C9-D2D8-80A366A5B8E4}"/>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21" name="Text Box 13" hidden="1">
          <a:extLst>
            <a:ext uri="{FF2B5EF4-FFF2-40B4-BE49-F238E27FC236}">
              <a16:creationId xmlns:a16="http://schemas.microsoft.com/office/drawing/2014/main" id="{43EDDCB4-7E8E-86DC-5B1B-0086A838832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20" name="Text Box 12" hidden="1">
          <a:extLst>
            <a:ext uri="{FF2B5EF4-FFF2-40B4-BE49-F238E27FC236}">
              <a16:creationId xmlns:a16="http://schemas.microsoft.com/office/drawing/2014/main" id="{9971F63F-FD50-FFBE-E818-A12A9797C6C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19" name="Text Box 11" hidden="1">
          <a:extLst>
            <a:ext uri="{FF2B5EF4-FFF2-40B4-BE49-F238E27FC236}">
              <a16:creationId xmlns:a16="http://schemas.microsoft.com/office/drawing/2014/main" id="{F3093F65-4DA5-E00B-7534-D3A3BF93B1AE}"/>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18" name="Text Box 10" hidden="1">
          <a:extLst>
            <a:ext uri="{FF2B5EF4-FFF2-40B4-BE49-F238E27FC236}">
              <a16:creationId xmlns:a16="http://schemas.microsoft.com/office/drawing/2014/main" id="{6E551E8D-3EFC-F955-21F2-3C209D98D4A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17" name="Text Box 9" hidden="1">
          <a:extLst>
            <a:ext uri="{FF2B5EF4-FFF2-40B4-BE49-F238E27FC236}">
              <a16:creationId xmlns:a16="http://schemas.microsoft.com/office/drawing/2014/main" id="{56F0DA21-1F93-A189-51ED-2C4D8615453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16" name="Text Box 8" hidden="1">
          <a:extLst>
            <a:ext uri="{FF2B5EF4-FFF2-40B4-BE49-F238E27FC236}">
              <a16:creationId xmlns:a16="http://schemas.microsoft.com/office/drawing/2014/main" id="{57B7B84B-69FA-1FC9-103C-E937E96308C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15" name="Text Box 7" hidden="1">
          <a:extLst>
            <a:ext uri="{FF2B5EF4-FFF2-40B4-BE49-F238E27FC236}">
              <a16:creationId xmlns:a16="http://schemas.microsoft.com/office/drawing/2014/main" id="{432356AF-F459-7919-7D30-B6CE8C9CC4FD}"/>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14" name="Text Box 6" hidden="1">
          <a:extLst>
            <a:ext uri="{FF2B5EF4-FFF2-40B4-BE49-F238E27FC236}">
              <a16:creationId xmlns:a16="http://schemas.microsoft.com/office/drawing/2014/main" id="{6085EC97-8029-FCBE-D06B-B004B9FF5F7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13" name="Text Box 5" hidden="1">
          <a:extLst>
            <a:ext uri="{FF2B5EF4-FFF2-40B4-BE49-F238E27FC236}">
              <a16:creationId xmlns:a16="http://schemas.microsoft.com/office/drawing/2014/main" id="{F78ABF95-FA52-4AEE-8B88-3D24D87787A6}"/>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12" name="Text Box 4" hidden="1">
          <a:extLst>
            <a:ext uri="{FF2B5EF4-FFF2-40B4-BE49-F238E27FC236}">
              <a16:creationId xmlns:a16="http://schemas.microsoft.com/office/drawing/2014/main" id="{25FD94BD-952E-42D7-1CF7-31350B763C08}"/>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11" name="Text Box 3" hidden="1">
          <a:extLst>
            <a:ext uri="{FF2B5EF4-FFF2-40B4-BE49-F238E27FC236}">
              <a16:creationId xmlns:a16="http://schemas.microsoft.com/office/drawing/2014/main" id="{CEAAE164-44A2-E3E1-5DA8-5416B5DEA955}"/>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10" name="Text Box 2" hidden="1">
          <a:extLst>
            <a:ext uri="{FF2B5EF4-FFF2-40B4-BE49-F238E27FC236}">
              <a16:creationId xmlns:a16="http://schemas.microsoft.com/office/drawing/2014/main" id="{47A0C930-5189-2921-4CBB-3399499DE9A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09" name="Text Box 1" hidden="1">
          <a:extLst>
            <a:ext uri="{FF2B5EF4-FFF2-40B4-BE49-F238E27FC236}">
              <a16:creationId xmlns:a16="http://schemas.microsoft.com/office/drawing/2014/main" id="{38062E5F-FD8A-A936-58DF-5C649463FDF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52" name="Text Box 44" hidden="1">
          <a:extLst>
            <a:ext uri="{FF2B5EF4-FFF2-40B4-BE49-F238E27FC236}">
              <a16:creationId xmlns:a16="http://schemas.microsoft.com/office/drawing/2014/main" id="{408A933E-C3C9-6F8D-03ED-2D9E0A99C3C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51" name="Text Box 43" hidden="1">
          <a:extLst>
            <a:ext uri="{FF2B5EF4-FFF2-40B4-BE49-F238E27FC236}">
              <a16:creationId xmlns:a16="http://schemas.microsoft.com/office/drawing/2014/main" id="{EA8672E4-354C-AFCC-3B30-A05B9A103BC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50" name="Text Box 42" hidden="1">
          <a:extLst>
            <a:ext uri="{FF2B5EF4-FFF2-40B4-BE49-F238E27FC236}">
              <a16:creationId xmlns:a16="http://schemas.microsoft.com/office/drawing/2014/main" id="{F75E6052-AA0A-E1CD-3098-5704D26FD0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49" name="Text Box 41" hidden="1">
          <a:extLst>
            <a:ext uri="{FF2B5EF4-FFF2-40B4-BE49-F238E27FC236}">
              <a16:creationId xmlns:a16="http://schemas.microsoft.com/office/drawing/2014/main" id="{F47A2FC5-5F87-45B5-BBCA-661ACB3CDE4D}"/>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48" name="Text Box 40" hidden="1">
          <a:extLst>
            <a:ext uri="{FF2B5EF4-FFF2-40B4-BE49-F238E27FC236}">
              <a16:creationId xmlns:a16="http://schemas.microsoft.com/office/drawing/2014/main" id="{C9D516A2-1DD3-9FD3-A514-BC70A0E57C21}"/>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47" name="Text Box 39" hidden="1">
          <a:extLst>
            <a:ext uri="{FF2B5EF4-FFF2-40B4-BE49-F238E27FC236}">
              <a16:creationId xmlns:a16="http://schemas.microsoft.com/office/drawing/2014/main" id="{967F805F-7E15-7949-4992-7AD467C65EB0}"/>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46" name="Text Box 38" hidden="1">
          <a:extLst>
            <a:ext uri="{FF2B5EF4-FFF2-40B4-BE49-F238E27FC236}">
              <a16:creationId xmlns:a16="http://schemas.microsoft.com/office/drawing/2014/main" id="{3381AF36-82B2-ECD4-AF64-7CE5F88E62F7}"/>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45" name="Text Box 37" hidden="1">
          <a:extLst>
            <a:ext uri="{FF2B5EF4-FFF2-40B4-BE49-F238E27FC236}">
              <a16:creationId xmlns:a16="http://schemas.microsoft.com/office/drawing/2014/main" id="{57FA465C-25A5-C9F9-2C52-E9956B174B0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44" name="Text Box 36" hidden="1">
          <a:extLst>
            <a:ext uri="{FF2B5EF4-FFF2-40B4-BE49-F238E27FC236}">
              <a16:creationId xmlns:a16="http://schemas.microsoft.com/office/drawing/2014/main" id="{136FD23C-F897-CBDB-7310-85A78CAE8328}"/>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43" name="Text Box 35" hidden="1">
          <a:extLst>
            <a:ext uri="{FF2B5EF4-FFF2-40B4-BE49-F238E27FC236}">
              <a16:creationId xmlns:a16="http://schemas.microsoft.com/office/drawing/2014/main" id="{2787A978-8633-114C-4D23-1C8DE589248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42" name="Text Box 34" hidden="1">
          <a:extLst>
            <a:ext uri="{FF2B5EF4-FFF2-40B4-BE49-F238E27FC236}">
              <a16:creationId xmlns:a16="http://schemas.microsoft.com/office/drawing/2014/main" id="{5FF1DB10-A846-440A-DA47-A734599A46C2}"/>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41" name="Text Box 33" hidden="1">
          <a:extLst>
            <a:ext uri="{FF2B5EF4-FFF2-40B4-BE49-F238E27FC236}">
              <a16:creationId xmlns:a16="http://schemas.microsoft.com/office/drawing/2014/main" id="{94429EC1-1C31-323C-3157-4699DC23B2A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40" name="Text Box 32" hidden="1">
          <a:extLst>
            <a:ext uri="{FF2B5EF4-FFF2-40B4-BE49-F238E27FC236}">
              <a16:creationId xmlns:a16="http://schemas.microsoft.com/office/drawing/2014/main" id="{82C2F8E7-BD21-903F-0303-B89C6290EA1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39" name="Text Box 31" hidden="1">
          <a:extLst>
            <a:ext uri="{FF2B5EF4-FFF2-40B4-BE49-F238E27FC236}">
              <a16:creationId xmlns:a16="http://schemas.microsoft.com/office/drawing/2014/main" id="{06F5B300-25AA-DB4A-244F-B8DED3AB798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38" name="Text Box 30" hidden="1">
          <a:extLst>
            <a:ext uri="{FF2B5EF4-FFF2-40B4-BE49-F238E27FC236}">
              <a16:creationId xmlns:a16="http://schemas.microsoft.com/office/drawing/2014/main" id="{6EE36C4F-26E8-CD8B-1F7F-C8DAF9D94D0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37" name="Text Box 29" hidden="1">
          <a:extLst>
            <a:ext uri="{FF2B5EF4-FFF2-40B4-BE49-F238E27FC236}">
              <a16:creationId xmlns:a16="http://schemas.microsoft.com/office/drawing/2014/main" id="{C3C81574-3DE6-12C8-6CE3-8495603ADAE0}"/>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36" name="Text Box 28" hidden="1">
          <a:extLst>
            <a:ext uri="{FF2B5EF4-FFF2-40B4-BE49-F238E27FC236}">
              <a16:creationId xmlns:a16="http://schemas.microsoft.com/office/drawing/2014/main" id="{1A4E28D2-DAC8-166B-2BC5-5DF747A365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35" name="Text Box 27" hidden="1">
          <a:extLst>
            <a:ext uri="{FF2B5EF4-FFF2-40B4-BE49-F238E27FC236}">
              <a16:creationId xmlns:a16="http://schemas.microsoft.com/office/drawing/2014/main" id="{7F5C336D-50D4-66CF-EF6F-E50944E53A6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34" name="Text Box 26" hidden="1">
          <a:extLst>
            <a:ext uri="{FF2B5EF4-FFF2-40B4-BE49-F238E27FC236}">
              <a16:creationId xmlns:a16="http://schemas.microsoft.com/office/drawing/2014/main" id="{F4CFA468-B402-44A7-F5A1-8BDEDA241B4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33" name="Text Box 25" hidden="1">
          <a:extLst>
            <a:ext uri="{FF2B5EF4-FFF2-40B4-BE49-F238E27FC236}">
              <a16:creationId xmlns:a16="http://schemas.microsoft.com/office/drawing/2014/main" id="{5A1CD799-44FA-3C16-C734-83FD7052880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32" name="Text Box 24" hidden="1">
          <a:extLst>
            <a:ext uri="{FF2B5EF4-FFF2-40B4-BE49-F238E27FC236}">
              <a16:creationId xmlns:a16="http://schemas.microsoft.com/office/drawing/2014/main" id="{C856F9D0-F92A-6F80-E0EB-7E5130BDE2E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31" name="Text Box 23" hidden="1">
          <a:extLst>
            <a:ext uri="{FF2B5EF4-FFF2-40B4-BE49-F238E27FC236}">
              <a16:creationId xmlns:a16="http://schemas.microsoft.com/office/drawing/2014/main" id="{1307426D-6483-8BF6-ADDD-53AC0F39DA50}"/>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74" name="Text Box 66" hidden="1">
          <a:extLst>
            <a:ext uri="{FF2B5EF4-FFF2-40B4-BE49-F238E27FC236}">
              <a16:creationId xmlns:a16="http://schemas.microsoft.com/office/drawing/2014/main" id="{C65BD8D8-EE76-2A08-C1D1-DBBABFDFC19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73" name="Text Box 65" hidden="1">
          <a:extLst>
            <a:ext uri="{FF2B5EF4-FFF2-40B4-BE49-F238E27FC236}">
              <a16:creationId xmlns:a16="http://schemas.microsoft.com/office/drawing/2014/main" id="{5FF9771E-34CA-E257-41C9-C56C64067040}"/>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72" name="Text Box 64" hidden="1">
          <a:extLst>
            <a:ext uri="{FF2B5EF4-FFF2-40B4-BE49-F238E27FC236}">
              <a16:creationId xmlns:a16="http://schemas.microsoft.com/office/drawing/2014/main" id="{4F86F8AA-4199-B9F4-1E33-B7C2229658B4}"/>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71" name="Text Box 63" hidden="1">
          <a:extLst>
            <a:ext uri="{FF2B5EF4-FFF2-40B4-BE49-F238E27FC236}">
              <a16:creationId xmlns:a16="http://schemas.microsoft.com/office/drawing/2014/main" id="{92011F40-F218-9312-F94C-90E536408F9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70" name="Text Box 62" hidden="1">
          <a:extLst>
            <a:ext uri="{FF2B5EF4-FFF2-40B4-BE49-F238E27FC236}">
              <a16:creationId xmlns:a16="http://schemas.microsoft.com/office/drawing/2014/main" id="{5206D18C-484F-91A8-6A2B-1B50C1DDCAB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69" name="Text Box 61" hidden="1">
          <a:extLst>
            <a:ext uri="{FF2B5EF4-FFF2-40B4-BE49-F238E27FC236}">
              <a16:creationId xmlns:a16="http://schemas.microsoft.com/office/drawing/2014/main" id="{6C7443D0-F591-EC67-1E4D-5083B1B9582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68" name="Text Box 60" hidden="1">
          <a:extLst>
            <a:ext uri="{FF2B5EF4-FFF2-40B4-BE49-F238E27FC236}">
              <a16:creationId xmlns:a16="http://schemas.microsoft.com/office/drawing/2014/main" id="{97A6BD5A-FDD0-88BD-CC26-0D4BB02F06CC}"/>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67" name="Text Box 59" hidden="1">
          <a:extLst>
            <a:ext uri="{FF2B5EF4-FFF2-40B4-BE49-F238E27FC236}">
              <a16:creationId xmlns:a16="http://schemas.microsoft.com/office/drawing/2014/main" id="{1C1E8BD4-B7C5-F20C-746B-7DBFC092D3E3}"/>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66" name="Text Box 58" hidden="1">
          <a:extLst>
            <a:ext uri="{FF2B5EF4-FFF2-40B4-BE49-F238E27FC236}">
              <a16:creationId xmlns:a16="http://schemas.microsoft.com/office/drawing/2014/main" id="{D014EB1F-865B-5B3F-9683-B5C15586EDD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65" name="Text Box 57" hidden="1">
          <a:extLst>
            <a:ext uri="{FF2B5EF4-FFF2-40B4-BE49-F238E27FC236}">
              <a16:creationId xmlns:a16="http://schemas.microsoft.com/office/drawing/2014/main" id="{E4406AB4-EBB8-03B3-D5C8-F3CAB843F2F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64" name="Text Box 56" hidden="1">
          <a:extLst>
            <a:ext uri="{FF2B5EF4-FFF2-40B4-BE49-F238E27FC236}">
              <a16:creationId xmlns:a16="http://schemas.microsoft.com/office/drawing/2014/main" id="{82379203-C4C4-A497-C747-347723BF67D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63" name="Text Box 55" hidden="1">
          <a:extLst>
            <a:ext uri="{FF2B5EF4-FFF2-40B4-BE49-F238E27FC236}">
              <a16:creationId xmlns:a16="http://schemas.microsoft.com/office/drawing/2014/main" id="{1918FEE3-D4E0-1C20-D0F2-B556CDA81E78}"/>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62" name="Text Box 54" hidden="1">
          <a:extLst>
            <a:ext uri="{FF2B5EF4-FFF2-40B4-BE49-F238E27FC236}">
              <a16:creationId xmlns:a16="http://schemas.microsoft.com/office/drawing/2014/main" id="{DDD35F02-2637-01F7-C8F9-E0AADC99346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61" name="Text Box 53" hidden="1">
          <a:extLst>
            <a:ext uri="{FF2B5EF4-FFF2-40B4-BE49-F238E27FC236}">
              <a16:creationId xmlns:a16="http://schemas.microsoft.com/office/drawing/2014/main" id="{10D6D06C-3546-EAEE-891A-B1018FBFA10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60" name="Text Box 52" hidden="1">
          <a:extLst>
            <a:ext uri="{FF2B5EF4-FFF2-40B4-BE49-F238E27FC236}">
              <a16:creationId xmlns:a16="http://schemas.microsoft.com/office/drawing/2014/main" id="{4279E2A4-E20B-9D84-9327-22A3BE659E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59" name="Text Box 51" hidden="1">
          <a:extLst>
            <a:ext uri="{FF2B5EF4-FFF2-40B4-BE49-F238E27FC236}">
              <a16:creationId xmlns:a16="http://schemas.microsoft.com/office/drawing/2014/main" id="{177033CA-69CF-D644-CF5B-9516FF5A82D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58" name="Text Box 50" hidden="1">
          <a:extLst>
            <a:ext uri="{FF2B5EF4-FFF2-40B4-BE49-F238E27FC236}">
              <a16:creationId xmlns:a16="http://schemas.microsoft.com/office/drawing/2014/main" id="{62797FE5-6149-BA37-D2D3-D0B52012E3FC}"/>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57" name="Text Box 49" hidden="1">
          <a:extLst>
            <a:ext uri="{FF2B5EF4-FFF2-40B4-BE49-F238E27FC236}">
              <a16:creationId xmlns:a16="http://schemas.microsoft.com/office/drawing/2014/main" id="{139CA383-D6C5-F294-01C2-615867F47F0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56" name="Text Box 48" hidden="1">
          <a:extLst>
            <a:ext uri="{FF2B5EF4-FFF2-40B4-BE49-F238E27FC236}">
              <a16:creationId xmlns:a16="http://schemas.microsoft.com/office/drawing/2014/main" id="{B46C7E2D-023B-0D93-6FA2-1E8ED4EFBCED}"/>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55" name="Text Box 47" hidden="1">
          <a:extLst>
            <a:ext uri="{FF2B5EF4-FFF2-40B4-BE49-F238E27FC236}">
              <a16:creationId xmlns:a16="http://schemas.microsoft.com/office/drawing/2014/main" id="{5780159E-7D2F-5657-E33B-C70AD63B5D34}"/>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54" name="Text Box 46" hidden="1">
          <a:extLst>
            <a:ext uri="{FF2B5EF4-FFF2-40B4-BE49-F238E27FC236}">
              <a16:creationId xmlns:a16="http://schemas.microsoft.com/office/drawing/2014/main" id="{DEF05B20-64A2-A62E-7FDD-0F4EC3E2E3DA}"/>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53" name="Text Box 45" hidden="1">
          <a:extLst>
            <a:ext uri="{FF2B5EF4-FFF2-40B4-BE49-F238E27FC236}">
              <a16:creationId xmlns:a16="http://schemas.microsoft.com/office/drawing/2014/main" id="{D65F515C-8605-0463-0E2B-0E4A5B7A4A89}"/>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96" name="Text Box 88" hidden="1">
          <a:extLst>
            <a:ext uri="{FF2B5EF4-FFF2-40B4-BE49-F238E27FC236}">
              <a16:creationId xmlns:a16="http://schemas.microsoft.com/office/drawing/2014/main" id="{D3B80027-3549-FFA6-D93F-8AE9F8A23E8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95" name="Text Box 87" hidden="1">
          <a:extLst>
            <a:ext uri="{FF2B5EF4-FFF2-40B4-BE49-F238E27FC236}">
              <a16:creationId xmlns:a16="http://schemas.microsoft.com/office/drawing/2014/main" id="{87691299-7285-F2CC-ABF2-6525EBA80B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94" name="Text Box 86" hidden="1">
          <a:extLst>
            <a:ext uri="{FF2B5EF4-FFF2-40B4-BE49-F238E27FC236}">
              <a16:creationId xmlns:a16="http://schemas.microsoft.com/office/drawing/2014/main" id="{A5080AC9-77D0-3CC9-1CB6-C1E2ADC30A9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93" name="Text Box 85" hidden="1">
          <a:extLst>
            <a:ext uri="{FF2B5EF4-FFF2-40B4-BE49-F238E27FC236}">
              <a16:creationId xmlns:a16="http://schemas.microsoft.com/office/drawing/2014/main" id="{FAC42524-8506-1958-1C08-ED974BBA833C}"/>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92" name="Text Box 84" hidden="1">
          <a:extLst>
            <a:ext uri="{FF2B5EF4-FFF2-40B4-BE49-F238E27FC236}">
              <a16:creationId xmlns:a16="http://schemas.microsoft.com/office/drawing/2014/main" id="{B1EE5A56-29C8-380F-44B4-8734DBB8CC50}"/>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91" name="Text Box 83" hidden="1">
          <a:extLst>
            <a:ext uri="{FF2B5EF4-FFF2-40B4-BE49-F238E27FC236}">
              <a16:creationId xmlns:a16="http://schemas.microsoft.com/office/drawing/2014/main" id="{A47F0D92-3F03-7748-EC3A-D1600BFF3C98}"/>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90" name="Text Box 82" hidden="1">
          <a:extLst>
            <a:ext uri="{FF2B5EF4-FFF2-40B4-BE49-F238E27FC236}">
              <a16:creationId xmlns:a16="http://schemas.microsoft.com/office/drawing/2014/main" id="{BC03FE38-E5BA-56BC-744F-F5BDDAEAFB64}"/>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89" name="Text Box 81" hidden="1">
          <a:extLst>
            <a:ext uri="{FF2B5EF4-FFF2-40B4-BE49-F238E27FC236}">
              <a16:creationId xmlns:a16="http://schemas.microsoft.com/office/drawing/2014/main" id="{1DB91CDA-D53D-F3AE-F809-D9E3A5DE0635}"/>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88" name="Text Box 80" hidden="1">
          <a:extLst>
            <a:ext uri="{FF2B5EF4-FFF2-40B4-BE49-F238E27FC236}">
              <a16:creationId xmlns:a16="http://schemas.microsoft.com/office/drawing/2014/main" id="{E2C74477-FC2E-A3B0-0503-EE9AE6D503D5}"/>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87" name="Text Box 79" hidden="1">
          <a:extLst>
            <a:ext uri="{FF2B5EF4-FFF2-40B4-BE49-F238E27FC236}">
              <a16:creationId xmlns:a16="http://schemas.microsoft.com/office/drawing/2014/main" id="{58B43648-7247-799C-CBED-B00C9490572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86" name="Text Box 78" hidden="1">
          <a:extLst>
            <a:ext uri="{FF2B5EF4-FFF2-40B4-BE49-F238E27FC236}">
              <a16:creationId xmlns:a16="http://schemas.microsoft.com/office/drawing/2014/main" id="{31F233DE-400D-D8B5-A1CB-EBBB79D15AF6}"/>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85" name="Text Box 77" hidden="1">
          <a:extLst>
            <a:ext uri="{FF2B5EF4-FFF2-40B4-BE49-F238E27FC236}">
              <a16:creationId xmlns:a16="http://schemas.microsoft.com/office/drawing/2014/main" id="{125AC929-E026-697C-88C6-3AA6B7D738E9}"/>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84" name="Text Box 76" hidden="1">
          <a:extLst>
            <a:ext uri="{FF2B5EF4-FFF2-40B4-BE49-F238E27FC236}">
              <a16:creationId xmlns:a16="http://schemas.microsoft.com/office/drawing/2014/main" id="{3804C7CC-C7A0-DBC7-A10B-D4C9E1AD117F}"/>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83" name="Text Box 75" hidden="1">
          <a:extLst>
            <a:ext uri="{FF2B5EF4-FFF2-40B4-BE49-F238E27FC236}">
              <a16:creationId xmlns:a16="http://schemas.microsoft.com/office/drawing/2014/main" id="{2C2A71EC-55BB-3975-FBA2-B1C115BBF01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82" name="Text Box 74" hidden="1">
          <a:extLst>
            <a:ext uri="{FF2B5EF4-FFF2-40B4-BE49-F238E27FC236}">
              <a16:creationId xmlns:a16="http://schemas.microsoft.com/office/drawing/2014/main" id="{DB4D1086-AA52-93FB-1055-ED8A3AF1154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81" name="Text Box 73" hidden="1">
          <a:extLst>
            <a:ext uri="{FF2B5EF4-FFF2-40B4-BE49-F238E27FC236}">
              <a16:creationId xmlns:a16="http://schemas.microsoft.com/office/drawing/2014/main" id="{79774DC5-6382-4213-8500-063209544ADB}"/>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80" name="Text Box 72" hidden="1">
          <a:extLst>
            <a:ext uri="{FF2B5EF4-FFF2-40B4-BE49-F238E27FC236}">
              <a16:creationId xmlns:a16="http://schemas.microsoft.com/office/drawing/2014/main" id="{319384FF-B2D4-B9D1-68CA-88F435556877}"/>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79" name="Text Box 71" hidden="1">
          <a:extLst>
            <a:ext uri="{FF2B5EF4-FFF2-40B4-BE49-F238E27FC236}">
              <a16:creationId xmlns:a16="http://schemas.microsoft.com/office/drawing/2014/main" id="{11634075-264A-9F74-69E6-D2501C05DA68}"/>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78" name="Text Box 70" hidden="1">
          <a:extLst>
            <a:ext uri="{FF2B5EF4-FFF2-40B4-BE49-F238E27FC236}">
              <a16:creationId xmlns:a16="http://schemas.microsoft.com/office/drawing/2014/main" id="{B43F0F29-4A61-D7F4-FD21-5C4F6870EA6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77" name="Text Box 69" hidden="1">
          <a:extLst>
            <a:ext uri="{FF2B5EF4-FFF2-40B4-BE49-F238E27FC236}">
              <a16:creationId xmlns:a16="http://schemas.microsoft.com/office/drawing/2014/main" id="{DA11E1F1-5E9E-395E-BE5F-7AC2A13AF6C6}"/>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76" name="Text Box 68" hidden="1">
          <a:extLst>
            <a:ext uri="{FF2B5EF4-FFF2-40B4-BE49-F238E27FC236}">
              <a16:creationId xmlns:a16="http://schemas.microsoft.com/office/drawing/2014/main" id="{1BE05D7B-3B05-C2B5-284F-597BF60BB91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75" name="Text Box 67" hidden="1">
          <a:extLst>
            <a:ext uri="{FF2B5EF4-FFF2-40B4-BE49-F238E27FC236}">
              <a16:creationId xmlns:a16="http://schemas.microsoft.com/office/drawing/2014/main" id="{E90E50FE-97B0-75F4-688D-75B8E4FCF3C2}"/>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18" name="Text Box 110" hidden="1">
          <a:extLst>
            <a:ext uri="{FF2B5EF4-FFF2-40B4-BE49-F238E27FC236}">
              <a16:creationId xmlns:a16="http://schemas.microsoft.com/office/drawing/2014/main" id="{0C1B631D-CCE5-A657-9BD2-C6A8ACAB367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17" name="Text Box 109" hidden="1">
          <a:extLst>
            <a:ext uri="{FF2B5EF4-FFF2-40B4-BE49-F238E27FC236}">
              <a16:creationId xmlns:a16="http://schemas.microsoft.com/office/drawing/2014/main" id="{043A98E9-5D3D-47A4-20CB-BD60536D7E0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16" name="Text Box 108" hidden="1">
          <a:extLst>
            <a:ext uri="{FF2B5EF4-FFF2-40B4-BE49-F238E27FC236}">
              <a16:creationId xmlns:a16="http://schemas.microsoft.com/office/drawing/2014/main" id="{CA7AD23F-2A4A-D524-2D2B-32CAE2A7186E}"/>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15" name="Text Box 107" hidden="1">
          <a:extLst>
            <a:ext uri="{FF2B5EF4-FFF2-40B4-BE49-F238E27FC236}">
              <a16:creationId xmlns:a16="http://schemas.microsoft.com/office/drawing/2014/main" id="{30D2EC18-31E0-4112-85B8-5C253360A043}"/>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14" name="Text Box 106" hidden="1">
          <a:extLst>
            <a:ext uri="{FF2B5EF4-FFF2-40B4-BE49-F238E27FC236}">
              <a16:creationId xmlns:a16="http://schemas.microsoft.com/office/drawing/2014/main" id="{A3A1683E-D542-7CFA-F46B-B0547EB1F97F}"/>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13" name="Text Box 105" hidden="1">
          <a:extLst>
            <a:ext uri="{FF2B5EF4-FFF2-40B4-BE49-F238E27FC236}">
              <a16:creationId xmlns:a16="http://schemas.microsoft.com/office/drawing/2014/main" id="{79EFEC35-936B-CD92-C770-3E73B856788E}"/>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12" name="Text Box 104" hidden="1">
          <a:extLst>
            <a:ext uri="{FF2B5EF4-FFF2-40B4-BE49-F238E27FC236}">
              <a16:creationId xmlns:a16="http://schemas.microsoft.com/office/drawing/2014/main" id="{D0399175-1D34-76E3-7703-46FE6DF0ED9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11" name="Text Box 103" hidden="1">
          <a:extLst>
            <a:ext uri="{FF2B5EF4-FFF2-40B4-BE49-F238E27FC236}">
              <a16:creationId xmlns:a16="http://schemas.microsoft.com/office/drawing/2014/main" id="{D486B39B-2F79-AB2D-A722-D7CCC10A6520}"/>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10" name="Text Box 102" hidden="1">
          <a:extLst>
            <a:ext uri="{FF2B5EF4-FFF2-40B4-BE49-F238E27FC236}">
              <a16:creationId xmlns:a16="http://schemas.microsoft.com/office/drawing/2014/main" id="{7346DF0F-9863-EA36-B3FF-A0C1F3417D5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09" name="Text Box 101" hidden="1">
          <a:extLst>
            <a:ext uri="{FF2B5EF4-FFF2-40B4-BE49-F238E27FC236}">
              <a16:creationId xmlns:a16="http://schemas.microsoft.com/office/drawing/2014/main" id="{9569F192-2656-C299-E12B-982C54FDF11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08" name="Text Box 100" hidden="1">
          <a:extLst>
            <a:ext uri="{FF2B5EF4-FFF2-40B4-BE49-F238E27FC236}">
              <a16:creationId xmlns:a16="http://schemas.microsoft.com/office/drawing/2014/main" id="{9C7C440B-C15F-1495-4BCF-696C302895E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07" name="Text Box 99" hidden="1">
          <a:extLst>
            <a:ext uri="{FF2B5EF4-FFF2-40B4-BE49-F238E27FC236}">
              <a16:creationId xmlns:a16="http://schemas.microsoft.com/office/drawing/2014/main" id="{9623ED5A-9DC1-DBA0-641C-7DDB7BD84F5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06" name="Text Box 98" hidden="1">
          <a:extLst>
            <a:ext uri="{FF2B5EF4-FFF2-40B4-BE49-F238E27FC236}">
              <a16:creationId xmlns:a16="http://schemas.microsoft.com/office/drawing/2014/main" id="{7E3187C9-C785-22A6-F099-5E91D292EB12}"/>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05" name="Text Box 97" hidden="1">
          <a:extLst>
            <a:ext uri="{FF2B5EF4-FFF2-40B4-BE49-F238E27FC236}">
              <a16:creationId xmlns:a16="http://schemas.microsoft.com/office/drawing/2014/main" id="{30445E6A-5215-DF3A-E8DE-D9B618793D6B}"/>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04" name="Text Box 96" hidden="1">
          <a:extLst>
            <a:ext uri="{FF2B5EF4-FFF2-40B4-BE49-F238E27FC236}">
              <a16:creationId xmlns:a16="http://schemas.microsoft.com/office/drawing/2014/main" id="{1F93D608-C4E4-3A09-1F53-7D308A29AD05}"/>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03" name="Text Box 95" hidden="1">
          <a:extLst>
            <a:ext uri="{FF2B5EF4-FFF2-40B4-BE49-F238E27FC236}">
              <a16:creationId xmlns:a16="http://schemas.microsoft.com/office/drawing/2014/main" id="{E145CDFF-5653-D58E-4F7B-80AFFD31C0E2}"/>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02" name="Text Box 94" hidden="1">
          <a:extLst>
            <a:ext uri="{FF2B5EF4-FFF2-40B4-BE49-F238E27FC236}">
              <a16:creationId xmlns:a16="http://schemas.microsoft.com/office/drawing/2014/main" id="{B9B9FECA-67A0-C9EB-A7EF-15D5853BAA81}"/>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01" name="Text Box 93" hidden="1">
          <a:extLst>
            <a:ext uri="{FF2B5EF4-FFF2-40B4-BE49-F238E27FC236}">
              <a16:creationId xmlns:a16="http://schemas.microsoft.com/office/drawing/2014/main" id="{4B53581A-9386-5E6D-52F5-EB4C01285679}"/>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00" name="Text Box 92" hidden="1">
          <a:extLst>
            <a:ext uri="{FF2B5EF4-FFF2-40B4-BE49-F238E27FC236}">
              <a16:creationId xmlns:a16="http://schemas.microsoft.com/office/drawing/2014/main" id="{F9F7DA83-1891-902C-7053-85CA36BA13A4}"/>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99" name="Text Box 91" hidden="1">
          <a:extLst>
            <a:ext uri="{FF2B5EF4-FFF2-40B4-BE49-F238E27FC236}">
              <a16:creationId xmlns:a16="http://schemas.microsoft.com/office/drawing/2014/main" id="{0241269F-951A-C6FC-29DB-2CDF36C0E8A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98" name="Text Box 90" hidden="1">
          <a:extLst>
            <a:ext uri="{FF2B5EF4-FFF2-40B4-BE49-F238E27FC236}">
              <a16:creationId xmlns:a16="http://schemas.microsoft.com/office/drawing/2014/main" id="{FC54942A-0404-1FA8-47DE-0B4CC653DD44}"/>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97" name="Text Box 89" hidden="1">
          <a:extLst>
            <a:ext uri="{FF2B5EF4-FFF2-40B4-BE49-F238E27FC236}">
              <a16:creationId xmlns:a16="http://schemas.microsoft.com/office/drawing/2014/main" id="{DEAA897A-8298-34E8-9B68-78B1CE392BF5}"/>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40" name="Text Box 132" hidden="1">
          <a:extLst>
            <a:ext uri="{FF2B5EF4-FFF2-40B4-BE49-F238E27FC236}">
              <a16:creationId xmlns:a16="http://schemas.microsoft.com/office/drawing/2014/main" id="{6C83BF8C-AAE8-2969-032A-3C0A35F2409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39" name="Text Box 131" hidden="1">
          <a:extLst>
            <a:ext uri="{FF2B5EF4-FFF2-40B4-BE49-F238E27FC236}">
              <a16:creationId xmlns:a16="http://schemas.microsoft.com/office/drawing/2014/main" id="{29AF32B7-B838-5B80-86F5-BED5B2A21D6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38" name="Text Box 130" hidden="1">
          <a:extLst>
            <a:ext uri="{FF2B5EF4-FFF2-40B4-BE49-F238E27FC236}">
              <a16:creationId xmlns:a16="http://schemas.microsoft.com/office/drawing/2014/main" id="{EE259770-E485-1190-B009-3ADD8D1B6691}"/>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37" name="Text Box 129" hidden="1">
          <a:extLst>
            <a:ext uri="{FF2B5EF4-FFF2-40B4-BE49-F238E27FC236}">
              <a16:creationId xmlns:a16="http://schemas.microsoft.com/office/drawing/2014/main" id="{B087249B-584E-513F-06BA-44DDD9A72EEA}"/>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36" name="Text Box 128" hidden="1">
          <a:extLst>
            <a:ext uri="{FF2B5EF4-FFF2-40B4-BE49-F238E27FC236}">
              <a16:creationId xmlns:a16="http://schemas.microsoft.com/office/drawing/2014/main" id="{1B243D73-AFD3-6F12-EDA5-A98EC974BC4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35" name="Text Box 127" hidden="1">
          <a:extLst>
            <a:ext uri="{FF2B5EF4-FFF2-40B4-BE49-F238E27FC236}">
              <a16:creationId xmlns:a16="http://schemas.microsoft.com/office/drawing/2014/main" id="{AB6A4E82-7FC2-C7D8-CE20-F461F4EE2792}"/>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34" name="Text Box 126" hidden="1">
          <a:extLst>
            <a:ext uri="{FF2B5EF4-FFF2-40B4-BE49-F238E27FC236}">
              <a16:creationId xmlns:a16="http://schemas.microsoft.com/office/drawing/2014/main" id="{D741F821-A0AE-BF04-D165-250656FBB718}"/>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33" name="Text Box 125" hidden="1">
          <a:extLst>
            <a:ext uri="{FF2B5EF4-FFF2-40B4-BE49-F238E27FC236}">
              <a16:creationId xmlns:a16="http://schemas.microsoft.com/office/drawing/2014/main" id="{C6DACA81-D309-5A45-6623-774CA6F5DCF6}"/>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32" name="Text Box 124" hidden="1">
          <a:extLst>
            <a:ext uri="{FF2B5EF4-FFF2-40B4-BE49-F238E27FC236}">
              <a16:creationId xmlns:a16="http://schemas.microsoft.com/office/drawing/2014/main" id="{C61447E4-464B-D150-4838-DA6AB50A941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31" name="Text Box 123" hidden="1">
          <a:extLst>
            <a:ext uri="{FF2B5EF4-FFF2-40B4-BE49-F238E27FC236}">
              <a16:creationId xmlns:a16="http://schemas.microsoft.com/office/drawing/2014/main" id="{99A9FA00-BDD2-1C8B-17C3-5FCCADD726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30" name="Text Box 122" hidden="1">
          <a:extLst>
            <a:ext uri="{FF2B5EF4-FFF2-40B4-BE49-F238E27FC236}">
              <a16:creationId xmlns:a16="http://schemas.microsoft.com/office/drawing/2014/main" id="{9BB85C2F-88FE-B92B-0A3A-BB8FF938265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29" name="Text Box 121" hidden="1">
          <a:extLst>
            <a:ext uri="{FF2B5EF4-FFF2-40B4-BE49-F238E27FC236}">
              <a16:creationId xmlns:a16="http://schemas.microsoft.com/office/drawing/2014/main" id="{FDE32D8E-2C23-F4D5-FA32-1364437CC356}"/>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28" name="Text Box 120" hidden="1">
          <a:extLst>
            <a:ext uri="{FF2B5EF4-FFF2-40B4-BE49-F238E27FC236}">
              <a16:creationId xmlns:a16="http://schemas.microsoft.com/office/drawing/2014/main" id="{03A3AAED-5871-D9F6-8BD8-21BB9028C43A}"/>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27" name="Text Box 119" hidden="1">
          <a:extLst>
            <a:ext uri="{FF2B5EF4-FFF2-40B4-BE49-F238E27FC236}">
              <a16:creationId xmlns:a16="http://schemas.microsoft.com/office/drawing/2014/main" id="{7B130C8D-61F3-A067-1FA9-913E8CE701B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26" name="Text Box 118" hidden="1">
          <a:extLst>
            <a:ext uri="{FF2B5EF4-FFF2-40B4-BE49-F238E27FC236}">
              <a16:creationId xmlns:a16="http://schemas.microsoft.com/office/drawing/2014/main" id="{8E8A6FA5-09DF-AAA7-C863-CE1C3BCDF71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25" name="Text Box 117" hidden="1">
          <a:extLst>
            <a:ext uri="{FF2B5EF4-FFF2-40B4-BE49-F238E27FC236}">
              <a16:creationId xmlns:a16="http://schemas.microsoft.com/office/drawing/2014/main" id="{1322411D-4F12-0419-995F-21CDE455229F}"/>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24" name="Text Box 116" hidden="1">
          <a:extLst>
            <a:ext uri="{FF2B5EF4-FFF2-40B4-BE49-F238E27FC236}">
              <a16:creationId xmlns:a16="http://schemas.microsoft.com/office/drawing/2014/main" id="{C904552B-667C-2409-AD51-21637295853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23" name="Text Box 115" hidden="1">
          <a:extLst>
            <a:ext uri="{FF2B5EF4-FFF2-40B4-BE49-F238E27FC236}">
              <a16:creationId xmlns:a16="http://schemas.microsoft.com/office/drawing/2014/main" id="{44A202DE-36FE-D640-11A3-3E309401E9D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22" name="Text Box 114" hidden="1">
          <a:extLst>
            <a:ext uri="{FF2B5EF4-FFF2-40B4-BE49-F238E27FC236}">
              <a16:creationId xmlns:a16="http://schemas.microsoft.com/office/drawing/2014/main" id="{E5B5A145-D9B5-628A-CC91-F59CF80A8D1B}"/>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21" name="Text Box 113" hidden="1">
          <a:extLst>
            <a:ext uri="{FF2B5EF4-FFF2-40B4-BE49-F238E27FC236}">
              <a16:creationId xmlns:a16="http://schemas.microsoft.com/office/drawing/2014/main" id="{583FCACA-284A-E2E2-2ED2-564AA6E08EDD}"/>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20" name="Text Box 112" hidden="1">
          <a:extLst>
            <a:ext uri="{FF2B5EF4-FFF2-40B4-BE49-F238E27FC236}">
              <a16:creationId xmlns:a16="http://schemas.microsoft.com/office/drawing/2014/main" id="{EBC7FD4C-24F1-2FCF-DA26-BC5E6BA06B5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19" name="Text Box 111" hidden="1">
          <a:extLst>
            <a:ext uri="{FF2B5EF4-FFF2-40B4-BE49-F238E27FC236}">
              <a16:creationId xmlns:a16="http://schemas.microsoft.com/office/drawing/2014/main" id="{2C5837CC-5D60-DDE9-7EC5-90B2BEDBA03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62" name="Text Box 154" hidden="1">
          <a:extLst>
            <a:ext uri="{FF2B5EF4-FFF2-40B4-BE49-F238E27FC236}">
              <a16:creationId xmlns:a16="http://schemas.microsoft.com/office/drawing/2014/main" id="{3FD53212-F054-61C2-7FFF-E87508485AAE}"/>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61" name="Text Box 153" hidden="1">
          <a:extLst>
            <a:ext uri="{FF2B5EF4-FFF2-40B4-BE49-F238E27FC236}">
              <a16:creationId xmlns:a16="http://schemas.microsoft.com/office/drawing/2014/main" id="{46151679-B154-820F-215A-53733B7ED3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60" name="Text Box 152" hidden="1">
          <a:extLst>
            <a:ext uri="{FF2B5EF4-FFF2-40B4-BE49-F238E27FC236}">
              <a16:creationId xmlns:a16="http://schemas.microsoft.com/office/drawing/2014/main" id="{4E6402EE-ACE2-8A98-F60E-B0F49D453C13}"/>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59" name="Text Box 151" hidden="1">
          <a:extLst>
            <a:ext uri="{FF2B5EF4-FFF2-40B4-BE49-F238E27FC236}">
              <a16:creationId xmlns:a16="http://schemas.microsoft.com/office/drawing/2014/main" id="{C7E2D83F-BE28-DDD9-997B-9D52B00E66AF}"/>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58" name="Text Box 150" hidden="1">
          <a:extLst>
            <a:ext uri="{FF2B5EF4-FFF2-40B4-BE49-F238E27FC236}">
              <a16:creationId xmlns:a16="http://schemas.microsoft.com/office/drawing/2014/main" id="{A424EE92-A47A-DD83-E96C-93FAFE8B3D2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57" name="Text Box 149" hidden="1">
          <a:extLst>
            <a:ext uri="{FF2B5EF4-FFF2-40B4-BE49-F238E27FC236}">
              <a16:creationId xmlns:a16="http://schemas.microsoft.com/office/drawing/2014/main" id="{ED0AA085-DA87-AC56-E6B9-14F8B3D835B9}"/>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56" name="Text Box 148" hidden="1">
          <a:extLst>
            <a:ext uri="{FF2B5EF4-FFF2-40B4-BE49-F238E27FC236}">
              <a16:creationId xmlns:a16="http://schemas.microsoft.com/office/drawing/2014/main" id="{F79D0816-123A-6A4C-17A0-87A9C6E3EB2A}"/>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55" name="Text Box 147" hidden="1">
          <a:extLst>
            <a:ext uri="{FF2B5EF4-FFF2-40B4-BE49-F238E27FC236}">
              <a16:creationId xmlns:a16="http://schemas.microsoft.com/office/drawing/2014/main" id="{16F2268E-0165-2B09-AC01-15572E9BA154}"/>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54" name="Text Box 146" hidden="1">
          <a:extLst>
            <a:ext uri="{FF2B5EF4-FFF2-40B4-BE49-F238E27FC236}">
              <a16:creationId xmlns:a16="http://schemas.microsoft.com/office/drawing/2014/main" id="{2E353AFA-0520-61A6-BF13-C21B1FB7F32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53" name="Text Box 145" hidden="1">
          <a:extLst>
            <a:ext uri="{FF2B5EF4-FFF2-40B4-BE49-F238E27FC236}">
              <a16:creationId xmlns:a16="http://schemas.microsoft.com/office/drawing/2014/main" id="{B0E81486-E9B1-0F86-7913-5A48B33DAF88}"/>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52" name="Text Box 144" hidden="1">
          <a:extLst>
            <a:ext uri="{FF2B5EF4-FFF2-40B4-BE49-F238E27FC236}">
              <a16:creationId xmlns:a16="http://schemas.microsoft.com/office/drawing/2014/main" id="{2C8A7595-B8A4-9275-DC6C-4E474414894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51" name="Text Box 143" hidden="1">
          <a:extLst>
            <a:ext uri="{FF2B5EF4-FFF2-40B4-BE49-F238E27FC236}">
              <a16:creationId xmlns:a16="http://schemas.microsoft.com/office/drawing/2014/main" id="{117FC335-ED8F-94FF-CAA8-8954DC737595}"/>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50" name="Text Box 142" hidden="1">
          <a:extLst>
            <a:ext uri="{FF2B5EF4-FFF2-40B4-BE49-F238E27FC236}">
              <a16:creationId xmlns:a16="http://schemas.microsoft.com/office/drawing/2014/main" id="{88CACA54-50A5-44AE-AC1C-B5E96E4CBB60}"/>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49" name="Text Box 141" hidden="1">
          <a:extLst>
            <a:ext uri="{FF2B5EF4-FFF2-40B4-BE49-F238E27FC236}">
              <a16:creationId xmlns:a16="http://schemas.microsoft.com/office/drawing/2014/main" id="{227DA012-2622-9BDE-847C-62C252050B62}"/>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48" name="Text Box 140" hidden="1">
          <a:extLst>
            <a:ext uri="{FF2B5EF4-FFF2-40B4-BE49-F238E27FC236}">
              <a16:creationId xmlns:a16="http://schemas.microsoft.com/office/drawing/2014/main" id="{3D09DB5E-817F-94C9-4655-989EA1F788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47" name="Text Box 139" hidden="1">
          <a:extLst>
            <a:ext uri="{FF2B5EF4-FFF2-40B4-BE49-F238E27FC236}">
              <a16:creationId xmlns:a16="http://schemas.microsoft.com/office/drawing/2014/main" id="{3AA53F6D-E5C8-673D-B5EA-BAE8BCEE31B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46" name="Text Box 138" hidden="1">
          <a:extLst>
            <a:ext uri="{FF2B5EF4-FFF2-40B4-BE49-F238E27FC236}">
              <a16:creationId xmlns:a16="http://schemas.microsoft.com/office/drawing/2014/main" id="{F0C03B70-E039-6320-ECF1-288F40ECC02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45" name="Text Box 137" hidden="1">
          <a:extLst>
            <a:ext uri="{FF2B5EF4-FFF2-40B4-BE49-F238E27FC236}">
              <a16:creationId xmlns:a16="http://schemas.microsoft.com/office/drawing/2014/main" id="{4500437F-6919-3E1C-63E7-21F1432C8191}"/>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44" name="Text Box 136" hidden="1">
          <a:extLst>
            <a:ext uri="{FF2B5EF4-FFF2-40B4-BE49-F238E27FC236}">
              <a16:creationId xmlns:a16="http://schemas.microsoft.com/office/drawing/2014/main" id="{7D165916-B3F8-AF5F-5AFE-7C1FB11E7000}"/>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43" name="Text Box 135" hidden="1">
          <a:extLst>
            <a:ext uri="{FF2B5EF4-FFF2-40B4-BE49-F238E27FC236}">
              <a16:creationId xmlns:a16="http://schemas.microsoft.com/office/drawing/2014/main" id="{E68F2B38-F8FA-A678-34E5-FF4A73E68B3E}"/>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42" name="Text Box 134" hidden="1">
          <a:extLst>
            <a:ext uri="{FF2B5EF4-FFF2-40B4-BE49-F238E27FC236}">
              <a16:creationId xmlns:a16="http://schemas.microsoft.com/office/drawing/2014/main" id="{91CA7FF9-F092-F646-D6B2-1447994D5AAB}"/>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41" name="Text Box 133" hidden="1">
          <a:extLst>
            <a:ext uri="{FF2B5EF4-FFF2-40B4-BE49-F238E27FC236}">
              <a16:creationId xmlns:a16="http://schemas.microsoft.com/office/drawing/2014/main" id="{4CF8DF2E-1A17-B7CB-6E85-7B7C4C6B085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5984" name="Text Box 176" hidden="1">
          <a:extLst>
            <a:ext uri="{FF2B5EF4-FFF2-40B4-BE49-F238E27FC236}">
              <a16:creationId xmlns:a16="http://schemas.microsoft.com/office/drawing/2014/main" id="{F0BB4D6E-C132-BBC0-9669-8A194F8C8621}"/>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5983" name="Text Box 175" hidden="1">
          <a:extLst>
            <a:ext uri="{FF2B5EF4-FFF2-40B4-BE49-F238E27FC236}">
              <a16:creationId xmlns:a16="http://schemas.microsoft.com/office/drawing/2014/main" id="{AA630C2C-FFCD-E01B-EA97-53F968864DEF}"/>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5982" name="Text Box 174" hidden="1">
          <a:extLst>
            <a:ext uri="{FF2B5EF4-FFF2-40B4-BE49-F238E27FC236}">
              <a16:creationId xmlns:a16="http://schemas.microsoft.com/office/drawing/2014/main" id="{F96B5E36-6EE6-A238-F49F-DBE6EE44207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5981" name="Text Box 173" hidden="1">
          <a:extLst>
            <a:ext uri="{FF2B5EF4-FFF2-40B4-BE49-F238E27FC236}">
              <a16:creationId xmlns:a16="http://schemas.microsoft.com/office/drawing/2014/main" id="{49151577-6322-FC8F-E11C-E6CDEA46C4A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5980" name="Text Box 172" hidden="1">
          <a:extLst>
            <a:ext uri="{FF2B5EF4-FFF2-40B4-BE49-F238E27FC236}">
              <a16:creationId xmlns:a16="http://schemas.microsoft.com/office/drawing/2014/main" id="{064A37FB-8604-8DF2-793D-27B4D4657D8E}"/>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5979" name="Text Box 171" hidden="1">
          <a:extLst>
            <a:ext uri="{FF2B5EF4-FFF2-40B4-BE49-F238E27FC236}">
              <a16:creationId xmlns:a16="http://schemas.microsoft.com/office/drawing/2014/main" id="{10927166-04AB-4E61-C2F2-73E6D73E646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5978" name="Text Box 170" hidden="1">
          <a:extLst>
            <a:ext uri="{FF2B5EF4-FFF2-40B4-BE49-F238E27FC236}">
              <a16:creationId xmlns:a16="http://schemas.microsoft.com/office/drawing/2014/main" id="{7A7F479A-6A49-E2CF-2229-7D6A3B6FF69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77" name="Text Box 169" hidden="1">
          <a:extLst>
            <a:ext uri="{FF2B5EF4-FFF2-40B4-BE49-F238E27FC236}">
              <a16:creationId xmlns:a16="http://schemas.microsoft.com/office/drawing/2014/main" id="{15205449-FCBA-3B26-31C7-362B84B5700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76" name="Text Box 168" hidden="1">
          <a:extLst>
            <a:ext uri="{FF2B5EF4-FFF2-40B4-BE49-F238E27FC236}">
              <a16:creationId xmlns:a16="http://schemas.microsoft.com/office/drawing/2014/main" id="{0E237CD1-2702-071B-1834-7F064091FA4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75" name="Text Box 167" hidden="1">
          <a:extLst>
            <a:ext uri="{FF2B5EF4-FFF2-40B4-BE49-F238E27FC236}">
              <a16:creationId xmlns:a16="http://schemas.microsoft.com/office/drawing/2014/main" id="{0D6D99E3-FD3E-C97F-2BB5-E48278E51EA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74" name="Text Box 166" hidden="1">
          <a:extLst>
            <a:ext uri="{FF2B5EF4-FFF2-40B4-BE49-F238E27FC236}">
              <a16:creationId xmlns:a16="http://schemas.microsoft.com/office/drawing/2014/main" id="{A99C9E10-7B4B-159B-85B9-73F673A2F530}"/>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73" name="Text Box 165" hidden="1">
          <a:extLst>
            <a:ext uri="{FF2B5EF4-FFF2-40B4-BE49-F238E27FC236}">
              <a16:creationId xmlns:a16="http://schemas.microsoft.com/office/drawing/2014/main" id="{F1543F96-0ED4-A9FD-7A67-6F200062C014}"/>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72" name="Text Box 164" hidden="1">
          <a:extLst>
            <a:ext uri="{FF2B5EF4-FFF2-40B4-BE49-F238E27FC236}">
              <a16:creationId xmlns:a16="http://schemas.microsoft.com/office/drawing/2014/main" id="{FD122115-58EF-1BFB-71DC-496F5F8DA485}"/>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71" name="Text Box 163" hidden="1">
          <a:extLst>
            <a:ext uri="{FF2B5EF4-FFF2-40B4-BE49-F238E27FC236}">
              <a16:creationId xmlns:a16="http://schemas.microsoft.com/office/drawing/2014/main" id="{CFECE8F9-747D-5400-BF58-1FF417FB122D}"/>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70" name="Text Box 162" hidden="1">
          <a:extLst>
            <a:ext uri="{FF2B5EF4-FFF2-40B4-BE49-F238E27FC236}">
              <a16:creationId xmlns:a16="http://schemas.microsoft.com/office/drawing/2014/main" id="{A9F16B73-63AE-4FF5-353B-64CD0E5E231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69" name="Text Box 161" hidden="1">
          <a:extLst>
            <a:ext uri="{FF2B5EF4-FFF2-40B4-BE49-F238E27FC236}">
              <a16:creationId xmlns:a16="http://schemas.microsoft.com/office/drawing/2014/main" id="{8A1F13B8-8924-DC54-E760-7EAD858B4C1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68" name="Text Box 160" hidden="1">
          <a:extLst>
            <a:ext uri="{FF2B5EF4-FFF2-40B4-BE49-F238E27FC236}">
              <a16:creationId xmlns:a16="http://schemas.microsoft.com/office/drawing/2014/main" id="{811D8CF8-5BB0-2991-01EA-68A376E952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67" name="Text Box 159" hidden="1">
          <a:extLst>
            <a:ext uri="{FF2B5EF4-FFF2-40B4-BE49-F238E27FC236}">
              <a16:creationId xmlns:a16="http://schemas.microsoft.com/office/drawing/2014/main" id="{F4434043-8188-B76B-86B7-B925D117E5E7}"/>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66" name="Text Box 158" hidden="1">
          <a:extLst>
            <a:ext uri="{FF2B5EF4-FFF2-40B4-BE49-F238E27FC236}">
              <a16:creationId xmlns:a16="http://schemas.microsoft.com/office/drawing/2014/main" id="{06272AAC-28E3-CB86-0354-9469781BB460}"/>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65" name="Text Box 157" hidden="1">
          <a:extLst>
            <a:ext uri="{FF2B5EF4-FFF2-40B4-BE49-F238E27FC236}">
              <a16:creationId xmlns:a16="http://schemas.microsoft.com/office/drawing/2014/main" id="{D82F77BE-9D65-143B-833E-2D15145E8CB4}"/>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64" name="Text Box 156" hidden="1">
          <a:extLst>
            <a:ext uri="{FF2B5EF4-FFF2-40B4-BE49-F238E27FC236}">
              <a16:creationId xmlns:a16="http://schemas.microsoft.com/office/drawing/2014/main" id="{53CF5A77-1FF0-C41C-CFCE-4131C4112D8B}"/>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63" name="Text Box 155" hidden="1">
          <a:extLst>
            <a:ext uri="{FF2B5EF4-FFF2-40B4-BE49-F238E27FC236}">
              <a16:creationId xmlns:a16="http://schemas.microsoft.com/office/drawing/2014/main" id="{D94349F5-809F-186E-90D3-E7788E68D435}"/>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62" name="Text Box 1046" hidden="1">
          <a:extLst>
            <a:ext uri="{FF2B5EF4-FFF2-40B4-BE49-F238E27FC236}">
              <a16:creationId xmlns:a16="http://schemas.microsoft.com/office/drawing/2014/main" id="{6D132095-999E-1283-42E2-6279CAE2EC2A}"/>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61" name="Text Box 1045" hidden="1">
          <a:extLst>
            <a:ext uri="{FF2B5EF4-FFF2-40B4-BE49-F238E27FC236}">
              <a16:creationId xmlns:a16="http://schemas.microsoft.com/office/drawing/2014/main" id="{F828C53A-7DD4-D28B-BC40-44A77B89B52C}"/>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60" name="Text Box 1044" hidden="1">
          <a:extLst>
            <a:ext uri="{FF2B5EF4-FFF2-40B4-BE49-F238E27FC236}">
              <a16:creationId xmlns:a16="http://schemas.microsoft.com/office/drawing/2014/main" id="{319AB0CB-6828-D38F-3873-B1ECBA2DBACA}"/>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59" name="Text Box 1043" hidden="1">
          <a:extLst>
            <a:ext uri="{FF2B5EF4-FFF2-40B4-BE49-F238E27FC236}">
              <a16:creationId xmlns:a16="http://schemas.microsoft.com/office/drawing/2014/main" id="{883D3A52-A6E9-CED1-F27F-37C6D2AB4A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58" name="Text Box 1042" hidden="1">
          <a:extLst>
            <a:ext uri="{FF2B5EF4-FFF2-40B4-BE49-F238E27FC236}">
              <a16:creationId xmlns:a16="http://schemas.microsoft.com/office/drawing/2014/main" id="{51684DA8-9B05-8AC9-A68E-FAE776579BB1}"/>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57" name="Text Box 1041" hidden="1">
          <a:extLst>
            <a:ext uri="{FF2B5EF4-FFF2-40B4-BE49-F238E27FC236}">
              <a16:creationId xmlns:a16="http://schemas.microsoft.com/office/drawing/2014/main" id="{3D9F5B9C-2544-9860-CF96-9E93477AA382}"/>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56" name="Text Box 1040" hidden="1">
          <a:extLst>
            <a:ext uri="{FF2B5EF4-FFF2-40B4-BE49-F238E27FC236}">
              <a16:creationId xmlns:a16="http://schemas.microsoft.com/office/drawing/2014/main" id="{6F5EF628-3383-2B14-C7C7-346ACCACD9BD}"/>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55" name="Text Box 1039" hidden="1">
          <a:extLst>
            <a:ext uri="{FF2B5EF4-FFF2-40B4-BE49-F238E27FC236}">
              <a16:creationId xmlns:a16="http://schemas.microsoft.com/office/drawing/2014/main" id="{19F6E970-F4F3-1984-08E5-A1D7753812BF}"/>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54" name="Text Box 1038" hidden="1">
          <a:extLst>
            <a:ext uri="{FF2B5EF4-FFF2-40B4-BE49-F238E27FC236}">
              <a16:creationId xmlns:a16="http://schemas.microsoft.com/office/drawing/2014/main" id="{3FEA96D0-6940-B5D5-45B9-A463A0C6EE87}"/>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53" name="Text Box 1037" hidden="1">
          <a:extLst>
            <a:ext uri="{FF2B5EF4-FFF2-40B4-BE49-F238E27FC236}">
              <a16:creationId xmlns:a16="http://schemas.microsoft.com/office/drawing/2014/main" id="{A9E0AD97-F157-EDC0-9391-E80EE571D9B8}"/>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52" name="Text Box 1036" hidden="1">
          <a:extLst>
            <a:ext uri="{FF2B5EF4-FFF2-40B4-BE49-F238E27FC236}">
              <a16:creationId xmlns:a16="http://schemas.microsoft.com/office/drawing/2014/main" id="{157033B7-F94F-6F32-B8D7-0FCB9C46BB1C}"/>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51" name="Text Box 1035" hidden="1">
          <a:extLst>
            <a:ext uri="{FF2B5EF4-FFF2-40B4-BE49-F238E27FC236}">
              <a16:creationId xmlns:a16="http://schemas.microsoft.com/office/drawing/2014/main" id="{64C4CC3B-1540-6726-32DC-64090251A3FA}"/>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50" name="Text Box 1034" hidden="1">
          <a:extLst>
            <a:ext uri="{FF2B5EF4-FFF2-40B4-BE49-F238E27FC236}">
              <a16:creationId xmlns:a16="http://schemas.microsoft.com/office/drawing/2014/main" id="{E3D36EF8-5CE8-11DC-B2FE-CFAF465A8D6E}"/>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49" name="Text Box 1033" hidden="1">
          <a:extLst>
            <a:ext uri="{FF2B5EF4-FFF2-40B4-BE49-F238E27FC236}">
              <a16:creationId xmlns:a16="http://schemas.microsoft.com/office/drawing/2014/main" id="{2F94A7FE-3E58-375F-0D93-AD95F51638D4}"/>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48" name="Text Box 1032" hidden="1">
          <a:extLst>
            <a:ext uri="{FF2B5EF4-FFF2-40B4-BE49-F238E27FC236}">
              <a16:creationId xmlns:a16="http://schemas.microsoft.com/office/drawing/2014/main" id="{BC5EB5B6-E9A0-AD72-AB23-CD07785F269F}"/>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47" name="Text Box 1031" hidden="1">
          <a:extLst>
            <a:ext uri="{FF2B5EF4-FFF2-40B4-BE49-F238E27FC236}">
              <a16:creationId xmlns:a16="http://schemas.microsoft.com/office/drawing/2014/main" id="{2502A306-200D-7D52-A538-39FDDB7E7C9D}"/>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46" name="Text Box 1030" hidden="1">
          <a:extLst>
            <a:ext uri="{FF2B5EF4-FFF2-40B4-BE49-F238E27FC236}">
              <a16:creationId xmlns:a16="http://schemas.microsoft.com/office/drawing/2014/main" id="{50995564-1A3C-C4E4-2BFF-6CEDB17D6E90}"/>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45" name="Text Box 1029" hidden="1">
          <a:extLst>
            <a:ext uri="{FF2B5EF4-FFF2-40B4-BE49-F238E27FC236}">
              <a16:creationId xmlns:a16="http://schemas.microsoft.com/office/drawing/2014/main" id="{DFB0C9E3-E008-71C7-0AEF-86BB75D5153B}"/>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44" name="Text Box 1028" hidden="1">
          <a:extLst>
            <a:ext uri="{FF2B5EF4-FFF2-40B4-BE49-F238E27FC236}">
              <a16:creationId xmlns:a16="http://schemas.microsoft.com/office/drawing/2014/main" id="{AC975841-CBE5-B116-C117-9DDB0E489CA2}"/>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43" name="Text Box 1027" hidden="1">
          <a:extLst>
            <a:ext uri="{FF2B5EF4-FFF2-40B4-BE49-F238E27FC236}">
              <a16:creationId xmlns:a16="http://schemas.microsoft.com/office/drawing/2014/main" id="{C9C3C31F-D4AA-FF4F-CA63-F4652824C796}"/>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42" name="Text Box 1026" hidden="1">
          <a:extLst>
            <a:ext uri="{FF2B5EF4-FFF2-40B4-BE49-F238E27FC236}">
              <a16:creationId xmlns:a16="http://schemas.microsoft.com/office/drawing/2014/main" id="{9EF73C62-B02B-A521-5566-21CF1451D3FE}"/>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41" name="Text Box 1025" hidden="1">
          <a:extLst>
            <a:ext uri="{FF2B5EF4-FFF2-40B4-BE49-F238E27FC236}">
              <a16:creationId xmlns:a16="http://schemas.microsoft.com/office/drawing/2014/main" id="{194AF90A-3DE2-DCA6-619F-1A30F56A01AC}"/>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6006" name="Text Box 198" hidden="1">
          <a:extLst>
            <a:ext uri="{FF2B5EF4-FFF2-40B4-BE49-F238E27FC236}">
              <a16:creationId xmlns:a16="http://schemas.microsoft.com/office/drawing/2014/main" id="{7C0D2343-D7AD-5313-ACB6-4682FE4EDAE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6005" name="Text Box 197" hidden="1">
          <a:extLst>
            <a:ext uri="{FF2B5EF4-FFF2-40B4-BE49-F238E27FC236}">
              <a16:creationId xmlns:a16="http://schemas.microsoft.com/office/drawing/2014/main" id="{F1531FC6-BF3C-FBC1-A828-CBCA4051998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6004" name="Text Box 196" hidden="1">
          <a:extLst>
            <a:ext uri="{FF2B5EF4-FFF2-40B4-BE49-F238E27FC236}">
              <a16:creationId xmlns:a16="http://schemas.microsoft.com/office/drawing/2014/main" id="{10650F85-7FEE-DC55-1917-D21A87BE7495}"/>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6003" name="Text Box 195" hidden="1">
          <a:extLst>
            <a:ext uri="{FF2B5EF4-FFF2-40B4-BE49-F238E27FC236}">
              <a16:creationId xmlns:a16="http://schemas.microsoft.com/office/drawing/2014/main" id="{D71CE07B-652A-5A19-5ADC-E1FBDEA17C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6002" name="Text Box 194" hidden="1">
          <a:extLst>
            <a:ext uri="{FF2B5EF4-FFF2-40B4-BE49-F238E27FC236}">
              <a16:creationId xmlns:a16="http://schemas.microsoft.com/office/drawing/2014/main" id="{96D27797-0D6A-1708-F517-03CF83DBA3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6001" name="Text Box 193" hidden="1">
          <a:extLst>
            <a:ext uri="{FF2B5EF4-FFF2-40B4-BE49-F238E27FC236}">
              <a16:creationId xmlns:a16="http://schemas.microsoft.com/office/drawing/2014/main" id="{5D6EFA2E-2466-7B9C-0269-FB532B43F5D7}"/>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6000" name="Text Box 192" hidden="1">
          <a:extLst>
            <a:ext uri="{FF2B5EF4-FFF2-40B4-BE49-F238E27FC236}">
              <a16:creationId xmlns:a16="http://schemas.microsoft.com/office/drawing/2014/main" id="{2EA0EF00-264B-C5C4-805E-1323081F035A}"/>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99" name="Text Box 191" hidden="1">
          <a:extLst>
            <a:ext uri="{FF2B5EF4-FFF2-40B4-BE49-F238E27FC236}">
              <a16:creationId xmlns:a16="http://schemas.microsoft.com/office/drawing/2014/main" id="{1B4B5E5D-01EC-8A56-3BE7-5EBB45CB299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98" name="Text Box 190" hidden="1">
          <a:extLst>
            <a:ext uri="{FF2B5EF4-FFF2-40B4-BE49-F238E27FC236}">
              <a16:creationId xmlns:a16="http://schemas.microsoft.com/office/drawing/2014/main" id="{4EF0C213-A077-D02F-B399-24CD7BC8153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97" name="Text Box 189" hidden="1">
          <a:extLst>
            <a:ext uri="{FF2B5EF4-FFF2-40B4-BE49-F238E27FC236}">
              <a16:creationId xmlns:a16="http://schemas.microsoft.com/office/drawing/2014/main" id="{C90ED2A5-F34A-39DA-06CE-5A57AB3FBB0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96" name="Text Box 188" hidden="1">
          <a:extLst>
            <a:ext uri="{FF2B5EF4-FFF2-40B4-BE49-F238E27FC236}">
              <a16:creationId xmlns:a16="http://schemas.microsoft.com/office/drawing/2014/main" id="{047F2FFF-436B-C1EF-8FE0-9759B17ACBEA}"/>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95" name="Text Box 187" hidden="1">
          <a:extLst>
            <a:ext uri="{FF2B5EF4-FFF2-40B4-BE49-F238E27FC236}">
              <a16:creationId xmlns:a16="http://schemas.microsoft.com/office/drawing/2014/main" id="{B44DB17F-1C36-014C-9234-19E79246ECE2}"/>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94" name="Text Box 186" hidden="1">
          <a:extLst>
            <a:ext uri="{FF2B5EF4-FFF2-40B4-BE49-F238E27FC236}">
              <a16:creationId xmlns:a16="http://schemas.microsoft.com/office/drawing/2014/main" id="{11D39A68-B02D-E417-A536-5B217D9E192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93" name="Text Box 185" hidden="1">
          <a:extLst>
            <a:ext uri="{FF2B5EF4-FFF2-40B4-BE49-F238E27FC236}">
              <a16:creationId xmlns:a16="http://schemas.microsoft.com/office/drawing/2014/main" id="{DBF87D11-A99E-35FF-9612-AC56829CF6B5}"/>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92" name="Text Box 184" hidden="1">
          <a:extLst>
            <a:ext uri="{FF2B5EF4-FFF2-40B4-BE49-F238E27FC236}">
              <a16:creationId xmlns:a16="http://schemas.microsoft.com/office/drawing/2014/main" id="{CADA3954-2FE8-C127-A094-5D0249C1AA18}"/>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91" name="Text Box 183" hidden="1">
          <a:extLst>
            <a:ext uri="{FF2B5EF4-FFF2-40B4-BE49-F238E27FC236}">
              <a16:creationId xmlns:a16="http://schemas.microsoft.com/office/drawing/2014/main" id="{46B13CBF-B4C0-D054-C8C0-B6434C73C3D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90" name="Text Box 182" hidden="1">
          <a:extLst>
            <a:ext uri="{FF2B5EF4-FFF2-40B4-BE49-F238E27FC236}">
              <a16:creationId xmlns:a16="http://schemas.microsoft.com/office/drawing/2014/main" id="{3C5244D1-2438-C4AB-A4FE-389F2AA1F28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89" name="Text Box 181" hidden="1">
          <a:extLst>
            <a:ext uri="{FF2B5EF4-FFF2-40B4-BE49-F238E27FC236}">
              <a16:creationId xmlns:a16="http://schemas.microsoft.com/office/drawing/2014/main" id="{D6C53E87-26D5-0A1C-3695-9696C0065A4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88" name="Text Box 180" hidden="1">
          <a:extLst>
            <a:ext uri="{FF2B5EF4-FFF2-40B4-BE49-F238E27FC236}">
              <a16:creationId xmlns:a16="http://schemas.microsoft.com/office/drawing/2014/main" id="{307EF071-82EE-C2AD-7964-7F79DB5ADB2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87" name="Text Box 179" hidden="1">
          <a:extLst>
            <a:ext uri="{FF2B5EF4-FFF2-40B4-BE49-F238E27FC236}">
              <a16:creationId xmlns:a16="http://schemas.microsoft.com/office/drawing/2014/main" id="{E078C877-54F4-6F97-F5BF-69B707EE87C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86" name="Text Box 178" hidden="1">
          <a:extLst>
            <a:ext uri="{FF2B5EF4-FFF2-40B4-BE49-F238E27FC236}">
              <a16:creationId xmlns:a16="http://schemas.microsoft.com/office/drawing/2014/main" id="{0068FC3A-BBB2-E628-1F6B-CC9E65D798E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85" name="Text Box 177" hidden="1">
          <a:extLst>
            <a:ext uri="{FF2B5EF4-FFF2-40B4-BE49-F238E27FC236}">
              <a16:creationId xmlns:a16="http://schemas.microsoft.com/office/drawing/2014/main" id="{DDD75188-D2A0-03A2-148B-97C249D0E86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84" name="Text Box 44" hidden="1">
          <a:extLst>
            <a:ext uri="{FF2B5EF4-FFF2-40B4-BE49-F238E27FC236}">
              <a16:creationId xmlns:a16="http://schemas.microsoft.com/office/drawing/2014/main" id="{CC70273E-CD06-6B14-76AB-A8F4B498B432}"/>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83" name="Text Box 43" hidden="1">
          <a:extLst>
            <a:ext uri="{FF2B5EF4-FFF2-40B4-BE49-F238E27FC236}">
              <a16:creationId xmlns:a16="http://schemas.microsoft.com/office/drawing/2014/main" id="{BD7C2394-89F9-C960-EF8B-15484DE7B65D}"/>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82" name="Text Box 42" hidden="1">
          <a:extLst>
            <a:ext uri="{FF2B5EF4-FFF2-40B4-BE49-F238E27FC236}">
              <a16:creationId xmlns:a16="http://schemas.microsoft.com/office/drawing/2014/main" id="{6C98CB81-0C35-426A-EF54-9D689B92C350}"/>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81" name="Text Box 41" hidden="1">
          <a:extLst>
            <a:ext uri="{FF2B5EF4-FFF2-40B4-BE49-F238E27FC236}">
              <a16:creationId xmlns:a16="http://schemas.microsoft.com/office/drawing/2014/main" id="{9555580B-92AB-E663-177E-28DE9234BD15}"/>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80" name="Text Box 40" hidden="1">
          <a:extLst>
            <a:ext uri="{FF2B5EF4-FFF2-40B4-BE49-F238E27FC236}">
              <a16:creationId xmlns:a16="http://schemas.microsoft.com/office/drawing/2014/main" id="{D92F9D43-1249-D181-DEFA-C9D4AEC625E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79" name="Text Box 39" hidden="1">
          <a:extLst>
            <a:ext uri="{FF2B5EF4-FFF2-40B4-BE49-F238E27FC236}">
              <a16:creationId xmlns:a16="http://schemas.microsoft.com/office/drawing/2014/main" id="{E68F6CA2-ADB0-3051-50EB-880FB6A5FFAB}"/>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78" name="Text Box 38" hidden="1">
          <a:extLst>
            <a:ext uri="{FF2B5EF4-FFF2-40B4-BE49-F238E27FC236}">
              <a16:creationId xmlns:a16="http://schemas.microsoft.com/office/drawing/2014/main" id="{0FE271D9-A0B4-A03D-C9BE-14452BE5F69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77" name="Text Box 37" hidden="1">
          <a:extLst>
            <a:ext uri="{FF2B5EF4-FFF2-40B4-BE49-F238E27FC236}">
              <a16:creationId xmlns:a16="http://schemas.microsoft.com/office/drawing/2014/main" id="{15EE6AC1-EFE2-E99F-29C8-FD4C98DAFCD8}"/>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76" name="Text Box 36" hidden="1">
          <a:extLst>
            <a:ext uri="{FF2B5EF4-FFF2-40B4-BE49-F238E27FC236}">
              <a16:creationId xmlns:a16="http://schemas.microsoft.com/office/drawing/2014/main" id="{A118667C-8950-E94A-4925-83315396E5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75" name="Text Box 35" hidden="1">
          <a:extLst>
            <a:ext uri="{FF2B5EF4-FFF2-40B4-BE49-F238E27FC236}">
              <a16:creationId xmlns:a16="http://schemas.microsoft.com/office/drawing/2014/main" id="{5FAA6533-311C-C9FA-4626-5D799C65D3C7}"/>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74" name="Text Box 34" hidden="1">
          <a:extLst>
            <a:ext uri="{FF2B5EF4-FFF2-40B4-BE49-F238E27FC236}">
              <a16:creationId xmlns:a16="http://schemas.microsoft.com/office/drawing/2014/main" id="{C0B0CA83-1C5B-2894-2069-2113C77C0C5B}"/>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73" name="Text Box 33" hidden="1">
          <a:extLst>
            <a:ext uri="{FF2B5EF4-FFF2-40B4-BE49-F238E27FC236}">
              <a16:creationId xmlns:a16="http://schemas.microsoft.com/office/drawing/2014/main" id="{1A51C325-09A7-395B-A99F-346135BB2CD7}"/>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72" name="Text Box 32" hidden="1">
          <a:extLst>
            <a:ext uri="{FF2B5EF4-FFF2-40B4-BE49-F238E27FC236}">
              <a16:creationId xmlns:a16="http://schemas.microsoft.com/office/drawing/2014/main" id="{986D4C6B-5233-D3A0-0CBA-8EE5279B1642}"/>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71" name="Text Box 31" hidden="1">
          <a:extLst>
            <a:ext uri="{FF2B5EF4-FFF2-40B4-BE49-F238E27FC236}">
              <a16:creationId xmlns:a16="http://schemas.microsoft.com/office/drawing/2014/main" id="{DD2396A3-3FC5-F466-9E50-94121EAEAF0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70" name="Text Box 30" hidden="1">
          <a:extLst>
            <a:ext uri="{FF2B5EF4-FFF2-40B4-BE49-F238E27FC236}">
              <a16:creationId xmlns:a16="http://schemas.microsoft.com/office/drawing/2014/main" id="{D22A7B5C-847F-7A12-4D09-E585985F862B}"/>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69" name="Text Box 29" hidden="1">
          <a:extLst>
            <a:ext uri="{FF2B5EF4-FFF2-40B4-BE49-F238E27FC236}">
              <a16:creationId xmlns:a16="http://schemas.microsoft.com/office/drawing/2014/main" id="{DD851F80-B2BA-77C2-B84B-EF4A2C1F3CF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68" name="Text Box 28" hidden="1">
          <a:extLst>
            <a:ext uri="{FF2B5EF4-FFF2-40B4-BE49-F238E27FC236}">
              <a16:creationId xmlns:a16="http://schemas.microsoft.com/office/drawing/2014/main" id="{14DA4B65-2F50-3962-F1D4-FEA7A1D8A357}"/>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67" name="Text Box 27" hidden="1">
          <a:extLst>
            <a:ext uri="{FF2B5EF4-FFF2-40B4-BE49-F238E27FC236}">
              <a16:creationId xmlns:a16="http://schemas.microsoft.com/office/drawing/2014/main" id="{7F3DC59E-77D6-6A5B-A2F2-85D097B81AD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66" name="Text Box 26" hidden="1">
          <a:extLst>
            <a:ext uri="{FF2B5EF4-FFF2-40B4-BE49-F238E27FC236}">
              <a16:creationId xmlns:a16="http://schemas.microsoft.com/office/drawing/2014/main" id="{9994A37B-8B71-1BED-3C44-5385B49BCE0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65" name="Text Box 25" hidden="1">
          <a:extLst>
            <a:ext uri="{FF2B5EF4-FFF2-40B4-BE49-F238E27FC236}">
              <a16:creationId xmlns:a16="http://schemas.microsoft.com/office/drawing/2014/main" id="{48680585-1E42-551F-3AD8-CF50630DD8E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64" name="Text Box 24" hidden="1">
          <a:extLst>
            <a:ext uri="{FF2B5EF4-FFF2-40B4-BE49-F238E27FC236}">
              <a16:creationId xmlns:a16="http://schemas.microsoft.com/office/drawing/2014/main" id="{6EDA3866-C9D1-1332-6F7F-3D26E429BBF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63" name="Text Box 23" hidden="1">
          <a:extLst>
            <a:ext uri="{FF2B5EF4-FFF2-40B4-BE49-F238E27FC236}">
              <a16:creationId xmlns:a16="http://schemas.microsoft.com/office/drawing/2014/main" id="{EFE41340-9BE5-D379-2875-57B79471847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06" name="Text Box 66" hidden="1">
          <a:extLst>
            <a:ext uri="{FF2B5EF4-FFF2-40B4-BE49-F238E27FC236}">
              <a16:creationId xmlns:a16="http://schemas.microsoft.com/office/drawing/2014/main" id="{E528DC0E-7A8F-66F5-EDBC-5CF301CDE997}"/>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05" name="Text Box 65" hidden="1">
          <a:extLst>
            <a:ext uri="{FF2B5EF4-FFF2-40B4-BE49-F238E27FC236}">
              <a16:creationId xmlns:a16="http://schemas.microsoft.com/office/drawing/2014/main" id="{20DA1E35-989D-453D-3B05-3CE8B7B83062}"/>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04" name="Text Box 64" hidden="1">
          <a:extLst>
            <a:ext uri="{FF2B5EF4-FFF2-40B4-BE49-F238E27FC236}">
              <a16:creationId xmlns:a16="http://schemas.microsoft.com/office/drawing/2014/main" id="{9371F861-F4B0-0D31-E3C2-0F42EC9DBE99}"/>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03" name="Text Box 63" hidden="1">
          <a:extLst>
            <a:ext uri="{FF2B5EF4-FFF2-40B4-BE49-F238E27FC236}">
              <a16:creationId xmlns:a16="http://schemas.microsoft.com/office/drawing/2014/main" id="{FAE4038B-C635-8DAA-E39D-58C1645C35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02" name="Text Box 62" hidden="1">
          <a:extLst>
            <a:ext uri="{FF2B5EF4-FFF2-40B4-BE49-F238E27FC236}">
              <a16:creationId xmlns:a16="http://schemas.microsoft.com/office/drawing/2014/main" id="{79E26149-53AE-6837-CCBF-3BE0B1BCA07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01" name="Text Box 61" hidden="1">
          <a:extLst>
            <a:ext uri="{FF2B5EF4-FFF2-40B4-BE49-F238E27FC236}">
              <a16:creationId xmlns:a16="http://schemas.microsoft.com/office/drawing/2014/main" id="{DCBF2156-3029-27BE-6B27-2C05CC17A89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00" name="Text Box 60" hidden="1">
          <a:extLst>
            <a:ext uri="{FF2B5EF4-FFF2-40B4-BE49-F238E27FC236}">
              <a16:creationId xmlns:a16="http://schemas.microsoft.com/office/drawing/2014/main" id="{B8F44385-EC3F-F83F-7F90-DE128142CE5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99" name="Text Box 59" hidden="1">
          <a:extLst>
            <a:ext uri="{FF2B5EF4-FFF2-40B4-BE49-F238E27FC236}">
              <a16:creationId xmlns:a16="http://schemas.microsoft.com/office/drawing/2014/main" id="{B3B23744-BFD4-2D03-EDD5-A86AA7B66E9A}"/>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98" name="Text Box 58" hidden="1">
          <a:extLst>
            <a:ext uri="{FF2B5EF4-FFF2-40B4-BE49-F238E27FC236}">
              <a16:creationId xmlns:a16="http://schemas.microsoft.com/office/drawing/2014/main" id="{C0984EF1-B90B-BE46-84FD-6B364875A61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97" name="Text Box 57" hidden="1">
          <a:extLst>
            <a:ext uri="{FF2B5EF4-FFF2-40B4-BE49-F238E27FC236}">
              <a16:creationId xmlns:a16="http://schemas.microsoft.com/office/drawing/2014/main" id="{C673119E-4485-05CC-55CB-2C7068DC7CF8}"/>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96" name="Text Box 56" hidden="1">
          <a:extLst>
            <a:ext uri="{FF2B5EF4-FFF2-40B4-BE49-F238E27FC236}">
              <a16:creationId xmlns:a16="http://schemas.microsoft.com/office/drawing/2014/main" id="{CB9FF149-8680-DD1F-43D2-8004F2780CA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95" name="Text Box 55" hidden="1">
          <a:extLst>
            <a:ext uri="{FF2B5EF4-FFF2-40B4-BE49-F238E27FC236}">
              <a16:creationId xmlns:a16="http://schemas.microsoft.com/office/drawing/2014/main" id="{5DFA1240-7B50-52DF-92F5-6FF52381453F}"/>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94" name="Text Box 54" hidden="1">
          <a:extLst>
            <a:ext uri="{FF2B5EF4-FFF2-40B4-BE49-F238E27FC236}">
              <a16:creationId xmlns:a16="http://schemas.microsoft.com/office/drawing/2014/main" id="{02A274AC-0DB9-A850-6A44-DE49C96DB97E}"/>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93" name="Text Box 53" hidden="1">
          <a:extLst>
            <a:ext uri="{FF2B5EF4-FFF2-40B4-BE49-F238E27FC236}">
              <a16:creationId xmlns:a16="http://schemas.microsoft.com/office/drawing/2014/main" id="{C02D31FC-3BB3-4CFB-D47D-DF1AE391ACA4}"/>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92" name="Text Box 52" hidden="1">
          <a:extLst>
            <a:ext uri="{FF2B5EF4-FFF2-40B4-BE49-F238E27FC236}">
              <a16:creationId xmlns:a16="http://schemas.microsoft.com/office/drawing/2014/main" id="{1C2C5AA8-75A2-75B9-1F14-6327E96A9C91}"/>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91" name="Text Box 51" hidden="1">
          <a:extLst>
            <a:ext uri="{FF2B5EF4-FFF2-40B4-BE49-F238E27FC236}">
              <a16:creationId xmlns:a16="http://schemas.microsoft.com/office/drawing/2014/main" id="{9B408B63-E902-C43F-4745-82E221A390A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90" name="Text Box 50" hidden="1">
          <a:extLst>
            <a:ext uri="{FF2B5EF4-FFF2-40B4-BE49-F238E27FC236}">
              <a16:creationId xmlns:a16="http://schemas.microsoft.com/office/drawing/2014/main" id="{29FEC0A4-78E5-80FB-55A6-5753EE647CA3}"/>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89" name="Text Box 49" hidden="1">
          <a:extLst>
            <a:ext uri="{FF2B5EF4-FFF2-40B4-BE49-F238E27FC236}">
              <a16:creationId xmlns:a16="http://schemas.microsoft.com/office/drawing/2014/main" id="{062E68C8-C5CA-35ED-47C0-DD4DF1FD8A6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88" name="Text Box 48" hidden="1">
          <a:extLst>
            <a:ext uri="{FF2B5EF4-FFF2-40B4-BE49-F238E27FC236}">
              <a16:creationId xmlns:a16="http://schemas.microsoft.com/office/drawing/2014/main" id="{E369F597-2496-122E-C797-7A8F0A609E8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87" name="Text Box 47" hidden="1">
          <a:extLst>
            <a:ext uri="{FF2B5EF4-FFF2-40B4-BE49-F238E27FC236}">
              <a16:creationId xmlns:a16="http://schemas.microsoft.com/office/drawing/2014/main" id="{45F9CEE4-62CB-C90E-E4DA-C4E5BF3E709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86" name="Text Box 46" hidden="1">
          <a:extLst>
            <a:ext uri="{FF2B5EF4-FFF2-40B4-BE49-F238E27FC236}">
              <a16:creationId xmlns:a16="http://schemas.microsoft.com/office/drawing/2014/main" id="{0113D99D-3547-CB3F-D8C3-188EE002ED0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85" name="Text Box 45" hidden="1">
          <a:extLst>
            <a:ext uri="{FF2B5EF4-FFF2-40B4-BE49-F238E27FC236}">
              <a16:creationId xmlns:a16="http://schemas.microsoft.com/office/drawing/2014/main" id="{09BAC609-B46A-8D14-9CB8-81AD36D01FB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28" name="Text Box 88" hidden="1">
          <a:extLst>
            <a:ext uri="{FF2B5EF4-FFF2-40B4-BE49-F238E27FC236}">
              <a16:creationId xmlns:a16="http://schemas.microsoft.com/office/drawing/2014/main" id="{C7D5A7CC-A7CF-C554-55AD-E1DAB60C20B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27" name="Text Box 87" hidden="1">
          <a:extLst>
            <a:ext uri="{FF2B5EF4-FFF2-40B4-BE49-F238E27FC236}">
              <a16:creationId xmlns:a16="http://schemas.microsoft.com/office/drawing/2014/main" id="{DC3A0F43-C3F1-2D20-7249-A2F54324384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26" name="Text Box 86" hidden="1">
          <a:extLst>
            <a:ext uri="{FF2B5EF4-FFF2-40B4-BE49-F238E27FC236}">
              <a16:creationId xmlns:a16="http://schemas.microsoft.com/office/drawing/2014/main" id="{E8656FB4-7FBC-00FE-FA90-A5840DAD41C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25" name="Text Box 85" hidden="1">
          <a:extLst>
            <a:ext uri="{FF2B5EF4-FFF2-40B4-BE49-F238E27FC236}">
              <a16:creationId xmlns:a16="http://schemas.microsoft.com/office/drawing/2014/main" id="{5069D562-BC48-8708-84A4-F982B5E16E89}"/>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24" name="Text Box 84" hidden="1">
          <a:extLst>
            <a:ext uri="{FF2B5EF4-FFF2-40B4-BE49-F238E27FC236}">
              <a16:creationId xmlns:a16="http://schemas.microsoft.com/office/drawing/2014/main" id="{60BBD5C0-0367-E3E2-A05A-F89C514FFCD4}"/>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23" name="Text Box 83" hidden="1">
          <a:extLst>
            <a:ext uri="{FF2B5EF4-FFF2-40B4-BE49-F238E27FC236}">
              <a16:creationId xmlns:a16="http://schemas.microsoft.com/office/drawing/2014/main" id="{B4830D47-B560-EDDF-4757-13BE17FE91C8}"/>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22" name="Text Box 82" hidden="1">
          <a:extLst>
            <a:ext uri="{FF2B5EF4-FFF2-40B4-BE49-F238E27FC236}">
              <a16:creationId xmlns:a16="http://schemas.microsoft.com/office/drawing/2014/main" id="{79C05658-C753-FBD6-E3C4-A1AE8345CC99}"/>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21" name="Text Box 81" hidden="1">
          <a:extLst>
            <a:ext uri="{FF2B5EF4-FFF2-40B4-BE49-F238E27FC236}">
              <a16:creationId xmlns:a16="http://schemas.microsoft.com/office/drawing/2014/main" id="{6B7A2319-0A60-1554-C61F-DFF20D66127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920" name="Text Box 80" hidden="1">
          <a:extLst>
            <a:ext uri="{FF2B5EF4-FFF2-40B4-BE49-F238E27FC236}">
              <a16:creationId xmlns:a16="http://schemas.microsoft.com/office/drawing/2014/main" id="{36A8A13B-3A17-8639-791F-98557E6B7DEA}"/>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919" name="Text Box 79" hidden="1">
          <a:extLst>
            <a:ext uri="{FF2B5EF4-FFF2-40B4-BE49-F238E27FC236}">
              <a16:creationId xmlns:a16="http://schemas.microsoft.com/office/drawing/2014/main" id="{71AE6F3B-4F7D-B569-243F-C7495A30D03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918" name="Text Box 78" hidden="1">
          <a:extLst>
            <a:ext uri="{FF2B5EF4-FFF2-40B4-BE49-F238E27FC236}">
              <a16:creationId xmlns:a16="http://schemas.microsoft.com/office/drawing/2014/main" id="{2C4E8961-80A0-4716-2F09-1FFCA7EC484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917" name="Text Box 77" hidden="1">
          <a:extLst>
            <a:ext uri="{FF2B5EF4-FFF2-40B4-BE49-F238E27FC236}">
              <a16:creationId xmlns:a16="http://schemas.microsoft.com/office/drawing/2014/main" id="{5B900C34-F247-C5CA-5395-8F54CEAF1C4E}"/>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916" name="Text Box 76" hidden="1">
          <a:extLst>
            <a:ext uri="{FF2B5EF4-FFF2-40B4-BE49-F238E27FC236}">
              <a16:creationId xmlns:a16="http://schemas.microsoft.com/office/drawing/2014/main" id="{92A977E8-4B4C-35E5-A029-FDD44B457CC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915" name="Text Box 75" hidden="1">
          <a:extLst>
            <a:ext uri="{FF2B5EF4-FFF2-40B4-BE49-F238E27FC236}">
              <a16:creationId xmlns:a16="http://schemas.microsoft.com/office/drawing/2014/main" id="{A25D82B4-8E7A-675C-9CE5-90C16EC7609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14" name="Text Box 74" hidden="1">
          <a:extLst>
            <a:ext uri="{FF2B5EF4-FFF2-40B4-BE49-F238E27FC236}">
              <a16:creationId xmlns:a16="http://schemas.microsoft.com/office/drawing/2014/main" id="{591DC49F-8FC2-72D9-20D9-C5607A97E4BA}"/>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13" name="Text Box 73" hidden="1">
          <a:extLst>
            <a:ext uri="{FF2B5EF4-FFF2-40B4-BE49-F238E27FC236}">
              <a16:creationId xmlns:a16="http://schemas.microsoft.com/office/drawing/2014/main" id="{AD5BD4DE-F8B3-FAD6-027A-C84E6D702712}"/>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12" name="Text Box 72" hidden="1">
          <a:extLst>
            <a:ext uri="{FF2B5EF4-FFF2-40B4-BE49-F238E27FC236}">
              <a16:creationId xmlns:a16="http://schemas.microsoft.com/office/drawing/2014/main" id="{919B9269-EB6F-468F-88BD-0D3C4514FAB9}"/>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11" name="Text Box 71" hidden="1">
          <a:extLst>
            <a:ext uri="{FF2B5EF4-FFF2-40B4-BE49-F238E27FC236}">
              <a16:creationId xmlns:a16="http://schemas.microsoft.com/office/drawing/2014/main" id="{513D225B-92E1-DED4-6939-8D25DD43DBA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10" name="Text Box 70" hidden="1">
          <a:extLst>
            <a:ext uri="{FF2B5EF4-FFF2-40B4-BE49-F238E27FC236}">
              <a16:creationId xmlns:a16="http://schemas.microsoft.com/office/drawing/2014/main" id="{09778424-C78C-BFF6-E3BC-D338A02A6BC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09" name="Text Box 69" hidden="1">
          <a:extLst>
            <a:ext uri="{FF2B5EF4-FFF2-40B4-BE49-F238E27FC236}">
              <a16:creationId xmlns:a16="http://schemas.microsoft.com/office/drawing/2014/main" id="{2C8BFF16-889D-E4FC-AA0A-745925DDB2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08" name="Text Box 68" hidden="1">
          <a:extLst>
            <a:ext uri="{FF2B5EF4-FFF2-40B4-BE49-F238E27FC236}">
              <a16:creationId xmlns:a16="http://schemas.microsoft.com/office/drawing/2014/main" id="{64D106D6-7A8C-309A-0007-DFC793B204F5}"/>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07" name="Text Box 67" hidden="1">
          <a:extLst>
            <a:ext uri="{FF2B5EF4-FFF2-40B4-BE49-F238E27FC236}">
              <a16:creationId xmlns:a16="http://schemas.microsoft.com/office/drawing/2014/main" id="{FFB86401-BF5E-E026-7201-97F4A6C5FF2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72" name="Text Box 132" hidden="1">
          <a:extLst>
            <a:ext uri="{FF2B5EF4-FFF2-40B4-BE49-F238E27FC236}">
              <a16:creationId xmlns:a16="http://schemas.microsoft.com/office/drawing/2014/main" id="{9950DC78-5418-03D9-6841-8C105E9E3057}"/>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71" name="Text Box 131" hidden="1">
          <a:extLst>
            <a:ext uri="{FF2B5EF4-FFF2-40B4-BE49-F238E27FC236}">
              <a16:creationId xmlns:a16="http://schemas.microsoft.com/office/drawing/2014/main" id="{BCD34F13-65D3-6488-1DA8-C7DA3C55A6C5}"/>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70" name="Text Box 130" hidden="1">
          <a:extLst>
            <a:ext uri="{FF2B5EF4-FFF2-40B4-BE49-F238E27FC236}">
              <a16:creationId xmlns:a16="http://schemas.microsoft.com/office/drawing/2014/main" id="{B35A4826-0B4B-55F6-E86F-51630E538E1C}"/>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69" name="Text Box 129" hidden="1">
          <a:extLst>
            <a:ext uri="{FF2B5EF4-FFF2-40B4-BE49-F238E27FC236}">
              <a16:creationId xmlns:a16="http://schemas.microsoft.com/office/drawing/2014/main" id="{26E8C515-063F-492D-EB58-4ACA820C19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68" name="Text Box 128" hidden="1">
          <a:extLst>
            <a:ext uri="{FF2B5EF4-FFF2-40B4-BE49-F238E27FC236}">
              <a16:creationId xmlns:a16="http://schemas.microsoft.com/office/drawing/2014/main" id="{11F9EF8B-3E1A-FEFA-2C04-A3659BCFE57D}"/>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67" name="Text Box 127" hidden="1">
          <a:extLst>
            <a:ext uri="{FF2B5EF4-FFF2-40B4-BE49-F238E27FC236}">
              <a16:creationId xmlns:a16="http://schemas.microsoft.com/office/drawing/2014/main" id="{3F4D0014-F340-349D-0DAC-577119AB0F74}"/>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66" name="Text Box 126" hidden="1">
          <a:extLst>
            <a:ext uri="{FF2B5EF4-FFF2-40B4-BE49-F238E27FC236}">
              <a16:creationId xmlns:a16="http://schemas.microsoft.com/office/drawing/2014/main" id="{C01D2792-B0FC-60AD-1386-8565DC1D97DB}"/>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65" name="Text Box 125" hidden="1">
          <a:extLst>
            <a:ext uri="{FF2B5EF4-FFF2-40B4-BE49-F238E27FC236}">
              <a16:creationId xmlns:a16="http://schemas.microsoft.com/office/drawing/2014/main" id="{F1435FED-FAB7-A2D4-8E74-DA96AD598DB4}"/>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64" name="Text Box 124" hidden="1">
          <a:extLst>
            <a:ext uri="{FF2B5EF4-FFF2-40B4-BE49-F238E27FC236}">
              <a16:creationId xmlns:a16="http://schemas.microsoft.com/office/drawing/2014/main" id="{C6C3C49B-BDE1-3AD4-FF37-53BBE822C531}"/>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63" name="Text Box 123" hidden="1">
          <a:extLst>
            <a:ext uri="{FF2B5EF4-FFF2-40B4-BE49-F238E27FC236}">
              <a16:creationId xmlns:a16="http://schemas.microsoft.com/office/drawing/2014/main" id="{4515F115-3C50-7064-69B4-1C4515E66A04}"/>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62" name="Text Box 122" hidden="1">
          <a:extLst>
            <a:ext uri="{FF2B5EF4-FFF2-40B4-BE49-F238E27FC236}">
              <a16:creationId xmlns:a16="http://schemas.microsoft.com/office/drawing/2014/main" id="{F0F8FA31-4C44-064E-2712-2A9B84443574}"/>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61" name="Text Box 121" hidden="1">
          <a:extLst>
            <a:ext uri="{FF2B5EF4-FFF2-40B4-BE49-F238E27FC236}">
              <a16:creationId xmlns:a16="http://schemas.microsoft.com/office/drawing/2014/main" id="{846F5B32-6C59-C996-A651-46D0B4DCA3B1}"/>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60" name="Text Box 120" hidden="1">
          <a:extLst>
            <a:ext uri="{FF2B5EF4-FFF2-40B4-BE49-F238E27FC236}">
              <a16:creationId xmlns:a16="http://schemas.microsoft.com/office/drawing/2014/main" id="{F7A587B9-A208-8A8E-6A36-04231D382829}"/>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59" name="Text Box 119" hidden="1">
          <a:extLst>
            <a:ext uri="{FF2B5EF4-FFF2-40B4-BE49-F238E27FC236}">
              <a16:creationId xmlns:a16="http://schemas.microsoft.com/office/drawing/2014/main" id="{C1D50338-3FD6-1DDB-3EA3-14877EC16BA6}"/>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58" name="Text Box 118" hidden="1">
          <a:extLst>
            <a:ext uri="{FF2B5EF4-FFF2-40B4-BE49-F238E27FC236}">
              <a16:creationId xmlns:a16="http://schemas.microsoft.com/office/drawing/2014/main" id="{5D073686-3498-6335-9F9E-24373E5517D7}"/>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57" name="Text Box 117" hidden="1">
          <a:extLst>
            <a:ext uri="{FF2B5EF4-FFF2-40B4-BE49-F238E27FC236}">
              <a16:creationId xmlns:a16="http://schemas.microsoft.com/office/drawing/2014/main" id="{5D6DB0B3-6D9F-E57E-EDBA-46D0AB56FBD8}"/>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56" name="Text Box 116" hidden="1">
          <a:extLst>
            <a:ext uri="{FF2B5EF4-FFF2-40B4-BE49-F238E27FC236}">
              <a16:creationId xmlns:a16="http://schemas.microsoft.com/office/drawing/2014/main" id="{7EECB47E-1582-4179-D71D-C6867C8C6735}"/>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55" name="Text Box 115" hidden="1">
          <a:extLst>
            <a:ext uri="{FF2B5EF4-FFF2-40B4-BE49-F238E27FC236}">
              <a16:creationId xmlns:a16="http://schemas.microsoft.com/office/drawing/2014/main" id="{1EF4638C-D4A5-34C6-429D-77ED77000AF3}"/>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54" name="Text Box 114" hidden="1">
          <a:extLst>
            <a:ext uri="{FF2B5EF4-FFF2-40B4-BE49-F238E27FC236}">
              <a16:creationId xmlns:a16="http://schemas.microsoft.com/office/drawing/2014/main" id="{B2C202C6-7836-2C7F-A61F-34FA04235CF1}"/>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53" name="Text Box 113" hidden="1">
          <a:extLst>
            <a:ext uri="{FF2B5EF4-FFF2-40B4-BE49-F238E27FC236}">
              <a16:creationId xmlns:a16="http://schemas.microsoft.com/office/drawing/2014/main" id="{A7BFC0BF-33A9-B786-FEEA-BD0E6B5318A7}"/>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52" name="Text Box 112" hidden="1">
          <a:extLst>
            <a:ext uri="{FF2B5EF4-FFF2-40B4-BE49-F238E27FC236}">
              <a16:creationId xmlns:a16="http://schemas.microsoft.com/office/drawing/2014/main" id="{CC3874B6-F6FC-D8B4-6CED-D7236E8AD9A2}"/>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51" name="Text Box 111" hidden="1">
          <a:extLst>
            <a:ext uri="{FF2B5EF4-FFF2-40B4-BE49-F238E27FC236}">
              <a16:creationId xmlns:a16="http://schemas.microsoft.com/office/drawing/2014/main" id="{3D616A26-6A38-20F2-8D87-BFE64661EB05}"/>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50" name="Text Box 110" hidden="1">
          <a:extLst>
            <a:ext uri="{FF2B5EF4-FFF2-40B4-BE49-F238E27FC236}">
              <a16:creationId xmlns:a16="http://schemas.microsoft.com/office/drawing/2014/main" id="{B7AFD94E-2352-20C9-ABED-4CDFBBBF84C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49" name="Text Box 109" hidden="1">
          <a:extLst>
            <a:ext uri="{FF2B5EF4-FFF2-40B4-BE49-F238E27FC236}">
              <a16:creationId xmlns:a16="http://schemas.microsoft.com/office/drawing/2014/main" id="{47B70BCE-5668-9058-1281-4C7FADE59E5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48" name="Text Box 108" hidden="1">
          <a:extLst>
            <a:ext uri="{FF2B5EF4-FFF2-40B4-BE49-F238E27FC236}">
              <a16:creationId xmlns:a16="http://schemas.microsoft.com/office/drawing/2014/main" id="{9807654E-D61D-5819-45A3-2B79D24D8F1B}"/>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47" name="Text Box 107" hidden="1">
          <a:extLst>
            <a:ext uri="{FF2B5EF4-FFF2-40B4-BE49-F238E27FC236}">
              <a16:creationId xmlns:a16="http://schemas.microsoft.com/office/drawing/2014/main" id="{514E9597-2A95-8E27-BABD-E5643FBC9F7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46" name="Text Box 106" hidden="1">
          <a:extLst>
            <a:ext uri="{FF2B5EF4-FFF2-40B4-BE49-F238E27FC236}">
              <a16:creationId xmlns:a16="http://schemas.microsoft.com/office/drawing/2014/main" id="{2509D72B-1295-B4CC-026E-170202B564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45" name="Text Box 105" hidden="1">
          <a:extLst>
            <a:ext uri="{FF2B5EF4-FFF2-40B4-BE49-F238E27FC236}">
              <a16:creationId xmlns:a16="http://schemas.microsoft.com/office/drawing/2014/main" id="{C15C38FC-17A3-2215-2712-56D1A89C45C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44" name="Text Box 104" hidden="1">
          <a:extLst>
            <a:ext uri="{FF2B5EF4-FFF2-40B4-BE49-F238E27FC236}">
              <a16:creationId xmlns:a16="http://schemas.microsoft.com/office/drawing/2014/main" id="{7CF129ED-0B03-533A-A272-6A8EA5A61407}"/>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43" name="Text Box 103" hidden="1">
          <a:extLst>
            <a:ext uri="{FF2B5EF4-FFF2-40B4-BE49-F238E27FC236}">
              <a16:creationId xmlns:a16="http://schemas.microsoft.com/office/drawing/2014/main" id="{9A92E757-DE76-7372-A160-3E0110A040C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42" name="Text Box 102" hidden="1">
          <a:extLst>
            <a:ext uri="{FF2B5EF4-FFF2-40B4-BE49-F238E27FC236}">
              <a16:creationId xmlns:a16="http://schemas.microsoft.com/office/drawing/2014/main" id="{B6A83C45-01B6-C736-F4C0-27F90A098001}"/>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41" name="Text Box 101" hidden="1">
          <a:extLst>
            <a:ext uri="{FF2B5EF4-FFF2-40B4-BE49-F238E27FC236}">
              <a16:creationId xmlns:a16="http://schemas.microsoft.com/office/drawing/2014/main" id="{A4F49B11-BA5E-2410-408D-DC28EF8546A1}"/>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40" name="Text Box 100" hidden="1">
          <a:extLst>
            <a:ext uri="{FF2B5EF4-FFF2-40B4-BE49-F238E27FC236}">
              <a16:creationId xmlns:a16="http://schemas.microsoft.com/office/drawing/2014/main" id="{7A8C282B-982A-6091-A925-EDA9C625E31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39" name="Text Box 99" hidden="1">
          <a:extLst>
            <a:ext uri="{FF2B5EF4-FFF2-40B4-BE49-F238E27FC236}">
              <a16:creationId xmlns:a16="http://schemas.microsoft.com/office/drawing/2014/main" id="{77DF8A7B-D4F9-0415-5C04-3EE3DBF8C6D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38" name="Text Box 98" hidden="1">
          <a:extLst>
            <a:ext uri="{FF2B5EF4-FFF2-40B4-BE49-F238E27FC236}">
              <a16:creationId xmlns:a16="http://schemas.microsoft.com/office/drawing/2014/main" id="{F05B16D0-86F2-0C52-83AF-0F8D3B3FF97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37" name="Text Box 97" hidden="1">
          <a:extLst>
            <a:ext uri="{FF2B5EF4-FFF2-40B4-BE49-F238E27FC236}">
              <a16:creationId xmlns:a16="http://schemas.microsoft.com/office/drawing/2014/main" id="{4A646E0D-DC44-C9AD-13DB-216C86E01DE9}"/>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36" name="Text Box 96" hidden="1">
          <a:extLst>
            <a:ext uri="{FF2B5EF4-FFF2-40B4-BE49-F238E27FC236}">
              <a16:creationId xmlns:a16="http://schemas.microsoft.com/office/drawing/2014/main" id="{B16DCAA0-7FCC-ED61-EC14-AD3A7452733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35" name="Text Box 95" hidden="1">
          <a:extLst>
            <a:ext uri="{FF2B5EF4-FFF2-40B4-BE49-F238E27FC236}">
              <a16:creationId xmlns:a16="http://schemas.microsoft.com/office/drawing/2014/main" id="{6756B803-09D3-F735-4349-29F82B74C8D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34" name="Text Box 94" hidden="1">
          <a:extLst>
            <a:ext uri="{FF2B5EF4-FFF2-40B4-BE49-F238E27FC236}">
              <a16:creationId xmlns:a16="http://schemas.microsoft.com/office/drawing/2014/main" id="{0AB60B8E-A7F9-9233-AF6E-103A5683A47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33" name="Text Box 93" hidden="1">
          <a:extLst>
            <a:ext uri="{FF2B5EF4-FFF2-40B4-BE49-F238E27FC236}">
              <a16:creationId xmlns:a16="http://schemas.microsoft.com/office/drawing/2014/main" id="{228EA6BD-BA92-264E-5CC0-AB543E134563}"/>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32" name="Text Box 92" hidden="1">
          <a:extLst>
            <a:ext uri="{FF2B5EF4-FFF2-40B4-BE49-F238E27FC236}">
              <a16:creationId xmlns:a16="http://schemas.microsoft.com/office/drawing/2014/main" id="{142C8459-71E2-B32D-9414-8B0950EF5DB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31" name="Text Box 91" hidden="1">
          <a:extLst>
            <a:ext uri="{FF2B5EF4-FFF2-40B4-BE49-F238E27FC236}">
              <a16:creationId xmlns:a16="http://schemas.microsoft.com/office/drawing/2014/main" id="{2EA452D7-1633-E7BC-D8BC-937D6D8EAF6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30" name="Text Box 90" hidden="1">
          <a:extLst>
            <a:ext uri="{FF2B5EF4-FFF2-40B4-BE49-F238E27FC236}">
              <a16:creationId xmlns:a16="http://schemas.microsoft.com/office/drawing/2014/main" id="{C5927015-FCE8-CEEE-A4FB-28484796DDA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29" name="Text Box 89" hidden="1">
          <a:extLst>
            <a:ext uri="{FF2B5EF4-FFF2-40B4-BE49-F238E27FC236}">
              <a16:creationId xmlns:a16="http://schemas.microsoft.com/office/drawing/2014/main" id="{98EA8CB9-55B2-72DC-E642-8FFF4B475536}"/>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94" name="Text Box 154" hidden="1">
          <a:extLst>
            <a:ext uri="{FF2B5EF4-FFF2-40B4-BE49-F238E27FC236}">
              <a16:creationId xmlns:a16="http://schemas.microsoft.com/office/drawing/2014/main" id="{647AAE66-BC6F-4396-6371-A377C6831154}"/>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93" name="Text Box 153" hidden="1">
          <a:extLst>
            <a:ext uri="{FF2B5EF4-FFF2-40B4-BE49-F238E27FC236}">
              <a16:creationId xmlns:a16="http://schemas.microsoft.com/office/drawing/2014/main" id="{FDE236F0-1FBB-B0FC-FE0A-D864A1B46BE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92" name="Text Box 152" hidden="1">
          <a:extLst>
            <a:ext uri="{FF2B5EF4-FFF2-40B4-BE49-F238E27FC236}">
              <a16:creationId xmlns:a16="http://schemas.microsoft.com/office/drawing/2014/main" id="{B31B647E-5C91-E330-78BF-6220CCAE808E}"/>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91" name="Text Box 151" hidden="1">
          <a:extLst>
            <a:ext uri="{FF2B5EF4-FFF2-40B4-BE49-F238E27FC236}">
              <a16:creationId xmlns:a16="http://schemas.microsoft.com/office/drawing/2014/main" id="{F94EBEB6-A595-A9F6-4723-6C0CDAD2757A}"/>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90" name="Text Box 150" hidden="1">
          <a:extLst>
            <a:ext uri="{FF2B5EF4-FFF2-40B4-BE49-F238E27FC236}">
              <a16:creationId xmlns:a16="http://schemas.microsoft.com/office/drawing/2014/main" id="{3E5CB16D-2D1B-ED41-3208-E1F63E5926D0}"/>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89" name="Text Box 149" hidden="1">
          <a:extLst>
            <a:ext uri="{FF2B5EF4-FFF2-40B4-BE49-F238E27FC236}">
              <a16:creationId xmlns:a16="http://schemas.microsoft.com/office/drawing/2014/main" id="{869ADFAF-9014-8734-18C3-098A6DB3D7B2}"/>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88" name="Text Box 148" hidden="1">
          <a:extLst>
            <a:ext uri="{FF2B5EF4-FFF2-40B4-BE49-F238E27FC236}">
              <a16:creationId xmlns:a16="http://schemas.microsoft.com/office/drawing/2014/main" id="{F67391D5-E827-9FBF-F150-E81E0AEB6328}"/>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87" name="Text Box 147" hidden="1">
          <a:extLst>
            <a:ext uri="{FF2B5EF4-FFF2-40B4-BE49-F238E27FC236}">
              <a16:creationId xmlns:a16="http://schemas.microsoft.com/office/drawing/2014/main" id="{B90069AE-B0F6-26D6-8F4A-437FB1770AAE}"/>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86" name="Text Box 146" hidden="1">
          <a:extLst>
            <a:ext uri="{FF2B5EF4-FFF2-40B4-BE49-F238E27FC236}">
              <a16:creationId xmlns:a16="http://schemas.microsoft.com/office/drawing/2014/main" id="{D03F6131-DE0F-E870-6554-16CEDC75434C}"/>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85" name="Text Box 145" hidden="1">
          <a:extLst>
            <a:ext uri="{FF2B5EF4-FFF2-40B4-BE49-F238E27FC236}">
              <a16:creationId xmlns:a16="http://schemas.microsoft.com/office/drawing/2014/main" id="{4E6BF402-2CAD-47A6-E610-D2D53E160210}"/>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84" name="Text Box 144" hidden="1">
          <a:extLst>
            <a:ext uri="{FF2B5EF4-FFF2-40B4-BE49-F238E27FC236}">
              <a16:creationId xmlns:a16="http://schemas.microsoft.com/office/drawing/2014/main" id="{FF2467A4-0562-5658-3108-C4930BA5C33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83" name="Text Box 143" hidden="1">
          <a:extLst>
            <a:ext uri="{FF2B5EF4-FFF2-40B4-BE49-F238E27FC236}">
              <a16:creationId xmlns:a16="http://schemas.microsoft.com/office/drawing/2014/main" id="{3B7A2130-02DC-FCB1-370B-548935F40E2A}"/>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82" name="Text Box 142" hidden="1">
          <a:extLst>
            <a:ext uri="{FF2B5EF4-FFF2-40B4-BE49-F238E27FC236}">
              <a16:creationId xmlns:a16="http://schemas.microsoft.com/office/drawing/2014/main" id="{8E2D6EAF-13FA-4DA9-F4BC-193AEC0E8739}"/>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81" name="Text Box 141" hidden="1">
          <a:extLst>
            <a:ext uri="{FF2B5EF4-FFF2-40B4-BE49-F238E27FC236}">
              <a16:creationId xmlns:a16="http://schemas.microsoft.com/office/drawing/2014/main" id="{C896028A-7BF3-E8C2-B814-93B490E7D7F2}"/>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80" name="Text Box 140" hidden="1">
          <a:extLst>
            <a:ext uri="{FF2B5EF4-FFF2-40B4-BE49-F238E27FC236}">
              <a16:creationId xmlns:a16="http://schemas.microsoft.com/office/drawing/2014/main" id="{82252109-56B5-8BAC-B347-4EDE39BAA4AE}"/>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79" name="Text Box 139" hidden="1">
          <a:extLst>
            <a:ext uri="{FF2B5EF4-FFF2-40B4-BE49-F238E27FC236}">
              <a16:creationId xmlns:a16="http://schemas.microsoft.com/office/drawing/2014/main" id="{AC324265-167D-F4FC-BB95-50A102426E1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78" name="Text Box 138" hidden="1">
          <a:extLst>
            <a:ext uri="{FF2B5EF4-FFF2-40B4-BE49-F238E27FC236}">
              <a16:creationId xmlns:a16="http://schemas.microsoft.com/office/drawing/2014/main" id="{D76FAEA4-5F08-0B40-BC02-EF1F9279FEEC}"/>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77" name="Text Box 137" hidden="1">
          <a:extLst>
            <a:ext uri="{FF2B5EF4-FFF2-40B4-BE49-F238E27FC236}">
              <a16:creationId xmlns:a16="http://schemas.microsoft.com/office/drawing/2014/main" id="{73759F14-8409-B1C1-9842-A9867ADE8D5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76" name="Text Box 136" hidden="1">
          <a:extLst>
            <a:ext uri="{FF2B5EF4-FFF2-40B4-BE49-F238E27FC236}">
              <a16:creationId xmlns:a16="http://schemas.microsoft.com/office/drawing/2014/main" id="{F20C6C9F-1AB2-F5C9-890C-109D8D14687F}"/>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75" name="Text Box 135" hidden="1">
          <a:extLst>
            <a:ext uri="{FF2B5EF4-FFF2-40B4-BE49-F238E27FC236}">
              <a16:creationId xmlns:a16="http://schemas.microsoft.com/office/drawing/2014/main" id="{8B7BD6E0-6EB7-72B9-9A94-A4C0D916D2A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74" name="Text Box 134" hidden="1">
          <a:extLst>
            <a:ext uri="{FF2B5EF4-FFF2-40B4-BE49-F238E27FC236}">
              <a16:creationId xmlns:a16="http://schemas.microsoft.com/office/drawing/2014/main" id="{2747007F-8D1D-ECF4-BF88-95CD4F2E5A0D}"/>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73" name="Text Box 133" hidden="1">
          <a:extLst>
            <a:ext uri="{FF2B5EF4-FFF2-40B4-BE49-F238E27FC236}">
              <a16:creationId xmlns:a16="http://schemas.microsoft.com/office/drawing/2014/main" id="{78557DD0-8B89-69E3-B474-1E1B20E4571D}"/>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0016" name="Text Box 176" hidden="1">
          <a:extLst>
            <a:ext uri="{FF2B5EF4-FFF2-40B4-BE49-F238E27FC236}">
              <a16:creationId xmlns:a16="http://schemas.microsoft.com/office/drawing/2014/main" id="{DBAE85AD-C2A1-D1E9-3222-D625F436DD0E}"/>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0015" name="Text Box 175" hidden="1">
          <a:extLst>
            <a:ext uri="{FF2B5EF4-FFF2-40B4-BE49-F238E27FC236}">
              <a16:creationId xmlns:a16="http://schemas.microsoft.com/office/drawing/2014/main" id="{181732D1-7782-C72D-BC68-AAECE5A46441}"/>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0014" name="Text Box 174" hidden="1">
          <a:extLst>
            <a:ext uri="{FF2B5EF4-FFF2-40B4-BE49-F238E27FC236}">
              <a16:creationId xmlns:a16="http://schemas.microsoft.com/office/drawing/2014/main" id="{023646F5-8409-195D-4B3D-46D98A85927D}"/>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0013" name="Text Box 173" hidden="1">
          <a:extLst>
            <a:ext uri="{FF2B5EF4-FFF2-40B4-BE49-F238E27FC236}">
              <a16:creationId xmlns:a16="http://schemas.microsoft.com/office/drawing/2014/main" id="{3A0F29A3-2DA5-4F61-68C3-6BA76FA0CA7B}"/>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0012" name="Text Box 172" hidden="1">
          <a:extLst>
            <a:ext uri="{FF2B5EF4-FFF2-40B4-BE49-F238E27FC236}">
              <a16:creationId xmlns:a16="http://schemas.microsoft.com/office/drawing/2014/main" id="{5428774D-3E9A-8600-78C9-0F3AC324C13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0011" name="Text Box 171" hidden="1">
          <a:extLst>
            <a:ext uri="{FF2B5EF4-FFF2-40B4-BE49-F238E27FC236}">
              <a16:creationId xmlns:a16="http://schemas.microsoft.com/office/drawing/2014/main" id="{99C15EE7-AE74-3B4D-8A44-756069CD1E0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0010" name="Text Box 170" hidden="1">
          <a:extLst>
            <a:ext uri="{FF2B5EF4-FFF2-40B4-BE49-F238E27FC236}">
              <a16:creationId xmlns:a16="http://schemas.microsoft.com/office/drawing/2014/main" id="{1C167B3A-25E4-D0C2-C2CB-1E78C0FD3B9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0009" name="Text Box 169" hidden="1">
          <a:extLst>
            <a:ext uri="{FF2B5EF4-FFF2-40B4-BE49-F238E27FC236}">
              <a16:creationId xmlns:a16="http://schemas.microsoft.com/office/drawing/2014/main" id="{5BF07569-952C-157F-CE05-5E60192B2D7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0008" name="Text Box 168" hidden="1">
          <a:extLst>
            <a:ext uri="{FF2B5EF4-FFF2-40B4-BE49-F238E27FC236}">
              <a16:creationId xmlns:a16="http://schemas.microsoft.com/office/drawing/2014/main" id="{1009E3C2-8343-DB45-A611-1BB50C4B0360}"/>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0007" name="Text Box 167" hidden="1">
          <a:extLst>
            <a:ext uri="{FF2B5EF4-FFF2-40B4-BE49-F238E27FC236}">
              <a16:creationId xmlns:a16="http://schemas.microsoft.com/office/drawing/2014/main" id="{7BF375DC-305A-2A24-50D3-85BFDBC6F33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0006" name="Text Box 166" hidden="1">
          <a:extLst>
            <a:ext uri="{FF2B5EF4-FFF2-40B4-BE49-F238E27FC236}">
              <a16:creationId xmlns:a16="http://schemas.microsoft.com/office/drawing/2014/main" id="{1125A29B-CAB4-7A5A-D7EC-D86FC38CED2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0005" name="Text Box 165" hidden="1">
          <a:extLst>
            <a:ext uri="{FF2B5EF4-FFF2-40B4-BE49-F238E27FC236}">
              <a16:creationId xmlns:a16="http://schemas.microsoft.com/office/drawing/2014/main" id="{8445F408-9956-0A6E-4F7F-F920C354FF63}"/>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0004" name="Text Box 164" hidden="1">
          <a:extLst>
            <a:ext uri="{FF2B5EF4-FFF2-40B4-BE49-F238E27FC236}">
              <a16:creationId xmlns:a16="http://schemas.microsoft.com/office/drawing/2014/main" id="{78476680-5080-A54B-8B5E-D57A262CDF6C}"/>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0003" name="Text Box 163" hidden="1">
          <a:extLst>
            <a:ext uri="{FF2B5EF4-FFF2-40B4-BE49-F238E27FC236}">
              <a16:creationId xmlns:a16="http://schemas.microsoft.com/office/drawing/2014/main" id="{9DFEDCD5-7C44-B33E-150D-82A7ECB5933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0002" name="Text Box 162" hidden="1">
          <a:extLst>
            <a:ext uri="{FF2B5EF4-FFF2-40B4-BE49-F238E27FC236}">
              <a16:creationId xmlns:a16="http://schemas.microsoft.com/office/drawing/2014/main" id="{E55CE0EE-4D8A-7ED0-1208-237BE993CBB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0001" name="Text Box 161" hidden="1">
          <a:extLst>
            <a:ext uri="{FF2B5EF4-FFF2-40B4-BE49-F238E27FC236}">
              <a16:creationId xmlns:a16="http://schemas.microsoft.com/office/drawing/2014/main" id="{2AC9EBAA-7065-EBB1-4ED7-E057C2C0C55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0000" name="Text Box 160" hidden="1">
          <a:extLst>
            <a:ext uri="{FF2B5EF4-FFF2-40B4-BE49-F238E27FC236}">
              <a16:creationId xmlns:a16="http://schemas.microsoft.com/office/drawing/2014/main" id="{8A937FF1-16D1-0F99-8B58-76C613E0E0E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99" name="Text Box 159" hidden="1">
          <a:extLst>
            <a:ext uri="{FF2B5EF4-FFF2-40B4-BE49-F238E27FC236}">
              <a16:creationId xmlns:a16="http://schemas.microsoft.com/office/drawing/2014/main" id="{4EFC8534-FCBF-91FF-D516-500467A1D0F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98" name="Text Box 158" hidden="1">
          <a:extLst>
            <a:ext uri="{FF2B5EF4-FFF2-40B4-BE49-F238E27FC236}">
              <a16:creationId xmlns:a16="http://schemas.microsoft.com/office/drawing/2014/main" id="{EB587A7A-D365-C891-0C4F-1339B8B641C3}"/>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97" name="Text Box 157" hidden="1">
          <a:extLst>
            <a:ext uri="{FF2B5EF4-FFF2-40B4-BE49-F238E27FC236}">
              <a16:creationId xmlns:a16="http://schemas.microsoft.com/office/drawing/2014/main" id="{66095D6B-D33A-A85D-1AB6-7AFCE8BB3991}"/>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96" name="Text Box 156" hidden="1">
          <a:extLst>
            <a:ext uri="{FF2B5EF4-FFF2-40B4-BE49-F238E27FC236}">
              <a16:creationId xmlns:a16="http://schemas.microsoft.com/office/drawing/2014/main" id="{06EC95AC-10EC-D660-2E7D-B932634D059F}"/>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95" name="Text Box 155" hidden="1">
          <a:extLst>
            <a:ext uri="{FF2B5EF4-FFF2-40B4-BE49-F238E27FC236}">
              <a16:creationId xmlns:a16="http://schemas.microsoft.com/office/drawing/2014/main" id="{BF42EAC5-C03F-28B6-5A59-315CA175FC5E}"/>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3958" name="Text Box 22" hidden="1">
          <a:extLst>
            <a:ext uri="{FF2B5EF4-FFF2-40B4-BE49-F238E27FC236}">
              <a16:creationId xmlns:a16="http://schemas.microsoft.com/office/drawing/2014/main" id="{9ACFC9BC-A97A-1546-92A3-2D8044635BF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3957" name="Text Box 21" hidden="1">
          <a:extLst>
            <a:ext uri="{FF2B5EF4-FFF2-40B4-BE49-F238E27FC236}">
              <a16:creationId xmlns:a16="http://schemas.microsoft.com/office/drawing/2014/main" id="{6FDD47EE-407B-67E1-57C8-E6131122D979}"/>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3956" name="Text Box 20" hidden="1">
          <a:extLst>
            <a:ext uri="{FF2B5EF4-FFF2-40B4-BE49-F238E27FC236}">
              <a16:creationId xmlns:a16="http://schemas.microsoft.com/office/drawing/2014/main" id="{7330B41A-4B25-AF30-3086-744D595D29C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3955" name="Text Box 19" hidden="1">
          <a:extLst>
            <a:ext uri="{FF2B5EF4-FFF2-40B4-BE49-F238E27FC236}">
              <a16:creationId xmlns:a16="http://schemas.microsoft.com/office/drawing/2014/main" id="{39DED3EC-851C-9881-91C8-DFBAC0194C2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3954" name="Text Box 18" hidden="1">
          <a:extLst>
            <a:ext uri="{FF2B5EF4-FFF2-40B4-BE49-F238E27FC236}">
              <a16:creationId xmlns:a16="http://schemas.microsoft.com/office/drawing/2014/main" id="{1CC52D4D-51E2-EEB1-0C4A-22D5B39E747A}"/>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3953" name="Text Box 17" hidden="1">
          <a:extLst>
            <a:ext uri="{FF2B5EF4-FFF2-40B4-BE49-F238E27FC236}">
              <a16:creationId xmlns:a16="http://schemas.microsoft.com/office/drawing/2014/main" id="{DE9465DB-D47E-3B78-4A0C-18B39C01DAE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3952" name="Text Box 16" hidden="1">
          <a:extLst>
            <a:ext uri="{FF2B5EF4-FFF2-40B4-BE49-F238E27FC236}">
              <a16:creationId xmlns:a16="http://schemas.microsoft.com/office/drawing/2014/main" id="{1FED49E9-F0F2-59E9-0E31-8A983D04C225}"/>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3951" name="Text Box 15" hidden="1">
          <a:extLst>
            <a:ext uri="{FF2B5EF4-FFF2-40B4-BE49-F238E27FC236}">
              <a16:creationId xmlns:a16="http://schemas.microsoft.com/office/drawing/2014/main" id="{57F01E77-D43A-384C-E2A4-1F208280189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3950" name="Text Box 14" hidden="1">
          <a:extLst>
            <a:ext uri="{FF2B5EF4-FFF2-40B4-BE49-F238E27FC236}">
              <a16:creationId xmlns:a16="http://schemas.microsoft.com/office/drawing/2014/main" id="{07A7275B-7998-F6FF-3761-BA35B88EB59D}"/>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3949" name="Text Box 13" hidden="1">
          <a:extLst>
            <a:ext uri="{FF2B5EF4-FFF2-40B4-BE49-F238E27FC236}">
              <a16:creationId xmlns:a16="http://schemas.microsoft.com/office/drawing/2014/main" id="{4AA1B1CF-BDCB-A011-ECE0-BDCA4D80BCE3}"/>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3948" name="Text Box 12" hidden="1">
          <a:extLst>
            <a:ext uri="{FF2B5EF4-FFF2-40B4-BE49-F238E27FC236}">
              <a16:creationId xmlns:a16="http://schemas.microsoft.com/office/drawing/2014/main" id="{75C4C567-134C-606F-3163-64ED02D39AE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3947" name="Text Box 11" hidden="1">
          <a:extLst>
            <a:ext uri="{FF2B5EF4-FFF2-40B4-BE49-F238E27FC236}">
              <a16:creationId xmlns:a16="http://schemas.microsoft.com/office/drawing/2014/main" id="{5B5990E4-0DB2-C217-5256-9D5623A2256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3946" name="Text Box 10" hidden="1">
          <a:extLst>
            <a:ext uri="{FF2B5EF4-FFF2-40B4-BE49-F238E27FC236}">
              <a16:creationId xmlns:a16="http://schemas.microsoft.com/office/drawing/2014/main" id="{70D719BC-7635-CD41-3285-8B86326285E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3945" name="Text Box 9" hidden="1">
          <a:extLst>
            <a:ext uri="{FF2B5EF4-FFF2-40B4-BE49-F238E27FC236}">
              <a16:creationId xmlns:a16="http://schemas.microsoft.com/office/drawing/2014/main" id="{7CA0BD67-ABF7-8419-C3EB-94AFFDB6B2F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3944" name="Text Box 8" hidden="1">
          <a:extLst>
            <a:ext uri="{FF2B5EF4-FFF2-40B4-BE49-F238E27FC236}">
              <a16:creationId xmlns:a16="http://schemas.microsoft.com/office/drawing/2014/main" id="{40A8C506-445F-7FA6-34BA-90DB137392E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3943" name="Text Box 7" hidden="1">
          <a:extLst>
            <a:ext uri="{FF2B5EF4-FFF2-40B4-BE49-F238E27FC236}">
              <a16:creationId xmlns:a16="http://schemas.microsoft.com/office/drawing/2014/main" id="{A9FB87C0-B553-8545-92A3-CDF3AC2A9B13}"/>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3942" name="Text Box 6" hidden="1">
          <a:extLst>
            <a:ext uri="{FF2B5EF4-FFF2-40B4-BE49-F238E27FC236}">
              <a16:creationId xmlns:a16="http://schemas.microsoft.com/office/drawing/2014/main" id="{44246684-5DCF-B9DD-4E87-82E9881E5781}"/>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23941" name="Text Box 5" hidden="1">
          <a:extLst>
            <a:ext uri="{FF2B5EF4-FFF2-40B4-BE49-F238E27FC236}">
              <a16:creationId xmlns:a16="http://schemas.microsoft.com/office/drawing/2014/main" id="{84FEE72B-F90A-9A65-5B8A-3630BF12DF78}"/>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23940" name="Text Box 4" hidden="1">
          <a:extLst>
            <a:ext uri="{FF2B5EF4-FFF2-40B4-BE49-F238E27FC236}">
              <a16:creationId xmlns:a16="http://schemas.microsoft.com/office/drawing/2014/main" id="{7382AED8-C1B0-5724-6AD5-4E049A244F0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23939" name="Text Box 3" hidden="1">
          <a:extLst>
            <a:ext uri="{FF2B5EF4-FFF2-40B4-BE49-F238E27FC236}">
              <a16:creationId xmlns:a16="http://schemas.microsoft.com/office/drawing/2014/main" id="{80690A3B-C695-1461-4BA0-439FC30BA81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23938" name="Text Box 2" hidden="1">
          <a:extLst>
            <a:ext uri="{FF2B5EF4-FFF2-40B4-BE49-F238E27FC236}">
              <a16:creationId xmlns:a16="http://schemas.microsoft.com/office/drawing/2014/main" id="{C08AC831-DE00-E4B7-3DA5-D25237DB307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23937" name="Text Box 1" hidden="1">
          <a:extLst>
            <a:ext uri="{FF2B5EF4-FFF2-40B4-BE49-F238E27FC236}">
              <a16:creationId xmlns:a16="http://schemas.microsoft.com/office/drawing/2014/main" id="{BB88E6EC-6C99-F666-68F5-C4B72F32601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18</xdr:col>
      <xdr:colOff>114300</xdr:colOff>
      <xdr:row>12</xdr:row>
      <xdr:rowOff>457200</xdr:rowOff>
    </xdr:from>
    <xdr:to>
      <xdr:col>20</xdr:col>
      <xdr:colOff>419100</xdr:colOff>
      <xdr:row>16</xdr:row>
      <xdr:rowOff>83704</xdr:rowOff>
    </xdr:to>
    <xdr:sp macro="" textlink="">
      <xdr:nvSpPr>
        <xdr:cNvPr id="250883" name="Text Box 1027" hidden="1">
          <a:extLst>
            <a:ext uri="{FF2B5EF4-FFF2-40B4-BE49-F238E27FC236}">
              <a16:creationId xmlns:a16="http://schemas.microsoft.com/office/drawing/2014/main" id="{1188A251-9838-4F62-9E65-14B2C672C074}"/>
            </a:ext>
          </a:extLst>
        </xdr:cNvPr>
        <xdr:cNvSpPr txBox="1">
          <a:spLocks noChangeArrowheads="1"/>
        </xdr:cNvSpPr>
      </xdr:nvSpPr>
      <xdr:spPr bwMode="auto">
        <a:xfrm>
          <a:off x="12961620" y="3017520"/>
          <a:ext cx="128016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145415</xdr:colOff>
      <xdr:row>13</xdr:row>
      <xdr:rowOff>31635</xdr:rowOff>
    </xdr:from>
    <xdr:to>
      <xdr:col>20</xdr:col>
      <xdr:colOff>564515</xdr:colOff>
      <xdr:row>17</xdr:row>
      <xdr:rowOff>31634</xdr:rowOff>
    </xdr:to>
    <xdr:sp macro="" textlink="">
      <xdr:nvSpPr>
        <xdr:cNvPr id="3074" name="Text Box 1026" hidden="1">
          <a:extLst>
            <a:ext uri="{FF2B5EF4-FFF2-40B4-BE49-F238E27FC236}">
              <a16:creationId xmlns:a16="http://schemas.microsoft.com/office/drawing/2014/main" id="{C7808545-A7FB-4251-A7D2-05E26F9F72EC}"/>
            </a:ext>
          </a:extLst>
        </xdr:cNvPr>
        <xdr:cNvSpPr txBox="1">
          <a:spLocks noChangeArrowheads="1"/>
        </xdr:cNvSpPr>
      </xdr:nvSpPr>
      <xdr:spPr bwMode="auto">
        <a:xfrm>
          <a:off x="12639675" y="32480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1.xml><?xml version="1.0" encoding="utf-8"?>
<xdr:wsDr xmlns:xdr="http://schemas.openxmlformats.org/drawingml/2006/spreadsheetDrawing" xmlns:a="http://schemas.openxmlformats.org/drawingml/2006/main">
  <xdr:twoCellAnchor editAs="absolute">
    <xdr:from>
      <xdr:col>4</xdr:col>
      <xdr:colOff>2590800</xdr:colOff>
      <xdr:row>2</xdr:row>
      <xdr:rowOff>114300</xdr:rowOff>
    </xdr:from>
    <xdr:to>
      <xdr:col>5</xdr:col>
      <xdr:colOff>76200</xdr:colOff>
      <xdr:row>7</xdr:row>
      <xdr:rowOff>76200</xdr:rowOff>
    </xdr:to>
    <xdr:sp macro="" textlink="">
      <xdr:nvSpPr>
        <xdr:cNvPr id="86017" name="Text Box 1" hidden="1">
          <a:extLst>
            <a:ext uri="{FF2B5EF4-FFF2-40B4-BE49-F238E27FC236}">
              <a16:creationId xmlns:a16="http://schemas.microsoft.com/office/drawing/2014/main" id="{60D1D001-1046-4533-9C45-39F857D1A743}"/>
            </a:ext>
          </a:extLst>
        </xdr:cNvPr>
        <xdr:cNvSpPr txBox="1">
          <a:spLocks noChangeArrowheads="1"/>
        </xdr:cNvSpPr>
      </xdr:nvSpPr>
      <xdr:spPr bwMode="auto">
        <a:xfrm>
          <a:off x="10919460" y="556260"/>
          <a:ext cx="76200" cy="876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3" name="Text Box 1" hidden="1">
          <a:extLst>
            <a:ext uri="{FF2B5EF4-FFF2-40B4-BE49-F238E27FC236}">
              <a16:creationId xmlns:a16="http://schemas.microsoft.com/office/drawing/2014/main" id="{8E661AB1-576B-4F12-9088-16C83BBC692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4" name="Text Box 2" hidden="1">
          <a:extLst>
            <a:ext uri="{FF2B5EF4-FFF2-40B4-BE49-F238E27FC236}">
              <a16:creationId xmlns:a16="http://schemas.microsoft.com/office/drawing/2014/main" id="{5D64C7B4-6B60-4D68-8748-DDB4737632B0}"/>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5" name="Text Box 3" hidden="1">
          <a:extLst>
            <a:ext uri="{FF2B5EF4-FFF2-40B4-BE49-F238E27FC236}">
              <a16:creationId xmlns:a16="http://schemas.microsoft.com/office/drawing/2014/main" id="{9F50BCF7-9A6F-4377-895F-D27D853E989E}"/>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6" name="Text Box 4" hidden="1">
          <a:extLst>
            <a:ext uri="{FF2B5EF4-FFF2-40B4-BE49-F238E27FC236}">
              <a16:creationId xmlns:a16="http://schemas.microsoft.com/office/drawing/2014/main" id="{5B1E0600-AA2B-4FD7-8092-70B9E83AEB60}"/>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7" name="Text Box 5" hidden="1">
          <a:extLst>
            <a:ext uri="{FF2B5EF4-FFF2-40B4-BE49-F238E27FC236}">
              <a16:creationId xmlns:a16="http://schemas.microsoft.com/office/drawing/2014/main" id="{553F7E12-35A7-4787-9C0D-072ECE7197B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8" name="Text Box 6" hidden="1">
          <a:extLst>
            <a:ext uri="{FF2B5EF4-FFF2-40B4-BE49-F238E27FC236}">
              <a16:creationId xmlns:a16="http://schemas.microsoft.com/office/drawing/2014/main" id="{4BC926D3-F2F6-4D7A-8C1E-8AA1153C934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9" name="Text Box 7" hidden="1">
          <a:extLst>
            <a:ext uri="{FF2B5EF4-FFF2-40B4-BE49-F238E27FC236}">
              <a16:creationId xmlns:a16="http://schemas.microsoft.com/office/drawing/2014/main" id="{E449CD3A-4189-42AF-BFE6-D40FFD3D2A01}"/>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0" name="Text Box 8" hidden="1">
          <a:extLst>
            <a:ext uri="{FF2B5EF4-FFF2-40B4-BE49-F238E27FC236}">
              <a16:creationId xmlns:a16="http://schemas.microsoft.com/office/drawing/2014/main" id="{E485E787-FDAC-468C-AA1A-21FDE0A2DE0C}"/>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1" name="Text Box 9" hidden="1">
          <a:extLst>
            <a:ext uri="{FF2B5EF4-FFF2-40B4-BE49-F238E27FC236}">
              <a16:creationId xmlns:a16="http://schemas.microsoft.com/office/drawing/2014/main" id="{3A65C4C9-C601-48D1-AD7F-3A1DA6670B5E}"/>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2" name="Text Box 10" hidden="1">
          <a:extLst>
            <a:ext uri="{FF2B5EF4-FFF2-40B4-BE49-F238E27FC236}">
              <a16:creationId xmlns:a16="http://schemas.microsoft.com/office/drawing/2014/main" id="{C2073405-0020-4D2C-A7D1-6A83FDCF5C43}"/>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3" name="Text Box 11" hidden="1">
          <a:extLst>
            <a:ext uri="{FF2B5EF4-FFF2-40B4-BE49-F238E27FC236}">
              <a16:creationId xmlns:a16="http://schemas.microsoft.com/office/drawing/2014/main" id="{D3AA2167-6008-460B-9757-8AD482AD266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4" name="Text Box 12" hidden="1">
          <a:extLst>
            <a:ext uri="{FF2B5EF4-FFF2-40B4-BE49-F238E27FC236}">
              <a16:creationId xmlns:a16="http://schemas.microsoft.com/office/drawing/2014/main" id="{FB7C1B62-F32A-41AA-8ABE-9B45DAE0B898}"/>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5" name="Text Box 13" hidden="1">
          <a:extLst>
            <a:ext uri="{FF2B5EF4-FFF2-40B4-BE49-F238E27FC236}">
              <a16:creationId xmlns:a16="http://schemas.microsoft.com/office/drawing/2014/main" id="{F1F7C83E-E071-422D-8F57-C1DBA1C3086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6" name="Text Box 14" hidden="1">
          <a:extLst>
            <a:ext uri="{FF2B5EF4-FFF2-40B4-BE49-F238E27FC236}">
              <a16:creationId xmlns:a16="http://schemas.microsoft.com/office/drawing/2014/main" id="{51D3E228-EBB3-4C39-AA80-DFE2828B9174}"/>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7" name="Text Box 15" hidden="1">
          <a:extLst>
            <a:ext uri="{FF2B5EF4-FFF2-40B4-BE49-F238E27FC236}">
              <a16:creationId xmlns:a16="http://schemas.microsoft.com/office/drawing/2014/main" id="{F01774BB-07A7-4F96-A4E7-8E19E829691E}"/>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8" name="Text Box 16" hidden="1">
          <a:extLst>
            <a:ext uri="{FF2B5EF4-FFF2-40B4-BE49-F238E27FC236}">
              <a16:creationId xmlns:a16="http://schemas.microsoft.com/office/drawing/2014/main" id="{36E2E032-FA8C-4003-A868-1703E6A9CCB7}"/>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9" name="Text Box 17" hidden="1">
          <a:extLst>
            <a:ext uri="{FF2B5EF4-FFF2-40B4-BE49-F238E27FC236}">
              <a16:creationId xmlns:a16="http://schemas.microsoft.com/office/drawing/2014/main" id="{7C35EC14-1BEF-4237-8543-91B180B44F1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0" name="Text Box 18" hidden="1">
          <a:extLst>
            <a:ext uri="{FF2B5EF4-FFF2-40B4-BE49-F238E27FC236}">
              <a16:creationId xmlns:a16="http://schemas.microsoft.com/office/drawing/2014/main" id="{775EAFF3-8D53-4508-A335-2995A1FB88D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1" name="Text Box 19" hidden="1">
          <a:extLst>
            <a:ext uri="{FF2B5EF4-FFF2-40B4-BE49-F238E27FC236}">
              <a16:creationId xmlns:a16="http://schemas.microsoft.com/office/drawing/2014/main" id="{E852218D-64AE-4597-B3F5-8C999A20A7C3}"/>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4" name="Text Box 22" hidden="1">
          <a:extLst>
            <a:ext uri="{FF2B5EF4-FFF2-40B4-BE49-F238E27FC236}">
              <a16:creationId xmlns:a16="http://schemas.microsoft.com/office/drawing/2014/main" id="{29B1FFF8-54BF-4CEC-BFD1-40A5A7F4009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3" name="Text Box 21" hidden="1">
          <a:extLst>
            <a:ext uri="{FF2B5EF4-FFF2-40B4-BE49-F238E27FC236}">
              <a16:creationId xmlns:a16="http://schemas.microsoft.com/office/drawing/2014/main" id="{094D811A-31FC-4B5A-BDBD-EB84307AB687}"/>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2" name="Text Box 20" hidden="1">
          <a:extLst>
            <a:ext uri="{FF2B5EF4-FFF2-40B4-BE49-F238E27FC236}">
              <a16:creationId xmlns:a16="http://schemas.microsoft.com/office/drawing/2014/main" id="{CB2EE6E9-1456-4B4C-839C-41267FA8BD09}"/>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7" name="Text Box 25" hidden="1">
          <a:extLst>
            <a:ext uri="{FF2B5EF4-FFF2-40B4-BE49-F238E27FC236}">
              <a16:creationId xmlns:a16="http://schemas.microsoft.com/office/drawing/2014/main" id="{B1700CDE-C5BB-45DE-8F78-7404C7039F30}"/>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6" name="Text Box 24" hidden="1">
          <a:extLst>
            <a:ext uri="{FF2B5EF4-FFF2-40B4-BE49-F238E27FC236}">
              <a16:creationId xmlns:a16="http://schemas.microsoft.com/office/drawing/2014/main" id="{ED235D96-60B7-474D-842B-6FBD69058C7C}"/>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5" name="Text Box 23" hidden="1">
          <a:extLst>
            <a:ext uri="{FF2B5EF4-FFF2-40B4-BE49-F238E27FC236}">
              <a16:creationId xmlns:a16="http://schemas.microsoft.com/office/drawing/2014/main" id="{7496C537-960A-4255-A451-35CC29AA8318}"/>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8" name="Text Box 26" hidden="1">
          <a:extLst>
            <a:ext uri="{FF2B5EF4-FFF2-40B4-BE49-F238E27FC236}">
              <a16:creationId xmlns:a16="http://schemas.microsoft.com/office/drawing/2014/main" id="{8BCD07F9-E7CE-43EE-AB7D-902F5A077D62}"/>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1" name="Text Box 1" hidden="1">
          <a:extLst>
            <a:ext uri="{FF2B5EF4-FFF2-40B4-BE49-F238E27FC236}">
              <a16:creationId xmlns:a16="http://schemas.microsoft.com/office/drawing/2014/main" id="{09B212A1-707D-4891-9F8F-6A510532FA97}"/>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2" name="Text Box 2" hidden="1">
          <a:extLst>
            <a:ext uri="{FF2B5EF4-FFF2-40B4-BE49-F238E27FC236}">
              <a16:creationId xmlns:a16="http://schemas.microsoft.com/office/drawing/2014/main" id="{00D604D2-1890-4D6A-AD43-36E12625A3E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3" name="Text Box 3" hidden="1">
          <a:extLst>
            <a:ext uri="{FF2B5EF4-FFF2-40B4-BE49-F238E27FC236}">
              <a16:creationId xmlns:a16="http://schemas.microsoft.com/office/drawing/2014/main" id="{3D5D7153-8C87-486D-9BCC-B60E91591DF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4" name="Text Box 4" hidden="1">
          <a:extLst>
            <a:ext uri="{FF2B5EF4-FFF2-40B4-BE49-F238E27FC236}">
              <a16:creationId xmlns:a16="http://schemas.microsoft.com/office/drawing/2014/main" id="{9F452F40-0D7F-4F4A-A02A-3AD56583DD03}"/>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5" name="Text Box 5" hidden="1">
          <a:extLst>
            <a:ext uri="{FF2B5EF4-FFF2-40B4-BE49-F238E27FC236}">
              <a16:creationId xmlns:a16="http://schemas.microsoft.com/office/drawing/2014/main" id="{DB7D560E-6C96-48AB-B198-12B67FDCD070}"/>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5" name="Text Box 1" hidden="1">
          <a:extLst>
            <a:ext uri="{FF2B5EF4-FFF2-40B4-BE49-F238E27FC236}">
              <a16:creationId xmlns:a16="http://schemas.microsoft.com/office/drawing/2014/main" id="{9528CDB7-A845-4D45-B1BF-58029DF36872}"/>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6" name="Text Box 2" hidden="1">
          <a:extLst>
            <a:ext uri="{FF2B5EF4-FFF2-40B4-BE49-F238E27FC236}">
              <a16:creationId xmlns:a16="http://schemas.microsoft.com/office/drawing/2014/main" id="{5B425DA4-2721-4980-9017-436CAA169B06}"/>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7" name="Text Box 3" hidden="1">
          <a:extLst>
            <a:ext uri="{FF2B5EF4-FFF2-40B4-BE49-F238E27FC236}">
              <a16:creationId xmlns:a16="http://schemas.microsoft.com/office/drawing/2014/main" id="{52F0AF23-7A81-4CD8-AAF6-8FA6110C6571}"/>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8" name="Text Box 4" hidden="1">
          <a:extLst>
            <a:ext uri="{FF2B5EF4-FFF2-40B4-BE49-F238E27FC236}">
              <a16:creationId xmlns:a16="http://schemas.microsoft.com/office/drawing/2014/main" id="{8A23F851-9F26-489E-84BD-027FDA880CA8}"/>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9" name="Text Box 5" hidden="1">
          <a:extLst>
            <a:ext uri="{FF2B5EF4-FFF2-40B4-BE49-F238E27FC236}">
              <a16:creationId xmlns:a16="http://schemas.microsoft.com/office/drawing/2014/main" id="{BA1384DA-0159-4449-AA5C-911AE9BA75DA}"/>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7" name="Text Box 1" hidden="1">
          <a:extLst>
            <a:ext uri="{FF2B5EF4-FFF2-40B4-BE49-F238E27FC236}">
              <a16:creationId xmlns:a16="http://schemas.microsoft.com/office/drawing/2014/main" id="{07019610-115E-425D-8A1B-E0BB4EBAC35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8" name="Text Box 2" hidden="1">
          <a:extLst>
            <a:ext uri="{FF2B5EF4-FFF2-40B4-BE49-F238E27FC236}">
              <a16:creationId xmlns:a16="http://schemas.microsoft.com/office/drawing/2014/main" id="{412FA0EC-4067-4685-B7EB-0E601E1B686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9" name="Text Box 3" hidden="1">
          <a:extLst>
            <a:ext uri="{FF2B5EF4-FFF2-40B4-BE49-F238E27FC236}">
              <a16:creationId xmlns:a16="http://schemas.microsoft.com/office/drawing/2014/main" id="{07EA6AE7-038F-B72C-3D2C-7301994EEB2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20" name="Text Box 4" hidden="1">
          <a:extLst>
            <a:ext uri="{FF2B5EF4-FFF2-40B4-BE49-F238E27FC236}">
              <a16:creationId xmlns:a16="http://schemas.microsoft.com/office/drawing/2014/main" id="{76A24A9D-7C4D-4481-F1B3-41B3B1A7508F}"/>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2" name="Text Box 2" hidden="1">
          <a:extLst>
            <a:ext uri="{FF2B5EF4-FFF2-40B4-BE49-F238E27FC236}">
              <a16:creationId xmlns:a16="http://schemas.microsoft.com/office/drawing/2014/main" id="{7C244F61-FE66-9D0A-2AC8-9FA9FFF1177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1" name="Text Box 1" hidden="1">
          <a:extLst>
            <a:ext uri="{FF2B5EF4-FFF2-40B4-BE49-F238E27FC236}">
              <a16:creationId xmlns:a16="http://schemas.microsoft.com/office/drawing/2014/main" id="{822F1D04-9803-2498-3951-645537B1B30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3" name="Text Box 3" hidden="1">
          <a:extLst>
            <a:ext uri="{FF2B5EF4-FFF2-40B4-BE49-F238E27FC236}">
              <a16:creationId xmlns:a16="http://schemas.microsoft.com/office/drawing/2014/main" id="{84026776-A2C0-02AF-57C4-6FD1AE853926}"/>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4" name="Text Box 4" hidden="1">
          <a:extLst>
            <a:ext uri="{FF2B5EF4-FFF2-40B4-BE49-F238E27FC236}">
              <a16:creationId xmlns:a16="http://schemas.microsoft.com/office/drawing/2014/main" id="{9645C95A-3253-F08B-3925-91FFBB16EC4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3" name="Text Box 1" hidden="1">
          <a:extLst>
            <a:ext uri="{FF2B5EF4-FFF2-40B4-BE49-F238E27FC236}">
              <a16:creationId xmlns:a16="http://schemas.microsoft.com/office/drawing/2014/main" id="{F0B7B312-9E78-ED13-6C6A-F1B4BFFA8066}"/>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4" name="Text Box 2" hidden="1">
          <a:extLst>
            <a:ext uri="{FF2B5EF4-FFF2-40B4-BE49-F238E27FC236}">
              <a16:creationId xmlns:a16="http://schemas.microsoft.com/office/drawing/2014/main" id="{452AB3AE-6299-45C7-83F0-F3416D80E01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6" name="Text Box 4" hidden="1">
          <a:extLst>
            <a:ext uri="{FF2B5EF4-FFF2-40B4-BE49-F238E27FC236}">
              <a16:creationId xmlns:a16="http://schemas.microsoft.com/office/drawing/2014/main" id="{C1B2282C-1272-8ADB-B1E8-7A9AA384807D}"/>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5" name="Text Box 3" hidden="1">
          <a:extLst>
            <a:ext uri="{FF2B5EF4-FFF2-40B4-BE49-F238E27FC236}">
              <a16:creationId xmlns:a16="http://schemas.microsoft.com/office/drawing/2014/main" id="{989CC83C-FD7A-AAA0-1AED-01E80A91CD12}"/>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7" name="Text Box 5" hidden="1">
          <a:extLst>
            <a:ext uri="{FF2B5EF4-FFF2-40B4-BE49-F238E27FC236}">
              <a16:creationId xmlns:a16="http://schemas.microsoft.com/office/drawing/2014/main" id="{E55045A7-9E18-CB83-AB47-06B3DBB05295}"/>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8" name="Text Box 6" hidden="1">
          <a:extLst>
            <a:ext uri="{FF2B5EF4-FFF2-40B4-BE49-F238E27FC236}">
              <a16:creationId xmlns:a16="http://schemas.microsoft.com/office/drawing/2014/main" id="{D36770B6-74DF-9DE1-AF0B-1340986C422B}"/>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9" name="Text Box 7" hidden="1">
          <a:extLst>
            <a:ext uri="{FF2B5EF4-FFF2-40B4-BE49-F238E27FC236}">
              <a16:creationId xmlns:a16="http://schemas.microsoft.com/office/drawing/2014/main" id="{499FF774-5AD6-E2A2-DB40-451A714D453C}"/>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0" name="Text Box 8" hidden="1">
          <a:extLst>
            <a:ext uri="{FF2B5EF4-FFF2-40B4-BE49-F238E27FC236}">
              <a16:creationId xmlns:a16="http://schemas.microsoft.com/office/drawing/2014/main" id="{EDD9F085-E023-1505-5386-B008BBDC00A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1" name="Text Box 9" hidden="1">
          <a:extLst>
            <a:ext uri="{FF2B5EF4-FFF2-40B4-BE49-F238E27FC236}">
              <a16:creationId xmlns:a16="http://schemas.microsoft.com/office/drawing/2014/main" id="{D2975039-EEF4-3238-EFE1-79EA89F6B9A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2" name="Text Box 10" hidden="1">
          <a:extLst>
            <a:ext uri="{FF2B5EF4-FFF2-40B4-BE49-F238E27FC236}">
              <a16:creationId xmlns:a16="http://schemas.microsoft.com/office/drawing/2014/main" id="{C65F7316-C5A6-317C-70A4-0324540324D1}"/>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3" name="Text Box 11" hidden="1">
          <a:extLst>
            <a:ext uri="{FF2B5EF4-FFF2-40B4-BE49-F238E27FC236}">
              <a16:creationId xmlns:a16="http://schemas.microsoft.com/office/drawing/2014/main" id="{134E6C68-3696-543A-AEC0-4E39610EE867}"/>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4" name="Text Box 12" hidden="1">
          <a:extLst>
            <a:ext uri="{FF2B5EF4-FFF2-40B4-BE49-F238E27FC236}">
              <a16:creationId xmlns:a16="http://schemas.microsoft.com/office/drawing/2014/main" id="{C6363F84-6253-5C6A-5E2C-4BDFCBB632C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5" name="Text Box 1037" hidden="1">
          <a:extLst>
            <a:ext uri="{FF2B5EF4-FFF2-40B4-BE49-F238E27FC236}">
              <a16:creationId xmlns:a16="http://schemas.microsoft.com/office/drawing/2014/main" id="{E3C8087F-339A-F865-8C14-D6A0CD729EC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6" name="Text Box 1038" hidden="1">
          <a:extLst>
            <a:ext uri="{FF2B5EF4-FFF2-40B4-BE49-F238E27FC236}">
              <a16:creationId xmlns:a16="http://schemas.microsoft.com/office/drawing/2014/main" id="{6B5B1F37-EC69-89E8-5BE1-6860C2E4919F}"/>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7" name="Text Box 1039" hidden="1">
          <a:extLst>
            <a:ext uri="{FF2B5EF4-FFF2-40B4-BE49-F238E27FC236}">
              <a16:creationId xmlns:a16="http://schemas.microsoft.com/office/drawing/2014/main" id="{7CC01126-0983-3B80-E11C-68C0283B949D}"/>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8" name="Text Box 1040" hidden="1">
          <a:extLst>
            <a:ext uri="{FF2B5EF4-FFF2-40B4-BE49-F238E27FC236}">
              <a16:creationId xmlns:a16="http://schemas.microsoft.com/office/drawing/2014/main" id="{7086E181-8855-4B67-425C-D2A486AB0120}"/>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1" name="Text Box 1025" hidden="1">
          <a:extLst>
            <a:ext uri="{FF2B5EF4-FFF2-40B4-BE49-F238E27FC236}">
              <a16:creationId xmlns:a16="http://schemas.microsoft.com/office/drawing/2014/main" id="{20548AC5-1313-97DA-7A69-43B8BB6EA77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9" name="Text Box 17" hidden="1">
          <a:extLst>
            <a:ext uri="{FF2B5EF4-FFF2-40B4-BE49-F238E27FC236}">
              <a16:creationId xmlns:a16="http://schemas.microsoft.com/office/drawing/2014/main" id="{583C4307-788F-B3EF-47FF-DA8D8D77675A}"/>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2" name="Text Box 2" hidden="1">
          <a:extLst>
            <a:ext uri="{FF2B5EF4-FFF2-40B4-BE49-F238E27FC236}">
              <a16:creationId xmlns:a16="http://schemas.microsoft.com/office/drawing/2014/main" id="{D7EE72E1-1F85-DE22-4986-1D5BC3F46C24}"/>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3" name="Text Box 3" hidden="1">
          <a:extLst>
            <a:ext uri="{FF2B5EF4-FFF2-40B4-BE49-F238E27FC236}">
              <a16:creationId xmlns:a16="http://schemas.microsoft.com/office/drawing/2014/main" id="{8BB69A72-1044-02DD-998C-91BFE09205D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4" name="Text Box 4" hidden="1">
          <a:extLst>
            <a:ext uri="{FF2B5EF4-FFF2-40B4-BE49-F238E27FC236}">
              <a16:creationId xmlns:a16="http://schemas.microsoft.com/office/drawing/2014/main" id="{7E63F50F-312B-1055-A50F-FB9880F627E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6" name="Text Box 6" hidden="1">
          <a:extLst>
            <a:ext uri="{FF2B5EF4-FFF2-40B4-BE49-F238E27FC236}">
              <a16:creationId xmlns:a16="http://schemas.microsoft.com/office/drawing/2014/main" id="{72D6A272-8541-2B03-BAA7-7BF60CF3FA2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5" name="Text Box 5" hidden="1">
          <a:extLst>
            <a:ext uri="{FF2B5EF4-FFF2-40B4-BE49-F238E27FC236}">
              <a16:creationId xmlns:a16="http://schemas.microsoft.com/office/drawing/2014/main" id="{3E6BFBB5-2998-9EF2-64C9-5311EB1ABD4D}"/>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7" name="Text Box 7" hidden="1">
          <a:extLst>
            <a:ext uri="{FF2B5EF4-FFF2-40B4-BE49-F238E27FC236}">
              <a16:creationId xmlns:a16="http://schemas.microsoft.com/office/drawing/2014/main" id="{3505E173-F679-AA18-00AB-77113FA13513}"/>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8" name="Text Box 8" hidden="1">
          <a:extLst>
            <a:ext uri="{FF2B5EF4-FFF2-40B4-BE49-F238E27FC236}">
              <a16:creationId xmlns:a16="http://schemas.microsoft.com/office/drawing/2014/main" id="{EEE5F5E7-0902-05F2-3508-85DF101D09BE}"/>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5985" name="Text Box 1" hidden="1">
          <a:extLst>
            <a:ext uri="{FF2B5EF4-FFF2-40B4-BE49-F238E27FC236}">
              <a16:creationId xmlns:a16="http://schemas.microsoft.com/office/drawing/2014/main" id="{3902F2CB-8DB0-710D-DDFA-C110A38AC08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2.xml><?xml version="1.0" encoding="utf-8"?>
<xdr:wsDr xmlns:xdr="http://schemas.openxmlformats.org/drawingml/2006/spreadsheetDrawing" xmlns:a="http://schemas.openxmlformats.org/drawingml/2006/main">
  <xdr:twoCellAnchor editAs="absolute">
    <xdr:from>
      <xdr:col>8</xdr:col>
      <xdr:colOff>419100</xdr:colOff>
      <xdr:row>3</xdr:row>
      <xdr:rowOff>609600</xdr:rowOff>
    </xdr:from>
    <xdr:to>
      <xdr:col>10</xdr:col>
      <xdr:colOff>457200</xdr:colOff>
      <xdr:row>7</xdr:row>
      <xdr:rowOff>38100</xdr:rowOff>
    </xdr:to>
    <xdr:sp macro="" textlink="">
      <xdr:nvSpPr>
        <xdr:cNvPr id="131073" name="Text Box 1" hidden="1">
          <a:extLst>
            <a:ext uri="{FF2B5EF4-FFF2-40B4-BE49-F238E27FC236}">
              <a16:creationId xmlns:a16="http://schemas.microsoft.com/office/drawing/2014/main" id="{42434D36-7FB9-4EA4-B9DC-3EEDB0846249}"/>
            </a:ext>
          </a:extLst>
        </xdr:cNvPr>
        <xdr:cNvSpPr txBox="1">
          <a:spLocks noChangeArrowheads="1"/>
        </xdr:cNvSpPr>
      </xdr:nvSpPr>
      <xdr:spPr bwMode="auto">
        <a:xfrm>
          <a:off x="5128260" y="1508760"/>
          <a:ext cx="140970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131074" name="Text Box 2" hidden="1">
          <a:extLst>
            <a:ext uri="{FF2B5EF4-FFF2-40B4-BE49-F238E27FC236}">
              <a16:creationId xmlns:a16="http://schemas.microsoft.com/office/drawing/2014/main" id="{334EEA71-1471-4C48-91B5-22B9C7EECF7C}"/>
            </a:ext>
          </a:extLst>
        </xdr:cNvPr>
        <xdr:cNvSpPr txBox="1">
          <a:spLocks noChangeArrowheads="1"/>
        </xdr:cNvSpPr>
      </xdr:nvSpPr>
      <xdr:spPr bwMode="auto">
        <a:xfrm>
          <a:off x="9197340" y="1623060"/>
          <a:ext cx="12725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098" name="Text Box 2" hidden="1">
          <a:extLst>
            <a:ext uri="{FF2B5EF4-FFF2-40B4-BE49-F238E27FC236}">
              <a16:creationId xmlns:a16="http://schemas.microsoft.com/office/drawing/2014/main" id="{9B9F83BB-8AFF-4406-9542-06962B166D1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7" name="Text Box 1" hidden="1">
          <a:extLst>
            <a:ext uri="{FF2B5EF4-FFF2-40B4-BE49-F238E27FC236}">
              <a16:creationId xmlns:a16="http://schemas.microsoft.com/office/drawing/2014/main" id="{8270EAEB-28C8-47AE-9ECC-54CABE1BA6B5}"/>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0" name="Text Box 4" hidden="1">
          <a:extLst>
            <a:ext uri="{FF2B5EF4-FFF2-40B4-BE49-F238E27FC236}">
              <a16:creationId xmlns:a16="http://schemas.microsoft.com/office/drawing/2014/main" id="{7156F3FB-ACD2-40A7-8B62-693DF4BEDF09}"/>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9" name="Text Box 3" hidden="1">
          <a:extLst>
            <a:ext uri="{FF2B5EF4-FFF2-40B4-BE49-F238E27FC236}">
              <a16:creationId xmlns:a16="http://schemas.microsoft.com/office/drawing/2014/main" id="{2941EA4D-C571-4004-9DF7-187764218567}"/>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2" name="Text Box 6" hidden="1">
          <a:extLst>
            <a:ext uri="{FF2B5EF4-FFF2-40B4-BE49-F238E27FC236}">
              <a16:creationId xmlns:a16="http://schemas.microsoft.com/office/drawing/2014/main" id="{2000C70B-5FD5-4B97-9EB4-51C1CF5D0205}"/>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1" name="Text Box 5" hidden="1">
          <a:extLst>
            <a:ext uri="{FF2B5EF4-FFF2-40B4-BE49-F238E27FC236}">
              <a16:creationId xmlns:a16="http://schemas.microsoft.com/office/drawing/2014/main" id="{39A2FE59-857E-41F0-8352-D311F1370A98}"/>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4" name="Text Box 8" hidden="1">
          <a:extLst>
            <a:ext uri="{FF2B5EF4-FFF2-40B4-BE49-F238E27FC236}">
              <a16:creationId xmlns:a16="http://schemas.microsoft.com/office/drawing/2014/main" id="{96847540-068F-4EEE-9405-9AB84D6B5FA2}"/>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3" name="Text Box 7" hidden="1">
          <a:extLst>
            <a:ext uri="{FF2B5EF4-FFF2-40B4-BE49-F238E27FC236}">
              <a16:creationId xmlns:a16="http://schemas.microsoft.com/office/drawing/2014/main" id="{7CA74DF3-EF75-4398-B292-9E1C3DF7ADC5}"/>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6" name="Text Box 10" hidden="1">
          <a:extLst>
            <a:ext uri="{FF2B5EF4-FFF2-40B4-BE49-F238E27FC236}">
              <a16:creationId xmlns:a16="http://schemas.microsoft.com/office/drawing/2014/main" id="{927EA3B3-6F63-4E8A-8478-A655B58C101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5" name="Text Box 9" hidden="1">
          <a:extLst>
            <a:ext uri="{FF2B5EF4-FFF2-40B4-BE49-F238E27FC236}">
              <a16:creationId xmlns:a16="http://schemas.microsoft.com/office/drawing/2014/main" id="{BDDC4F93-B1A7-43B4-8F0D-F9D03255F17F}"/>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8" name="Text Box 12" hidden="1">
          <a:extLst>
            <a:ext uri="{FF2B5EF4-FFF2-40B4-BE49-F238E27FC236}">
              <a16:creationId xmlns:a16="http://schemas.microsoft.com/office/drawing/2014/main" id="{707BD620-C67D-48CB-B86B-5379277AA230}"/>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7" name="Text Box 11" hidden="1">
          <a:extLst>
            <a:ext uri="{FF2B5EF4-FFF2-40B4-BE49-F238E27FC236}">
              <a16:creationId xmlns:a16="http://schemas.microsoft.com/office/drawing/2014/main" id="{FAF47932-D21E-4398-975D-96B04299387B}"/>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0" name="Text Box 14" hidden="1">
          <a:extLst>
            <a:ext uri="{FF2B5EF4-FFF2-40B4-BE49-F238E27FC236}">
              <a16:creationId xmlns:a16="http://schemas.microsoft.com/office/drawing/2014/main" id="{0F032954-6377-4FD0-862D-0F6F2BE1620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9" name="Text Box 13" hidden="1">
          <a:extLst>
            <a:ext uri="{FF2B5EF4-FFF2-40B4-BE49-F238E27FC236}">
              <a16:creationId xmlns:a16="http://schemas.microsoft.com/office/drawing/2014/main" id="{04DE74A6-49D0-4CF2-A783-C0DE8E1822E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2" name="Text Box 16" hidden="1">
          <a:extLst>
            <a:ext uri="{FF2B5EF4-FFF2-40B4-BE49-F238E27FC236}">
              <a16:creationId xmlns:a16="http://schemas.microsoft.com/office/drawing/2014/main" id="{1845F47A-3138-484F-AC96-54B659976A6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1" name="Text Box 15" hidden="1">
          <a:extLst>
            <a:ext uri="{FF2B5EF4-FFF2-40B4-BE49-F238E27FC236}">
              <a16:creationId xmlns:a16="http://schemas.microsoft.com/office/drawing/2014/main" id="{8CDD614C-FF74-431D-8BD9-B7334D3813A1}"/>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4" name="Text Box 18" hidden="1">
          <a:extLst>
            <a:ext uri="{FF2B5EF4-FFF2-40B4-BE49-F238E27FC236}">
              <a16:creationId xmlns:a16="http://schemas.microsoft.com/office/drawing/2014/main" id="{CC58B971-DA47-46BE-BF47-944D395E280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3" name="Text Box 17" hidden="1">
          <a:extLst>
            <a:ext uri="{FF2B5EF4-FFF2-40B4-BE49-F238E27FC236}">
              <a16:creationId xmlns:a16="http://schemas.microsoft.com/office/drawing/2014/main" id="{F359A1AF-0D89-44C0-88D7-93AF99C45D78}"/>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6" name="Text Box 20" hidden="1">
          <a:extLst>
            <a:ext uri="{FF2B5EF4-FFF2-40B4-BE49-F238E27FC236}">
              <a16:creationId xmlns:a16="http://schemas.microsoft.com/office/drawing/2014/main" id="{A8D81E02-A46C-4D2E-8DF8-F687590E622E}"/>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5" name="Text Box 19" hidden="1">
          <a:extLst>
            <a:ext uri="{FF2B5EF4-FFF2-40B4-BE49-F238E27FC236}">
              <a16:creationId xmlns:a16="http://schemas.microsoft.com/office/drawing/2014/main" id="{B36955CF-7E9D-494E-8716-4AA55BE3AAC0}"/>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8" name="Text Box 22" hidden="1">
          <a:extLst>
            <a:ext uri="{FF2B5EF4-FFF2-40B4-BE49-F238E27FC236}">
              <a16:creationId xmlns:a16="http://schemas.microsoft.com/office/drawing/2014/main" id="{7906588B-9C74-41FB-A152-7C26E36B86CD}"/>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7" name="Text Box 21" hidden="1">
          <a:extLst>
            <a:ext uri="{FF2B5EF4-FFF2-40B4-BE49-F238E27FC236}">
              <a16:creationId xmlns:a16="http://schemas.microsoft.com/office/drawing/2014/main" id="{26C67B9B-2DC3-4419-8544-ECE70CF5C47E}"/>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0" name="Text Box 24" hidden="1">
          <a:extLst>
            <a:ext uri="{FF2B5EF4-FFF2-40B4-BE49-F238E27FC236}">
              <a16:creationId xmlns:a16="http://schemas.microsoft.com/office/drawing/2014/main" id="{21E8A8AF-8DE5-45F7-920F-45D91B5167A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9" name="Text Box 23" hidden="1">
          <a:extLst>
            <a:ext uri="{FF2B5EF4-FFF2-40B4-BE49-F238E27FC236}">
              <a16:creationId xmlns:a16="http://schemas.microsoft.com/office/drawing/2014/main" id="{ABF6312D-B56B-4404-8BA7-6584FB93AD23}"/>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2" name="Text Box 26" hidden="1">
          <a:extLst>
            <a:ext uri="{FF2B5EF4-FFF2-40B4-BE49-F238E27FC236}">
              <a16:creationId xmlns:a16="http://schemas.microsoft.com/office/drawing/2014/main" id="{F40197AA-8E53-4A5B-94D9-1321E90126B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1" name="Text Box 25" hidden="1">
          <a:extLst>
            <a:ext uri="{FF2B5EF4-FFF2-40B4-BE49-F238E27FC236}">
              <a16:creationId xmlns:a16="http://schemas.microsoft.com/office/drawing/2014/main" id="{9C348EC2-EDBB-4A89-90E5-47B20C774A6C}"/>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4" name="Text Box 28" hidden="1">
          <a:extLst>
            <a:ext uri="{FF2B5EF4-FFF2-40B4-BE49-F238E27FC236}">
              <a16:creationId xmlns:a16="http://schemas.microsoft.com/office/drawing/2014/main" id="{F59E596F-CC51-4679-AC83-57651C7047CC}"/>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3" name="Text Box 27" hidden="1">
          <a:extLst>
            <a:ext uri="{FF2B5EF4-FFF2-40B4-BE49-F238E27FC236}">
              <a16:creationId xmlns:a16="http://schemas.microsoft.com/office/drawing/2014/main" id="{E022272A-1548-4658-947F-A232B1677A4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6" name="Text Box 30" hidden="1">
          <a:extLst>
            <a:ext uri="{FF2B5EF4-FFF2-40B4-BE49-F238E27FC236}">
              <a16:creationId xmlns:a16="http://schemas.microsoft.com/office/drawing/2014/main" id="{E0EFA109-3A5A-44FB-9286-F9E024E0DFF0}"/>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5" name="Text Box 29" hidden="1">
          <a:extLst>
            <a:ext uri="{FF2B5EF4-FFF2-40B4-BE49-F238E27FC236}">
              <a16:creationId xmlns:a16="http://schemas.microsoft.com/office/drawing/2014/main" id="{1CDA0D67-F909-4C62-B259-D26AB2CA4B8B}"/>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8" name="Text Box 32" hidden="1">
          <a:extLst>
            <a:ext uri="{FF2B5EF4-FFF2-40B4-BE49-F238E27FC236}">
              <a16:creationId xmlns:a16="http://schemas.microsoft.com/office/drawing/2014/main" id="{CBED9F22-866B-48CF-A5E7-F29A22D414A6}"/>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7" name="Text Box 31" hidden="1">
          <a:extLst>
            <a:ext uri="{FF2B5EF4-FFF2-40B4-BE49-F238E27FC236}">
              <a16:creationId xmlns:a16="http://schemas.microsoft.com/office/drawing/2014/main" id="{F2E58B79-AE2A-4D3D-8650-7A58591CD517}"/>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0" name="Text Box 34" hidden="1">
          <a:extLst>
            <a:ext uri="{FF2B5EF4-FFF2-40B4-BE49-F238E27FC236}">
              <a16:creationId xmlns:a16="http://schemas.microsoft.com/office/drawing/2014/main" id="{83FAC04A-046B-4C41-A395-19D2E0C9D7E4}"/>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9" name="Text Box 33" hidden="1">
          <a:extLst>
            <a:ext uri="{FF2B5EF4-FFF2-40B4-BE49-F238E27FC236}">
              <a16:creationId xmlns:a16="http://schemas.microsoft.com/office/drawing/2014/main" id="{1B6F8C96-CE31-4128-B626-5AF203CE058E}"/>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2" name="Text Box 36" hidden="1">
          <a:extLst>
            <a:ext uri="{FF2B5EF4-FFF2-40B4-BE49-F238E27FC236}">
              <a16:creationId xmlns:a16="http://schemas.microsoft.com/office/drawing/2014/main" id="{11CD5B20-A469-4B8A-97E4-A40349A8027B}"/>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1" name="Text Box 35" hidden="1">
          <a:extLst>
            <a:ext uri="{FF2B5EF4-FFF2-40B4-BE49-F238E27FC236}">
              <a16:creationId xmlns:a16="http://schemas.microsoft.com/office/drawing/2014/main" id="{98DAC47D-6F9C-45C0-97AB-CF8406A8886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4" name="Text Box 38" hidden="1">
          <a:extLst>
            <a:ext uri="{FF2B5EF4-FFF2-40B4-BE49-F238E27FC236}">
              <a16:creationId xmlns:a16="http://schemas.microsoft.com/office/drawing/2014/main" id="{9DB47089-4E1F-4D69-A1C7-124C944C3C81}"/>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3" name="Text Box 37" hidden="1">
          <a:extLst>
            <a:ext uri="{FF2B5EF4-FFF2-40B4-BE49-F238E27FC236}">
              <a16:creationId xmlns:a16="http://schemas.microsoft.com/office/drawing/2014/main" id="{D4CEDBC4-D2BD-46D5-B004-92330C1634B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0" name="Text Box 44" hidden="1">
          <a:extLst>
            <a:ext uri="{FF2B5EF4-FFF2-40B4-BE49-F238E27FC236}">
              <a16:creationId xmlns:a16="http://schemas.microsoft.com/office/drawing/2014/main" id="{B50B8CBD-FF2F-43CE-8974-01CB190F20F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9" name="Text Box 43" hidden="1">
          <a:extLst>
            <a:ext uri="{FF2B5EF4-FFF2-40B4-BE49-F238E27FC236}">
              <a16:creationId xmlns:a16="http://schemas.microsoft.com/office/drawing/2014/main" id="{7A3BE179-244B-4868-B35A-B4D6F614EBF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8" name="Text Box 42" hidden="1">
          <a:extLst>
            <a:ext uri="{FF2B5EF4-FFF2-40B4-BE49-F238E27FC236}">
              <a16:creationId xmlns:a16="http://schemas.microsoft.com/office/drawing/2014/main" id="{616E5FFE-A5A0-430C-B13B-9899B2389665}"/>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7" name="Text Box 41" hidden="1">
          <a:extLst>
            <a:ext uri="{FF2B5EF4-FFF2-40B4-BE49-F238E27FC236}">
              <a16:creationId xmlns:a16="http://schemas.microsoft.com/office/drawing/2014/main" id="{DB1C2CD5-C126-448A-B2DB-61E784469911}"/>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6" name="Text Box 40" hidden="1">
          <a:extLst>
            <a:ext uri="{FF2B5EF4-FFF2-40B4-BE49-F238E27FC236}">
              <a16:creationId xmlns:a16="http://schemas.microsoft.com/office/drawing/2014/main" id="{6A9623F3-96E6-4049-B198-0F3943D4257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5" name="Text Box 39" hidden="1">
          <a:extLst>
            <a:ext uri="{FF2B5EF4-FFF2-40B4-BE49-F238E27FC236}">
              <a16:creationId xmlns:a16="http://schemas.microsoft.com/office/drawing/2014/main" id="{A3FDF3CE-5FBA-4844-AFD0-C5808B9478FD}"/>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6" name="Text Box 50" hidden="1">
          <a:extLst>
            <a:ext uri="{FF2B5EF4-FFF2-40B4-BE49-F238E27FC236}">
              <a16:creationId xmlns:a16="http://schemas.microsoft.com/office/drawing/2014/main" id="{D1923DB2-A8F1-496E-9439-DC5AD548ED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5" name="Text Box 49" hidden="1">
          <a:extLst>
            <a:ext uri="{FF2B5EF4-FFF2-40B4-BE49-F238E27FC236}">
              <a16:creationId xmlns:a16="http://schemas.microsoft.com/office/drawing/2014/main" id="{990558A6-585F-40C4-B870-2C0066C87D44}"/>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4" name="Text Box 48" hidden="1">
          <a:extLst>
            <a:ext uri="{FF2B5EF4-FFF2-40B4-BE49-F238E27FC236}">
              <a16:creationId xmlns:a16="http://schemas.microsoft.com/office/drawing/2014/main" id="{53A25EC9-0484-4D12-B2DB-4D8C3E4067D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3" name="Text Box 47" hidden="1">
          <a:extLst>
            <a:ext uri="{FF2B5EF4-FFF2-40B4-BE49-F238E27FC236}">
              <a16:creationId xmlns:a16="http://schemas.microsoft.com/office/drawing/2014/main" id="{829E57AA-3C10-46C8-BF83-C49B543C133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2" name="Text Box 46" hidden="1">
          <a:extLst>
            <a:ext uri="{FF2B5EF4-FFF2-40B4-BE49-F238E27FC236}">
              <a16:creationId xmlns:a16="http://schemas.microsoft.com/office/drawing/2014/main" id="{E206D031-AA59-47D4-9125-EDA8E9693B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1" name="Text Box 45" hidden="1">
          <a:extLst>
            <a:ext uri="{FF2B5EF4-FFF2-40B4-BE49-F238E27FC236}">
              <a16:creationId xmlns:a16="http://schemas.microsoft.com/office/drawing/2014/main" id="{55630761-3800-41C5-8E3C-5A3078FC8256}"/>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8" name="Text Box 52" hidden="1">
          <a:extLst>
            <a:ext uri="{FF2B5EF4-FFF2-40B4-BE49-F238E27FC236}">
              <a16:creationId xmlns:a16="http://schemas.microsoft.com/office/drawing/2014/main" id="{42B4EA78-5BC8-4ED4-A051-6D47AEAFBD6B}"/>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7" name="Text Box 51" hidden="1">
          <a:extLst>
            <a:ext uri="{FF2B5EF4-FFF2-40B4-BE49-F238E27FC236}">
              <a16:creationId xmlns:a16="http://schemas.microsoft.com/office/drawing/2014/main" id="{4AFE00F5-E185-430C-97FF-05A557C76620}"/>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50" name="Text Box 54" hidden="1">
          <a:extLst>
            <a:ext uri="{FF2B5EF4-FFF2-40B4-BE49-F238E27FC236}">
              <a16:creationId xmlns:a16="http://schemas.microsoft.com/office/drawing/2014/main" id="{F270E8A7-96BC-4953-BED8-B4C0E202D21B}"/>
            </a:ext>
          </a:extLst>
        </xdr:cNvPr>
        <xdr:cNvSpPr txBox="1">
          <a:spLocks noChangeArrowheads="1"/>
        </xdr:cNvSpPr>
      </xdr:nvSpPr>
      <xdr:spPr bwMode="auto">
        <a:xfrm>
          <a:off x="518922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9" name="Text Box 53" hidden="1">
          <a:extLst>
            <a:ext uri="{FF2B5EF4-FFF2-40B4-BE49-F238E27FC236}">
              <a16:creationId xmlns:a16="http://schemas.microsoft.com/office/drawing/2014/main" id="{D878D37E-69E1-442F-9ED4-C71041CB1F14}"/>
            </a:ext>
          </a:extLst>
        </xdr:cNvPr>
        <xdr:cNvSpPr txBox="1">
          <a:spLocks noChangeArrowheads="1"/>
        </xdr:cNvSpPr>
      </xdr:nvSpPr>
      <xdr:spPr bwMode="auto">
        <a:xfrm>
          <a:off x="925830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6" name="Text Box 2" hidden="1">
          <a:extLst>
            <a:ext uri="{FF2B5EF4-FFF2-40B4-BE49-F238E27FC236}">
              <a16:creationId xmlns:a16="http://schemas.microsoft.com/office/drawing/2014/main" id="{99F26637-C559-4A6A-90A5-08D4FD53EB17}"/>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5" name="Text Box 1" hidden="1">
          <a:extLst>
            <a:ext uri="{FF2B5EF4-FFF2-40B4-BE49-F238E27FC236}">
              <a16:creationId xmlns:a16="http://schemas.microsoft.com/office/drawing/2014/main" id="{360D014E-5638-4003-AA5E-98BD837085CC}"/>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8" name="Text Box 4" hidden="1">
          <a:extLst>
            <a:ext uri="{FF2B5EF4-FFF2-40B4-BE49-F238E27FC236}">
              <a16:creationId xmlns:a16="http://schemas.microsoft.com/office/drawing/2014/main" id="{E6152750-7DCF-409D-A8C9-E0C76B8C30FC}"/>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7" name="Text Box 3" hidden="1">
          <a:extLst>
            <a:ext uri="{FF2B5EF4-FFF2-40B4-BE49-F238E27FC236}">
              <a16:creationId xmlns:a16="http://schemas.microsoft.com/office/drawing/2014/main" id="{3DA46D79-D947-4780-8F48-E71847AEF037}"/>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0" name="Text Box 6" hidden="1">
          <a:extLst>
            <a:ext uri="{FF2B5EF4-FFF2-40B4-BE49-F238E27FC236}">
              <a16:creationId xmlns:a16="http://schemas.microsoft.com/office/drawing/2014/main" id="{D7B795AA-F2A8-41E7-8946-9809985CC7E3}"/>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9" name="Text Box 5" hidden="1">
          <a:extLst>
            <a:ext uri="{FF2B5EF4-FFF2-40B4-BE49-F238E27FC236}">
              <a16:creationId xmlns:a16="http://schemas.microsoft.com/office/drawing/2014/main" id="{F597CF6A-3769-46EB-A2CA-956A3C48EF3B}"/>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2" name="Text Box 8" hidden="1">
          <a:extLst>
            <a:ext uri="{FF2B5EF4-FFF2-40B4-BE49-F238E27FC236}">
              <a16:creationId xmlns:a16="http://schemas.microsoft.com/office/drawing/2014/main" id="{8CA7E04B-38FE-417C-8FEE-5972FF4F4A47}"/>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11" name="Text Box 7" hidden="1">
          <a:extLst>
            <a:ext uri="{FF2B5EF4-FFF2-40B4-BE49-F238E27FC236}">
              <a16:creationId xmlns:a16="http://schemas.microsoft.com/office/drawing/2014/main" id="{4D7F07E8-6926-4D4B-AD49-97E7157AE332}"/>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0" name="Text Box 2" hidden="1">
          <a:extLst>
            <a:ext uri="{FF2B5EF4-FFF2-40B4-BE49-F238E27FC236}">
              <a16:creationId xmlns:a16="http://schemas.microsoft.com/office/drawing/2014/main" id="{544C6807-55DC-46BD-84D9-C7B77B7D481B}"/>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29" name="Text Box 1" hidden="1">
          <a:extLst>
            <a:ext uri="{FF2B5EF4-FFF2-40B4-BE49-F238E27FC236}">
              <a16:creationId xmlns:a16="http://schemas.microsoft.com/office/drawing/2014/main" id="{EC160E7D-D656-401C-B852-36F1BA9B6D60}"/>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2" name="Text Box 4" hidden="1">
          <a:extLst>
            <a:ext uri="{FF2B5EF4-FFF2-40B4-BE49-F238E27FC236}">
              <a16:creationId xmlns:a16="http://schemas.microsoft.com/office/drawing/2014/main" id="{D96784B0-D851-4205-866D-2EDC6F04FFF8}"/>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1" name="Text Box 3" hidden="1">
          <a:extLst>
            <a:ext uri="{FF2B5EF4-FFF2-40B4-BE49-F238E27FC236}">
              <a16:creationId xmlns:a16="http://schemas.microsoft.com/office/drawing/2014/main" id="{54D1236A-1E4F-44D4-993D-1F85CD0F6043}"/>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4" name="Text Box 6" hidden="1">
          <a:extLst>
            <a:ext uri="{FF2B5EF4-FFF2-40B4-BE49-F238E27FC236}">
              <a16:creationId xmlns:a16="http://schemas.microsoft.com/office/drawing/2014/main" id="{DE021924-5BCB-4A8E-AE0F-61173DB9E69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3" name="Text Box 5" hidden="1">
          <a:extLst>
            <a:ext uri="{FF2B5EF4-FFF2-40B4-BE49-F238E27FC236}">
              <a16:creationId xmlns:a16="http://schemas.microsoft.com/office/drawing/2014/main" id="{F83E2D3C-C56C-4AC2-8A4E-12BCE0440F4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6" name="Text Box 8" hidden="1">
          <a:extLst>
            <a:ext uri="{FF2B5EF4-FFF2-40B4-BE49-F238E27FC236}">
              <a16:creationId xmlns:a16="http://schemas.microsoft.com/office/drawing/2014/main" id="{AF9F29AB-63AC-4DC4-945C-4020726151CE}"/>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5" name="Text Box 7" hidden="1">
          <a:extLst>
            <a:ext uri="{FF2B5EF4-FFF2-40B4-BE49-F238E27FC236}">
              <a16:creationId xmlns:a16="http://schemas.microsoft.com/office/drawing/2014/main" id="{58932486-A8B2-4941-8472-0D0A92EDED71}"/>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8" name="Text Box 10" hidden="1">
          <a:extLst>
            <a:ext uri="{FF2B5EF4-FFF2-40B4-BE49-F238E27FC236}">
              <a16:creationId xmlns:a16="http://schemas.microsoft.com/office/drawing/2014/main" id="{AD16E454-DADF-4135-884F-36E3561430F9}"/>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7" name="Text Box 9" hidden="1">
          <a:extLst>
            <a:ext uri="{FF2B5EF4-FFF2-40B4-BE49-F238E27FC236}">
              <a16:creationId xmlns:a16="http://schemas.microsoft.com/office/drawing/2014/main" id="{9242DB81-A2EB-4B2E-8522-CCDE61AE19F8}"/>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2" name="Text Box 2" hidden="1">
          <a:extLst>
            <a:ext uri="{FF2B5EF4-FFF2-40B4-BE49-F238E27FC236}">
              <a16:creationId xmlns:a16="http://schemas.microsoft.com/office/drawing/2014/main" id="{AEB8D77E-16A3-47FD-B073-E5EA95AB427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1" name="Text Box 1" hidden="1">
          <a:extLst>
            <a:ext uri="{FF2B5EF4-FFF2-40B4-BE49-F238E27FC236}">
              <a16:creationId xmlns:a16="http://schemas.microsoft.com/office/drawing/2014/main" id="{7110CFE1-E418-436D-8A15-6F34585F1A56}"/>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4" name="Text Box 4" hidden="1">
          <a:extLst>
            <a:ext uri="{FF2B5EF4-FFF2-40B4-BE49-F238E27FC236}">
              <a16:creationId xmlns:a16="http://schemas.microsoft.com/office/drawing/2014/main" id="{2975781F-8864-4F9A-8B13-7270491CE03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3" name="Text Box 3" hidden="1">
          <a:extLst>
            <a:ext uri="{FF2B5EF4-FFF2-40B4-BE49-F238E27FC236}">
              <a16:creationId xmlns:a16="http://schemas.microsoft.com/office/drawing/2014/main" id="{71E4BB06-AC63-41D3-81A3-80275191C4D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6" name="Text Box 6" hidden="1">
          <a:extLst>
            <a:ext uri="{FF2B5EF4-FFF2-40B4-BE49-F238E27FC236}">
              <a16:creationId xmlns:a16="http://schemas.microsoft.com/office/drawing/2014/main" id="{B3B712A4-C616-D36B-0ED9-84B6D53CAE8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5" name="Text Box 5" hidden="1">
          <a:extLst>
            <a:ext uri="{FF2B5EF4-FFF2-40B4-BE49-F238E27FC236}">
              <a16:creationId xmlns:a16="http://schemas.microsoft.com/office/drawing/2014/main" id="{AFE478D6-D9DA-BC96-8A63-91E39735B04F}"/>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8" name="Text Box 8" hidden="1">
          <a:extLst>
            <a:ext uri="{FF2B5EF4-FFF2-40B4-BE49-F238E27FC236}">
              <a16:creationId xmlns:a16="http://schemas.microsoft.com/office/drawing/2014/main" id="{E92BBF9F-B747-15C8-5092-10ECA1814D2F}"/>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7" name="Text Box 7" hidden="1">
          <a:extLst>
            <a:ext uri="{FF2B5EF4-FFF2-40B4-BE49-F238E27FC236}">
              <a16:creationId xmlns:a16="http://schemas.microsoft.com/office/drawing/2014/main" id="{B2356A14-7F7C-0AB6-7659-CBB38B1D3F1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8" name="Text Box 4" hidden="1">
          <a:extLst>
            <a:ext uri="{FF2B5EF4-FFF2-40B4-BE49-F238E27FC236}">
              <a16:creationId xmlns:a16="http://schemas.microsoft.com/office/drawing/2014/main" id="{13933BBD-B4A6-FCF5-97E3-E58EDAFC4BA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7" name="Text Box 3" hidden="1">
          <a:extLst>
            <a:ext uri="{FF2B5EF4-FFF2-40B4-BE49-F238E27FC236}">
              <a16:creationId xmlns:a16="http://schemas.microsoft.com/office/drawing/2014/main" id="{666B2AF9-6C65-EAC2-1D5D-BB2BEC6AAEC9}"/>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6" name="Text Box 2" hidden="1">
          <a:extLst>
            <a:ext uri="{FF2B5EF4-FFF2-40B4-BE49-F238E27FC236}">
              <a16:creationId xmlns:a16="http://schemas.microsoft.com/office/drawing/2014/main" id="{FC0D7CF4-D7E5-5BB0-3BE1-5BC5F03C59F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5" name="Text Box 1" hidden="1">
          <a:extLst>
            <a:ext uri="{FF2B5EF4-FFF2-40B4-BE49-F238E27FC236}">
              <a16:creationId xmlns:a16="http://schemas.microsoft.com/office/drawing/2014/main" id="{80048F9B-0F8A-AB74-248D-254E0BE07E8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0" name="Text Box 6" hidden="1">
          <a:extLst>
            <a:ext uri="{FF2B5EF4-FFF2-40B4-BE49-F238E27FC236}">
              <a16:creationId xmlns:a16="http://schemas.microsoft.com/office/drawing/2014/main" id="{0F25DF69-9EE2-058B-8711-5253ACF487D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9" name="Text Box 5" hidden="1">
          <a:extLst>
            <a:ext uri="{FF2B5EF4-FFF2-40B4-BE49-F238E27FC236}">
              <a16:creationId xmlns:a16="http://schemas.microsoft.com/office/drawing/2014/main" id="{142B2179-8147-B96A-2487-9BD91688D95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2" name="Text Box 8" hidden="1">
          <a:extLst>
            <a:ext uri="{FF2B5EF4-FFF2-40B4-BE49-F238E27FC236}">
              <a16:creationId xmlns:a16="http://schemas.microsoft.com/office/drawing/2014/main" id="{F1454D3D-C6EE-FDC6-1E48-07738CCD1D0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1" name="Text Box 7" hidden="1">
          <a:extLst>
            <a:ext uri="{FF2B5EF4-FFF2-40B4-BE49-F238E27FC236}">
              <a16:creationId xmlns:a16="http://schemas.microsoft.com/office/drawing/2014/main" id="{29F74655-6C4F-FC5C-8899-504F75A6FB6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4" name="Text Box 10" hidden="1">
          <a:extLst>
            <a:ext uri="{FF2B5EF4-FFF2-40B4-BE49-F238E27FC236}">
              <a16:creationId xmlns:a16="http://schemas.microsoft.com/office/drawing/2014/main" id="{6816D2F9-3908-A60C-4552-7CD11F2B8D42}"/>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3" name="Text Box 9" hidden="1">
          <a:extLst>
            <a:ext uri="{FF2B5EF4-FFF2-40B4-BE49-F238E27FC236}">
              <a16:creationId xmlns:a16="http://schemas.microsoft.com/office/drawing/2014/main" id="{81013CB1-FA6C-E8BB-E2BD-63AA330A1DB7}"/>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38" name="Text Box 2" hidden="1">
          <a:extLst>
            <a:ext uri="{FF2B5EF4-FFF2-40B4-BE49-F238E27FC236}">
              <a16:creationId xmlns:a16="http://schemas.microsoft.com/office/drawing/2014/main" id="{2AFCAABF-77A9-E581-3950-A9F86B8605C3}"/>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7" name="Text Box 1" hidden="1">
          <a:extLst>
            <a:ext uri="{FF2B5EF4-FFF2-40B4-BE49-F238E27FC236}">
              <a16:creationId xmlns:a16="http://schemas.microsoft.com/office/drawing/2014/main" id="{D2C0B349-883F-2D4A-07E6-B3E8258B6E3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2" name="Text Box 6" hidden="1">
          <a:extLst>
            <a:ext uri="{FF2B5EF4-FFF2-40B4-BE49-F238E27FC236}">
              <a16:creationId xmlns:a16="http://schemas.microsoft.com/office/drawing/2014/main" id="{D5CC6D4E-4C68-6D03-8655-4D2A5691A15D}"/>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1" name="Text Box 5" hidden="1">
          <a:extLst>
            <a:ext uri="{FF2B5EF4-FFF2-40B4-BE49-F238E27FC236}">
              <a16:creationId xmlns:a16="http://schemas.microsoft.com/office/drawing/2014/main" id="{C6EA296D-E1FE-201C-AD0D-D57A2983B1BB}"/>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0" name="Text Box 4" hidden="1">
          <a:extLst>
            <a:ext uri="{FF2B5EF4-FFF2-40B4-BE49-F238E27FC236}">
              <a16:creationId xmlns:a16="http://schemas.microsoft.com/office/drawing/2014/main" id="{C39D1244-5044-3848-ED3D-842C57F26A4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9" name="Text Box 3" hidden="1">
          <a:extLst>
            <a:ext uri="{FF2B5EF4-FFF2-40B4-BE49-F238E27FC236}">
              <a16:creationId xmlns:a16="http://schemas.microsoft.com/office/drawing/2014/main" id="{5480973B-E06A-4D13-FB16-D9174CDBF51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4" name="Text Box 8" hidden="1">
          <a:extLst>
            <a:ext uri="{FF2B5EF4-FFF2-40B4-BE49-F238E27FC236}">
              <a16:creationId xmlns:a16="http://schemas.microsoft.com/office/drawing/2014/main" id="{8B3C0ECB-0ED0-184B-DFBD-202840FD4B56}"/>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3" name="Text Box 7" hidden="1">
          <a:extLst>
            <a:ext uri="{FF2B5EF4-FFF2-40B4-BE49-F238E27FC236}">
              <a16:creationId xmlns:a16="http://schemas.microsoft.com/office/drawing/2014/main" id="{ACB16AEC-9796-8B46-92DE-85AB761688D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6" name="Text Box 10" hidden="1">
          <a:extLst>
            <a:ext uri="{FF2B5EF4-FFF2-40B4-BE49-F238E27FC236}">
              <a16:creationId xmlns:a16="http://schemas.microsoft.com/office/drawing/2014/main" id="{BD351F30-63D6-7E16-9E04-075433EC2A7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5" name="Text Box 9" hidden="1">
          <a:extLst>
            <a:ext uri="{FF2B5EF4-FFF2-40B4-BE49-F238E27FC236}">
              <a16:creationId xmlns:a16="http://schemas.microsoft.com/office/drawing/2014/main" id="{EAD96442-437F-980A-719C-DFB1745ED5B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8" name="Text Box 12" hidden="1">
          <a:extLst>
            <a:ext uri="{FF2B5EF4-FFF2-40B4-BE49-F238E27FC236}">
              <a16:creationId xmlns:a16="http://schemas.microsoft.com/office/drawing/2014/main" id="{095A442C-BA11-AC6C-F46F-78F33930A46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7" name="Text Box 11" hidden="1">
          <a:extLst>
            <a:ext uri="{FF2B5EF4-FFF2-40B4-BE49-F238E27FC236}">
              <a16:creationId xmlns:a16="http://schemas.microsoft.com/office/drawing/2014/main" id="{4314E2A1-B48B-B637-E4F5-6F9205D35308}"/>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0" name="Text Box 14" hidden="1">
          <a:extLst>
            <a:ext uri="{FF2B5EF4-FFF2-40B4-BE49-F238E27FC236}">
              <a16:creationId xmlns:a16="http://schemas.microsoft.com/office/drawing/2014/main" id="{48CFB6BB-31FA-2F32-ED4E-18F4705376D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9" name="Text Box 13" hidden="1">
          <a:extLst>
            <a:ext uri="{FF2B5EF4-FFF2-40B4-BE49-F238E27FC236}">
              <a16:creationId xmlns:a16="http://schemas.microsoft.com/office/drawing/2014/main" id="{64CDE9C2-C09F-C3CB-D38B-B4043EA0950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2" name="Text Box 16" hidden="1">
          <a:extLst>
            <a:ext uri="{FF2B5EF4-FFF2-40B4-BE49-F238E27FC236}">
              <a16:creationId xmlns:a16="http://schemas.microsoft.com/office/drawing/2014/main" id="{67455551-0025-C321-5FFF-72D6F384350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1" name="Text Box 15" hidden="1">
          <a:extLst>
            <a:ext uri="{FF2B5EF4-FFF2-40B4-BE49-F238E27FC236}">
              <a16:creationId xmlns:a16="http://schemas.microsoft.com/office/drawing/2014/main" id="{B140FA9D-B96F-C6A9-120C-3BA90F3CA92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4" name="Text Box 18" hidden="1">
          <a:extLst>
            <a:ext uri="{FF2B5EF4-FFF2-40B4-BE49-F238E27FC236}">
              <a16:creationId xmlns:a16="http://schemas.microsoft.com/office/drawing/2014/main" id="{456729A0-ACE8-2F55-3075-0E7FF69E3B9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3" name="Text Box 17" hidden="1">
          <a:extLst>
            <a:ext uri="{FF2B5EF4-FFF2-40B4-BE49-F238E27FC236}">
              <a16:creationId xmlns:a16="http://schemas.microsoft.com/office/drawing/2014/main" id="{9FF179F9-3B01-D70C-F2BD-85CBD6B94DA2}"/>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6" name="Text Box 20" hidden="1">
          <a:extLst>
            <a:ext uri="{FF2B5EF4-FFF2-40B4-BE49-F238E27FC236}">
              <a16:creationId xmlns:a16="http://schemas.microsoft.com/office/drawing/2014/main" id="{D62F3679-51A1-70AA-3F4B-DF016684550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5" name="Text Box 19" hidden="1">
          <a:extLst>
            <a:ext uri="{FF2B5EF4-FFF2-40B4-BE49-F238E27FC236}">
              <a16:creationId xmlns:a16="http://schemas.microsoft.com/office/drawing/2014/main" id="{F3F52110-02C8-CD74-1A90-0F9A15FFB08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8" name="Text Box 22" hidden="1">
          <a:extLst>
            <a:ext uri="{FF2B5EF4-FFF2-40B4-BE49-F238E27FC236}">
              <a16:creationId xmlns:a16="http://schemas.microsoft.com/office/drawing/2014/main" id="{554B96BE-1AF5-FA67-6C99-D21BF721A9A4}"/>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7" name="Text Box 21" hidden="1">
          <a:extLst>
            <a:ext uri="{FF2B5EF4-FFF2-40B4-BE49-F238E27FC236}">
              <a16:creationId xmlns:a16="http://schemas.microsoft.com/office/drawing/2014/main" id="{F0B185D4-0071-D902-1489-ED18906674D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0" name="Text Box 24" hidden="1">
          <a:extLst>
            <a:ext uri="{FF2B5EF4-FFF2-40B4-BE49-F238E27FC236}">
              <a16:creationId xmlns:a16="http://schemas.microsoft.com/office/drawing/2014/main" id="{5AD43EC5-D555-25BA-ABFF-5F96F7B0601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9" name="Text Box 23" hidden="1">
          <a:extLst>
            <a:ext uri="{FF2B5EF4-FFF2-40B4-BE49-F238E27FC236}">
              <a16:creationId xmlns:a16="http://schemas.microsoft.com/office/drawing/2014/main" id="{207507C0-245A-C9D3-F813-7AEB0CB459D6}"/>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2" name="Text Box 26" hidden="1">
          <a:extLst>
            <a:ext uri="{FF2B5EF4-FFF2-40B4-BE49-F238E27FC236}">
              <a16:creationId xmlns:a16="http://schemas.microsoft.com/office/drawing/2014/main" id="{BD4882CB-9B72-2236-0B16-53536E92A1BF}"/>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1" name="Text Box 25" hidden="1">
          <a:extLst>
            <a:ext uri="{FF2B5EF4-FFF2-40B4-BE49-F238E27FC236}">
              <a16:creationId xmlns:a16="http://schemas.microsoft.com/office/drawing/2014/main" id="{5CAB0E24-9C9A-649A-5CF5-704B2759949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4" name="Text Box 28" hidden="1">
          <a:extLst>
            <a:ext uri="{FF2B5EF4-FFF2-40B4-BE49-F238E27FC236}">
              <a16:creationId xmlns:a16="http://schemas.microsoft.com/office/drawing/2014/main" id="{1C06E398-0A3B-C270-5BA5-0688DF2FA0E5}"/>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3" name="Text Box 27" hidden="1">
          <a:extLst>
            <a:ext uri="{FF2B5EF4-FFF2-40B4-BE49-F238E27FC236}">
              <a16:creationId xmlns:a16="http://schemas.microsoft.com/office/drawing/2014/main" id="{C03B09BE-0B14-6891-0D46-49970F1BF6C5}"/>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6" name="Text Box 30" hidden="1">
          <a:extLst>
            <a:ext uri="{FF2B5EF4-FFF2-40B4-BE49-F238E27FC236}">
              <a16:creationId xmlns:a16="http://schemas.microsoft.com/office/drawing/2014/main" id="{83711B89-9C72-DEDF-87E8-04621F8A0C4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5" name="Text Box 29" hidden="1">
          <a:extLst>
            <a:ext uri="{FF2B5EF4-FFF2-40B4-BE49-F238E27FC236}">
              <a16:creationId xmlns:a16="http://schemas.microsoft.com/office/drawing/2014/main" id="{52AE4625-9A06-9621-D2C6-F0697649290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6" name="Text Box 1026" hidden="1">
          <a:extLst>
            <a:ext uri="{FF2B5EF4-FFF2-40B4-BE49-F238E27FC236}">
              <a16:creationId xmlns:a16="http://schemas.microsoft.com/office/drawing/2014/main" id="{4AD6AAF5-2EAC-F1AE-2C63-E8AA26EF230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5" name="Text Box 1025" hidden="1">
          <a:extLst>
            <a:ext uri="{FF2B5EF4-FFF2-40B4-BE49-F238E27FC236}">
              <a16:creationId xmlns:a16="http://schemas.microsoft.com/office/drawing/2014/main" id="{4F8D5A8B-F8C2-82F4-A203-0F19F3F1A8B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8" name="Text Box 32" hidden="1">
          <a:extLst>
            <a:ext uri="{FF2B5EF4-FFF2-40B4-BE49-F238E27FC236}">
              <a16:creationId xmlns:a16="http://schemas.microsoft.com/office/drawing/2014/main" id="{36022668-1466-A712-073A-02D716D99A0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7" name="Text Box 31" hidden="1">
          <a:extLst>
            <a:ext uri="{FF2B5EF4-FFF2-40B4-BE49-F238E27FC236}">
              <a16:creationId xmlns:a16="http://schemas.microsoft.com/office/drawing/2014/main" id="{A63ABEC1-62F0-BC60-4F2E-98BE3EAD1DA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8" name="Text Box 4" hidden="1">
          <a:extLst>
            <a:ext uri="{FF2B5EF4-FFF2-40B4-BE49-F238E27FC236}">
              <a16:creationId xmlns:a16="http://schemas.microsoft.com/office/drawing/2014/main" id="{F69D165A-25B9-70AF-5573-01220E11783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7" name="Text Box 3" hidden="1">
          <a:extLst>
            <a:ext uri="{FF2B5EF4-FFF2-40B4-BE49-F238E27FC236}">
              <a16:creationId xmlns:a16="http://schemas.microsoft.com/office/drawing/2014/main" id="{CD1C47C8-6F36-1819-DDE9-DAB0F3C079B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0" name="Text Box 6" hidden="1">
          <a:extLst>
            <a:ext uri="{FF2B5EF4-FFF2-40B4-BE49-F238E27FC236}">
              <a16:creationId xmlns:a16="http://schemas.microsoft.com/office/drawing/2014/main" id="{016E7FE9-5633-5141-8FF5-E754789816F2}"/>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9" name="Text Box 5" hidden="1">
          <a:extLst>
            <a:ext uri="{FF2B5EF4-FFF2-40B4-BE49-F238E27FC236}">
              <a16:creationId xmlns:a16="http://schemas.microsoft.com/office/drawing/2014/main" id="{9E9458C7-E48E-B647-2D62-C26360245C4A}"/>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2" name="Text Box 8" hidden="1">
          <a:extLst>
            <a:ext uri="{FF2B5EF4-FFF2-40B4-BE49-F238E27FC236}">
              <a16:creationId xmlns:a16="http://schemas.microsoft.com/office/drawing/2014/main" id="{403996B7-FCBC-7636-D9FE-D918CFB0F5F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1" name="Text Box 7" hidden="1">
          <a:extLst>
            <a:ext uri="{FF2B5EF4-FFF2-40B4-BE49-F238E27FC236}">
              <a16:creationId xmlns:a16="http://schemas.microsoft.com/office/drawing/2014/main" id="{0B19DBFA-7EA3-5B3A-88B3-C7FD55501AEF}"/>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6" name="Text Box 12" hidden="1">
          <a:extLst>
            <a:ext uri="{FF2B5EF4-FFF2-40B4-BE49-F238E27FC236}">
              <a16:creationId xmlns:a16="http://schemas.microsoft.com/office/drawing/2014/main" id="{FBE14EA9-CB2B-5D5F-063B-90298E76DE5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5" name="Text Box 11" hidden="1">
          <a:extLst>
            <a:ext uri="{FF2B5EF4-FFF2-40B4-BE49-F238E27FC236}">
              <a16:creationId xmlns:a16="http://schemas.microsoft.com/office/drawing/2014/main" id="{5C45542B-881D-50F3-1154-04869D17FAD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4" name="Text Box 10" hidden="1">
          <a:extLst>
            <a:ext uri="{FF2B5EF4-FFF2-40B4-BE49-F238E27FC236}">
              <a16:creationId xmlns:a16="http://schemas.microsoft.com/office/drawing/2014/main" id="{758C664C-809C-5786-2029-3E389984251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3" name="Text Box 9" hidden="1">
          <a:extLst>
            <a:ext uri="{FF2B5EF4-FFF2-40B4-BE49-F238E27FC236}">
              <a16:creationId xmlns:a16="http://schemas.microsoft.com/office/drawing/2014/main" id="{002AAF14-0B4F-F485-13A9-4BC92A74E4A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8" name="Text Box 14" hidden="1">
          <a:extLst>
            <a:ext uri="{FF2B5EF4-FFF2-40B4-BE49-F238E27FC236}">
              <a16:creationId xmlns:a16="http://schemas.microsoft.com/office/drawing/2014/main" id="{36EDD52A-436D-DA6B-EA51-388836125C7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7" name="Text Box 13" hidden="1">
          <a:extLst>
            <a:ext uri="{FF2B5EF4-FFF2-40B4-BE49-F238E27FC236}">
              <a16:creationId xmlns:a16="http://schemas.microsoft.com/office/drawing/2014/main" id="{E3F5CB72-1F6D-26E3-193F-2432ADF4F0F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6000" name="Text Box 16" hidden="1">
          <a:extLst>
            <a:ext uri="{FF2B5EF4-FFF2-40B4-BE49-F238E27FC236}">
              <a16:creationId xmlns:a16="http://schemas.microsoft.com/office/drawing/2014/main" id="{BCD00B98-323B-1E1B-45C2-F511ABEFA1C8}"/>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9" name="Text Box 15" hidden="1">
          <a:extLst>
            <a:ext uri="{FF2B5EF4-FFF2-40B4-BE49-F238E27FC236}">
              <a16:creationId xmlns:a16="http://schemas.microsoft.com/office/drawing/2014/main" id="{A95F13A4-775D-3B1E-D4A1-3EA7C2E640E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7010" name="Text Box 2" hidden="1">
          <a:extLst>
            <a:ext uri="{FF2B5EF4-FFF2-40B4-BE49-F238E27FC236}">
              <a16:creationId xmlns:a16="http://schemas.microsoft.com/office/drawing/2014/main" id="{F26AFDB7-9E3B-2EDB-A500-6AC3608BBC1F}"/>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7009" name="Text Box 1" hidden="1">
          <a:extLst>
            <a:ext uri="{FF2B5EF4-FFF2-40B4-BE49-F238E27FC236}">
              <a16:creationId xmlns:a16="http://schemas.microsoft.com/office/drawing/2014/main" id="{1FF8818F-6964-C4E0-39A9-A9CB7CDD4D8B}"/>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hmad\Downloads\FIM\results\06-2025\input_data\forecast_06-2025.xlsx" TargetMode="External"/><Relationship Id="rId1" Type="http://schemas.openxmlformats.org/officeDocument/2006/relationships/externalLinkPath" Target="/Users/sahmad/Downloads/FIM/results/06-2025/input_data/forecast_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uide to the FIM Spreadsheet"/>
      <sheetName val="Checklist (New Quarter Release)"/>
      <sheetName val="Checklist (Monthly Revision)"/>
      <sheetName val="Revisions"/>
      <sheetName val="Checklist (CBO Budget Release)"/>
      <sheetName val="Haver Pivoted"/>
      <sheetName val="historical overrides"/>
      <sheetName val="deflators_override"/>
      <sheetName val="forecast comparison"/>
      <sheetName val="MPI"/>
      <sheetName val="forecast"/>
      <sheetName val="mpc"/>
      <sheetName val="Unemployment Insurance"/>
      <sheetName val="Unemployment Insurance - lorae"/>
      <sheetName val="Grants"/>
      <sheetName val="Federal and State Purchases"/>
      <sheetName val="Subsidies"/>
      <sheetName val="Medicaid"/>
      <sheetName val="Medicare"/>
      <sheetName val="Student loans"/>
      <sheetName val="Social Benefits"/>
      <sheetName val="Social Benefits (BETA VERSION)"/>
      <sheetName val="Social Benefits (EXPLANATION)"/>
      <sheetName val="Supply Side IRA"/>
      <sheetName val="Taxes"/>
      <sheetName val="Deflators"/>
      <sheetName val="PPP (expired)"/>
      <sheetName val="Provider Relief (expired)"/>
      <sheetName val="Rebate Checks (expired)"/>
      <sheetName val="Cares Act Scores"/>
      <sheetName val="IRA and CHIPS"/>
      <sheetName val="Response and Relief Act Score"/>
      <sheetName val="ARP Score"/>
      <sheetName val="ARP Timing"/>
      <sheetName val="ARP Quarterly"/>
      <sheetName val="Deflators_original"/>
    </sheetNames>
    <sheetDataSet>
      <sheetData sheetId="0"/>
      <sheetData sheetId="1"/>
      <sheetData sheetId="2"/>
      <sheetData sheetId="3"/>
      <sheetData sheetId="4"/>
      <sheetData sheetId="5">
        <row r="13">
          <cell r="GO13">
            <v>589.5</v>
          </cell>
        </row>
        <row r="31">
          <cell r="GO31">
            <v>2223</v>
          </cell>
          <cell r="GP31">
            <v>2303.8000000000002</v>
          </cell>
          <cell r="GQ31">
            <v>2321.6999999999998</v>
          </cell>
          <cell r="GR31">
            <v>2337.1</v>
          </cell>
          <cell r="GS31">
            <v>2349.5</v>
          </cell>
          <cell r="GT31">
            <v>2414.4</v>
          </cell>
          <cell r="GU31">
            <v>4654.1000000000004</v>
          </cell>
          <cell r="GV31">
            <v>3504.7</v>
          </cell>
          <cell r="GW31">
            <v>2888.4</v>
          </cell>
          <cell r="GX31">
            <v>5138.1000000000004</v>
          </cell>
          <cell r="GY31">
            <v>3397.8</v>
          </cell>
          <cell r="GZ31">
            <v>3124.9</v>
          </cell>
          <cell r="HA31">
            <v>2952.6</v>
          </cell>
          <cell r="HB31">
            <v>2970.9</v>
          </cell>
          <cell r="HC31">
            <v>2976.2</v>
          </cell>
          <cell r="HD31">
            <v>2970.4</v>
          </cell>
          <cell r="HE31">
            <v>3024.4</v>
          </cell>
          <cell r="HF31">
            <v>3038.4</v>
          </cell>
          <cell r="HG31">
            <v>3049.1</v>
          </cell>
          <cell r="HH31">
            <v>3078</v>
          </cell>
          <cell r="HI31">
            <v>3095.6</v>
          </cell>
          <cell r="HJ31">
            <v>3201.1</v>
          </cell>
          <cell r="HK31">
            <v>3243.1</v>
          </cell>
          <cell r="HL31">
            <v>3283.8</v>
          </cell>
          <cell r="HM31">
            <v>3328.6</v>
          </cell>
          <cell r="HN31">
            <v>3452.4</v>
          </cell>
        </row>
        <row r="37">
          <cell r="GO37">
            <v>733.6</v>
          </cell>
          <cell r="GP37">
            <v>744.3</v>
          </cell>
          <cell r="GQ37">
            <v>762.3</v>
          </cell>
          <cell r="GR37">
            <v>772.2</v>
          </cell>
          <cell r="GS37">
            <v>772.1</v>
          </cell>
          <cell r="GT37">
            <v>760.8</v>
          </cell>
          <cell r="GU37">
            <v>811.3</v>
          </cell>
          <cell r="GV37">
            <v>850.3</v>
          </cell>
          <cell r="GW37">
            <v>840.3</v>
          </cell>
          <cell r="GX37">
            <v>869.7</v>
          </cell>
          <cell r="GY37">
            <v>913.8</v>
          </cell>
          <cell r="GZ37">
            <v>923.8</v>
          </cell>
          <cell r="HA37">
            <v>923.5</v>
          </cell>
          <cell r="HB37">
            <v>973.6</v>
          </cell>
          <cell r="HC37">
            <v>1010.5</v>
          </cell>
          <cell r="HD37">
            <v>1032.5999999999999</v>
          </cell>
          <cell r="HE37">
            <v>1096.5999999999999</v>
          </cell>
          <cell r="HF37">
            <v>1083.2</v>
          </cell>
          <cell r="HG37">
            <v>1111.0999999999999</v>
          </cell>
          <cell r="HH37">
            <v>1069.4000000000001</v>
          </cell>
          <cell r="HI37">
            <v>1061</v>
          </cell>
          <cell r="HJ37">
            <v>1113.5</v>
          </cell>
          <cell r="HK37">
            <v>1136.9000000000001</v>
          </cell>
          <cell r="HL37">
            <v>1154</v>
          </cell>
          <cell r="HM37">
            <v>1162.5</v>
          </cell>
          <cell r="HN37">
            <v>1176.2</v>
          </cell>
        </row>
        <row r="66">
          <cell r="GO66">
            <v>57.017000000000003</v>
          </cell>
          <cell r="GP66">
            <v>55.875</v>
          </cell>
          <cell r="GQ66">
            <v>54.335999999999999</v>
          </cell>
          <cell r="GR66">
            <v>54.345999999999997</v>
          </cell>
          <cell r="GS66">
            <v>54.290999999999997</v>
          </cell>
          <cell r="GT66">
            <v>61.624000000000002</v>
          </cell>
          <cell r="GU66">
            <v>105.667</v>
          </cell>
          <cell r="GV66">
            <v>105.886</v>
          </cell>
          <cell r="GW66">
            <v>106.60599999999999</v>
          </cell>
          <cell r="GX66">
            <v>145.78700000000001</v>
          </cell>
          <cell r="GY66">
            <v>155.346</v>
          </cell>
          <cell r="GZ66">
            <v>148.60300000000001</v>
          </cell>
          <cell r="HA66">
            <v>154.94</v>
          </cell>
          <cell r="HB66">
            <v>131.55099999999999</v>
          </cell>
          <cell r="HC66">
            <v>128.34899999999999</v>
          </cell>
          <cell r="HD66">
            <v>125.361</v>
          </cell>
          <cell r="HE66">
            <v>146.43</v>
          </cell>
          <cell r="HF66">
            <v>138.40799999999999</v>
          </cell>
          <cell r="HG66">
            <v>106.691</v>
          </cell>
          <cell r="HH66">
            <v>106.29600000000001</v>
          </cell>
          <cell r="HI66">
            <v>93.49</v>
          </cell>
          <cell r="HJ66">
            <v>92.007999999999996</v>
          </cell>
          <cell r="HK66">
            <v>96.12</v>
          </cell>
          <cell r="HL66">
            <v>102.79</v>
          </cell>
          <cell r="HM66">
            <v>98.516000000000005</v>
          </cell>
          <cell r="HN66">
            <v>95.266000000000005</v>
          </cell>
        </row>
        <row r="88">
          <cell r="GO88">
            <v>983861</v>
          </cell>
          <cell r="GP88">
            <v>1019190</v>
          </cell>
          <cell r="GQ88">
            <v>1026704</v>
          </cell>
          <cell r="GR88">
            <v>1034417</v>
          </cell>
          <cell r="GS88">
            <v>1042661</v>
          </cell>
          <cell r="GT88">
            <v>1068201</v>
          </cell>
          <cell r="GU88">
            <v>1075075</v>
          </cell>
          <cell r="GV88">
            <v>1080441</v>
          </cell>
          <cell r="GW88">
            <v>1087995</v>
          </cell>
          <cell r="GX88">
            <v>1105638</v>
          </cell>
          <cell r="GY88">
            <v>1109640</v>
          </cell>
          <cell r="GZ88">
            <v>1116948</v>
          </cell>
          <cell r="HA88">
            <v>1126174</v>
          </cell>
          <cell r="HB88">
            <v>1198452</v>
          </cell>
          <cell r="HC88">
            <v>1207163</v>
          </cell>
          <cell r="HD88">
            <v>1214781</v>
          </cell>
          <cell r="HE88">
            <v>1225619</v>
          </cell>
          <cell r="HF88">
            <v>1339904</v>
          </cell>
          <cell r="HG88">
            <v>1353283</v>
          </cell>
          <cell r="HH88">
            <v>1360723</v>
          </cell>
          <cell r="HI88">
            <v>1373982</v>
          </cell>
          <cell r="HJ88">
            <v>1426547</v>
          </cell>
          <cell r="HK88">
            <v>1439730</v>
          </cell>
          <cell r="HL88">
            <v>1453137</v>
          </cell>
          <cell r="HM88">
            <v>1467916</v>
          </cell>
          <cell r="HN88">
            <v>1528789</v>
          </cell>
        </row>
        <row r="89">
          <cell r="GX89">
            <v>34.4</v>
          </cell>
          <cell r="GY89">
            <v>34.4</v>
          </cell>
          <cell r="GZ89">
            <v>218.933333333333</v>
          </cell>
          <cell r="HA89">
            <v>223.13333333333301</v>
          </cell>
          <cell r="HB89">
            <v>94.3</v>
          </cell>
          <cell r="HC89">
            <v>94.3</v>
          </cell>
          <cell r="HD89">
            <v>94.3</v>
          </cell>
          <cell r="HE89">
            <v>94.3</v>
          </cell>
        </row>
      </sheetData>
      <sheetData sheetId="6"/>
      <sheetData sheetId="7"/>
      <sheetData sheetId="8"/>
      <sheetData sheetId="9"/>
      <sheetData sheetId="10"/>
      <sheetData sheetId="11"/>
      <sheetData sheetId="12">
        <row r="20">
          <cell r="D20">
            <v>0</v>
          </cell>
          <cell r="E20">
            <v>0</v>
          </cell>
          <cell r="F20">
            <v>0</v>
          </cell>
          <cell r="G20">
            <v>0</v>
          </cell>
          <cell r="H20">
            <v>0</v>
          </cell>
          <cell r="I20">
            <v>0</v>
          </cell>
          <cell r="J20">
            <v>779.80000000000007</v>
          </cell>
          <cell r="K20">
            <v>586.29999999999995</v>
          </cell>
          <cell r="L20">
            <v>229.4</v>
          </cell>
          <cell r="M20">
            <v>523.1</v>
          </cell>
          <cell r="N20">
            <v>405.3</v>
          </cell>
          <cell r="O20">
            <v>209.20000000000002</v>
          </cell>
          <cell r="P20">
            <v>6.1000000000000014</v>
          </cell>
          <cell r="Q20">
            <v>0.19999999999999929</v>
          </cell>
          <cell r="R20">
            <v>1.1000000000000014</v>
          </cell>
          <cell r="S20">
            <v>0.5</v>
          </cell>
          <cell r="T20">
            <v>0.30000000000000071</v>
          </cell>
          <cell r="U20">
            <v>0</v>
          </cell>
          <cell r="V20">
            <v>0</v>
          </cell>
          <cell r="W20">
            <v>0</v>
          </cell>
          <cell r="X20">
            <v>4.632399999999997</v>
          </cell>
          <cell r="Y20">
            <v>3.0799999999999947</v>
          </cell>
          <cell r="Z20">
            <v>0</v>
          </cell>
          <cell r="AA20">
            <v>0</v>
          </cell>
          <cell r="AB20">
            <v>0.39999999999999858</v>
          </cell>
          <cell r="AC20">
            <v>9.9999999999994316E-2</v>
          </cell>
          <cell r="AD20">
            <v>0</v>
          </cell>
          <cell r="AE20">
            <v>0</v>
          </cell>
          <cell r="AF20">
            <v>0</v>
          </cell>
          <cell r="AG20">
            <v>0</v>
          </cell>
          <cell r="AH20">
            <v>0</v>
          </cell>
          <cell r="AI20">
            <v>0</v>
          </cell>
          <cell r="AJ20">
            <v>0</v>
          </cell>
          <cell r="AK20">
            <v>0</v>
          </cell>
          <cell r="AL20">
            <v>0</v>
          </cell>
          <cell r="AM20">
            <v>0</v>
          </cell>
          <cell r="AN20">
            <v>0</v>
          </cell>
        </row>
        <row r="21">
          <cell r="D21">
            <v>27.1</v>
          </cell>
          <cell r="E21">
            <v>29.6</v>
          </cell>
          <cell r="F21">
            <v>27.3</v>
          </cell>
          <cell r="G21">
            <v>26.4</v>
          </cell>
          <cell r="H21">
            <v>26.7</v>
          </cell>
          <cell r="I21">
            <v>40.1</v>
          </cell>
          <cell r="J21">
            <v>171.69999999999996</v>
          </cell>
          <cell r="K21">
            <v>213.7</v>
          </cell>
          <cell r="L21">
            <v>93.299999999999983</v>
          </cell>
          <cell r="M21">
            <v>60.699999999999932</v>
          </cell>
          <cell r="N21">
            <v>35.5</v>
          </cell>
          <cell r="O21">
            <v>3.5999999999999943</v>
          </cell>
          <cell r="P21">
            <v>25.7</v>
          </cell>
          <cell r="Q21">
            <v>24.3</v>
          </cell>
          <cell r="R21">
            <v>20.599999999999998</v>
          </cell>
          <cell r="S21">
            <v>22.6</v>
          </cell>
          <cell r="T21">
            <v>25.599999999999998</v>
          </cell>
          <cell r="U21">
            <v>30.1</v>
          </cell>
          <cell r="V21">
            <v>30.960000000000004</v>
          </cell>
          <cell r="W21">
            <v>30.960000000000004</v>
          </cell>
          <cell r="X21">
            <v>30.6676</v>
          </cell>
          <cell r="Y21">
            <v>31.820000000000004</v>
          </cell>
          <cell r="Z21">
            <v>34.9</v>
          </cell>
          <cell r="AA21">
            <v>35.700000000000003</v>
          </cell>
          <cell r="AB21">
            <v>35.700000000000003</v>
          </cell>
          <cell r="AC21">
            <v>35.700000000000003</v>
          </cell>
          <cell r="AD21">
            <v>35.700000000000003</v>
          </cell>
          <cell r="AE21">
            <v>35.700000000000003</v>
          </cell>
          <cell r="AF21">
            <v>35.700000000000003</v>
          </cell>
          <cell r="AG21">
            <v>35.700000000000003</v>
          </cell>
          <cell r="AH21">
            <v>35.700000000000003</v>
          </cell>
          <cell r="AI21">
            <v>35.700000000000003</v>
          </cell>
          <cell r="AJ21">
            <v>35.700000000000003</v>
          </cell>
          <cell r="AK21">
            <v>36.700000000000003</v>
          </cell>
          <cell r="AL21">
            <v>37.700000000000003</v>
          </cell>
          <cell r="AM21">
            <v>38.700000000000003</v>
          </cell>
          <cell r="AN21">
            <v>39.700000000000003</v>
          </cell>
        </row>
      </sheetData>
      <sheetData sheetId="13"/>
      <sheetData sheetId="14"/>
      <sheetData sheetId="15"/>
      <sheetData sheetId="16"/>
      <sheetData sheetId="17">
        <row r="27">
          <cell r="D27">
            <v>589.5</v>
          </cell>
          <cell r="E27">
            <v>598.70000000000005</v>
          </cell>
          <cell r="F27">
            <v>614.4</v>
          </cell>
          <cell r="G27">
            <v>622.4</v>
          </cell>
          <cell r="H27">
            <v>620.6</v>
          </cell>
          <cell r="I27">
            <v>606.5</v>
          </cell>
          <cell r="J27">
            <v>654.6</v>
          </cell>
          <cell r="K27">
            <v>690.8</v>
          </cell>
          <cell r="L27">
            <v>678.6</v>
          </cell>
          <cell r="M27">
            <v>704.9</v>
          </cell>
          <cell r="N27">
            <v>745.6</v>
          </cell>
          <cell r="O27">
            <v>749.2</v>
          </cell>
          <cell r="P27">
            <v>746.3</v>
          </cell>
          <cell r="Q27">
            <v>791.9</v>
          </cell>
          <cell r="R27">
            <v>819.2</v>
          </cell>
          <cell r="S27">
            <v>819</v>
          </cell>
          <cell r="T27">
            <v>827.5</v>
          </cell>
          <cell r="U27">
            <v>877.6</v>
          </cell>
          <cell r="V27">
            <v>911.6</v>
          </cell>
          <cell r="W27">
            <v>867.2</v>
          </cell>
          <cell r="X27">
            <v>856.2</v>
          </cell>
          <cell r="Y27">
            <v>904.8</v>
          </cell>
          <cell r="Z27">
            <v>924.7</v>
          </cell>
          <cell r="AA27">
            <v>932.4</v>
          </cell>
          <cell r="AB27">
            <v>944.8</v>
          </cell>
          <cell r="AC27">
            <v>957.6</v>
          </cell>
          <cell r="AD27">
            <v>969.02169234293717</v>
          </cell>
          <cell r="AE27">
            <v>985.63925302097391</v>
          </cell>
          <cell r="AF27">
            <v>1000.6374493152194</v>
          </cell>
          <cell r="AG27">
            <v>1015.8638689593278</v>
          </cell>
          <cell r="AH27">
            <v>1031.3219847640555</v>
          </cell>
          <cell r="AI27">
            <v>1047.0153223849477</v>
          </cell>
          <cell r="AJ27">
            <v>1062.6373302089942</v>
          </cell>
          <cell r="AK27">
            <v>1078.4924264351268</v>
          </cell>
          <cell r="AL27">
            <v>1094.5840888623457</v>
          </cell>
          <cell r="AM27">
            <v>1110.9158471802029</v>
          </cell>
          <cell r="AN27" t="e">
            <v>#DIV/0!</v>
          </cell>
        </row>
      </sheetData>
      <sheetData sheetId="18">
        <row r="10">
          <cell r="D10">
            <v>755</v>
          </cell>
          <cell r="E10">
            <v>773.5</v>
          </cell>
          <cell r="F10">
            <v>788.5</v>
          </cell>
          <cell r="G10">
            <v>798</v>
          </cell>
          <cell r="H10">
            <v>802</v>
          </cell>
          <cell r="I10">
            <v>801.9</v>
          </cell>
          <cell r="J10">
            <v>814.3</v>
          </cell>
          <cell r="K10">
            <v>826.6</v>
          </cell>
          <cell r="L10">
            <v>838.8</v>
          </cell>
          <cell r="M10">
            <v>854.9</v>
          </cell>
          <cell r="N10">
            <v>871.2</v>
          </cell>
          <cell r="O10">
            <v>887.1</v>
          </cell>
          <cell r="P10">
            <v>902.4</v>
          </cell>
          <cell r="Q10">
            <v>917.6</v>
          </cell>
          <cell r="R10">
            <v>926.6</v>
          </cell>
          <cell r="S10">
            <v>937.4</v>
          </cell>
          <cell r="T10">
            <v>958.5</v>
          </cell>
          <cell r="U10">
            <v>981.1</v>
          </cell>
          <cell r="V10">
            <v>1001.8</v>
          </cell>
          <cell r="W10">
            <v>1019.9</v>
          </cell>
          <cell r="X10">
            <v>1035.3</v>
          </cell>
          <cell r="Y10">
            <v>1049.2</v>
          </cell>
          <cell r="Z10">
            <v>1067.0999999999999</v>
          </cell>
          <cell r="AA10">
            <v>1090.2</v>
          </cell>
          <cell r="AB10">
            <v>1118.5</v>
          </cell>
          <cell r="AC10">
            <v>1150.3</v>
          </cell>
          <cell r="AD10">
            <v>1179.9491604763948</v>
          </cell>
          <cell r="AE10">
            <v>1194.9759053306122</v>
          </cell>
          <cell r="AF10">
            <v>1212.8587157717825</v>
          </cell>
          <cell r="AG10">
            <v>1231.0091424116126</v>
          </cell>
          <cell r="AH10">
            <v>1249.431190125624</v>
          </cell>
          <cell r="AI10">
            <v>1268.1289237222863</v>
          </cell>
          <cell r="AJ10">
            <v>1287.2701699300753</v>
          </cell>
          <cell r="AK10">
            <v>1306.7003357418046</v>
          </cell>
          <cell r="AL10">
            <v>1326.4237821346351</v>
          </cell>
          <cell r="AM10">
            <v>1346.4449359106889</v>
          </cell>
          <cell r="AN10">
            <v>1346.4449359106889</v>
          </cell>
        </row>
      </sheetData>
      <sheetData sheetId="19"/>
      <sheetData sheetId="20"/>
      <sheetData sheetId="21"/>
      <sheetData sheetId="22"/>
      <sheetData sheetId="23"/>
      <sheetData sheetId="24"/>
      <sheetData sheetId="25"/>
      <sheetData sheetId="26">
        <row r="53">
          <cell r="J53">
            <v>57.2</v>
          </cell>
          <cell r="K53">
            <v>81.2</v>
          </cell>
          <cell r="L53">
            <v>24.4</v>
          </cell>
          <cell r="M53">
            <v>11.7</v>
          </cell>
          <cell r="N53">
            <v>28.5</v>
          </cell>
          <cell r="O53">
            <v>18.8</v>
          </cell>
          <cell r="P53">
            <v>1.6</v>
          </cell>
        </row>
      </sheetData>
      <sheetData sheetId="27">
        <row r="11">
          <cell r="J11">
            <v>160.9</v>
          </cell>
          <cell r="K11">
            <v>58.4</v>
          </cell>
          <cell r="L11">
            <v>34.5</v>
          </cell>
          <cell r="M11">
            <v>21.4</v>
          </cell>
          <cell r="N11">
            <v>13.3</v>
          </cell>
          <cell r="O11">
            <v>18.7</v>
          </cell>
          <cell r="P11">
            <v>32.200000000000003</v>
          </cell>
          <cell r="Q11">
            <v>26.9</v>
          </cell>
          <cell r="R11">
            <v>20</v>
          </cell>
          <cell r="S11">
            <v>8.1</v>
          </cell>
          <cell r="T11">
            <v>4.9000000000000004</v>
          </cell>
        </row>
      </sheetData>
      <sheetData sheetId="28">
        <row r="10">
          <cell r="M10">
            <v>1348.1</v>
          </cell>
          <cell r="N10">
            <v>290.10000000000002</v>
          </cell>
          <cell r="O10">
            <v>38.9</v>
          </cell>
          <cell r="P10">
            <v>14.2</v>
          </cell>
          <cell r="Q10">
            <v>0</v>
          </cell>
          <cell r="S10">
            <v>0</v>
          </cell>
          <cell r="T10">
            <v>0</v>
          </cell>
        </row>
        <row r="11">
          <cell r="J11">
            <v>1078.0999999999999</v>
          </cell>
          <cell r="K11">
            <v>15.6</v>
          </cell>
          <cell r="L11">
            <v>5</v>
          </cell>
          <cell r="M11">
            <v>585.6</v>
          </cell>
          <cell r="N11">
            <v>0</v>
          </cell>
          <cell r="O11">
            <v>0</v>
          </cell>
          <cell r="P11">
            <v>0</v>
          </cell>
          <cell r="Q11">
            <v>0</v>
          </cell>
          <cell r="R11">
            <v>0</v>
          </cell>
          <cell r="S11">
            <v>0</v>
          </cell>
        </row>
      </sheetData>
      <sheetData sheetId="29"/>
      <sheetData sheetId="30">
        <row r="191">
          <cell r="E191">
            <v>-0.622</v>
          </cell>
          <cell r="F191">
            <v>21.89</v>
          </cell>
          <cell r="G191">
            <v>21.89</v>
          </cell>
          <cell r="H191">
            <v>21.89</v>
          </cell>
          <cell r="I191">
            <v>21.89</v>
          </cell>
          <cell r="J191">
            <v>15.439</v>
          </cell>
          <cell r="K191">
            <v>15.439</v>
          </cell>
          <cell r="L191">
            <v>15.439</v>
          </cell>
          <cell r="M191">
            <v>15.439</v>
          </cell>
          <cell r="N191">
            <v>16.966999999999999</v>
          </cell>
          <cell r="O191">
            <v>16.966999999999999</v>
          </cell>
          <cell r="P191">
            <v>16.966999999999999</v>
          </cell>
          <cell r="Q191">
            <v>16.966999999999999</v>
          </cell>
          <cell r="R191">
            <v>0.72799999999999998</v>
          </cell>
          <cell r="S191">
            <v>0.72799999999999998</v>
          </cell>
        </row>
      </sheetData>
      <sheetData sheetId="31"/>
      <sheetData sheetId="32"/>
      <sheetData sheetId="33"/>
      <sheetData sheetId="34">
        <row r="4">
          <cell r="C4">
            <v>0</v>
          </cell>
          <cell r="D4">
            <v>0</v>
          </cell>
          <cell r="E4">
            <v>3.1040000000000418</v>
          </cell>
          <cell r="F4">
            <v>19.719000000000005</v>
          </cell>
          <cell r="G4">
            <v>19.719000000000005</v>
          </cell>
          <cell r="H4">
            <v>19.719000000000005</v>
          </cell>
          <cell r="I4">
            <v>19.719000000000005</v>
          </cell>
          <cell r="J4">
            <v>1.4159999999999999</v>
          </cell>
          <cell r="K4">
            <v>1.4159999999999999</v>
          </cell>
          <cell r="L4">
            <v>1.4159999999999999</v>
          </cell>
          <cell r="M4">
            <v>1.4159999999999999</v>
          </cell>
          <cell r="N4">
            <v>1.4790000000000001</v>
          </cell>
          <cell r="O4">
            <v>1.4790000000000001</v>
          </cell>
          <cell r="P4">
            <v>1.4790000000000001</v>
          </cell>
          <cell r="Q4">
            <v>1.4790000000000001</v>
          </cell>
          <cell r="R4">
            <v>1.63</v>
          </cell>
          <cell r="S4">
            <v>1.63</v>
          </cell>
          <cell r="T4">
            <v>1.63</v>
          </cell>
          <cell r="U4">
            <v>1.63</v>
          </cell>
          <cell r="V4">
            <v>1.671</v>
          </cell>
        </row>
        <row r="5">
          <cell r="C5">
            <v>0</v>
          </cell>
          <cell r="D5">
            <v>33.921840000000024</v>
          </cell>
          <cell r="E5">
            <v>44.966160000000031</v>
          </cell>
          <cell r="F5">
            <v>52.756999999999998</v>
          </cell>
          <cell r="G5">
            <v>52.756999999999998</v>
          </cell>
          <cell r="H5">
            <v>52.756999999999998</v>
          </cell>
          <cell r="I5">
            <v>52.756999999999998</v>
          </cell>
          <cell r="K5">
            <v>12</v>
          </cell>
          <cell r="L5">
            <v>12</v>
          </cell>
          <cell r="M5">
            <v>12</v>
          </cell>
          <cell r="N5">
            <v>4.2219999999999995</v>
          </cell>
          <cell r="O5">
            <v>4.2219999999999995</v>
          </cell>
          <cell r="P5">
            <v>4.2219999999999995</v>
          </cell>
          <cell r="Q5">
            <v>4.2219999999999995</v>
          </cell>
          <cell r="R5">
            <v>2.3719999999999999</v>
          </cell>
          <cell r="S5">
            <v>2.3719999999999999</v>
          </cell>
          <cell r="T5">
            <v>2.3719999999999999</v>
          </cell>
          <cell r="U5">
            <v>2.3719999999999999</v>
          </cell>
          <cell r="V5">
            <v>0.49</v>
          </cell>
        </row>
      </sheetData>
      <sheetData sheetId="35"/>
    </sheetDataSet>
  </externalBook>
</externalLink>
</file>

<file path=xl/persons/person.xml><?xml version="1.0" encoding="utf-8"?>
<personList xmlns="http://schemas.microsoft.com/office/spreadsheetml/2018/threadedcomments" xmlns:x="http://schemas.openxmlformats.org/spreadsheetml/2006/main">
  <person displayName="Lorae Stojanovic" id="{4C0C5F85-AD1E-4C57-B372-003AF5B78A9F}" userId="76717fca21b29efe" providerId="Windows Live"/>
  <person displayName="Sarah Ahmad" id="{B61C96CF-201E-4FBB-AE0C-863888EC2CC5}" userId="S::SAhmad@brookings.edu::a57a138b-f8b3-487b-af77-be2c9712b9ab" providerId="AD"/>
  <person displayName="Georgia Nabors" id="{09FAC3F1-DFDB-4CF8-9903-358701529E2B}" userId="S::GNabors@brookings.edu::bf73830e-2c32-4056-bde4-c18f62567b12" providerId="AD"/>
  <person displayName="Nasiha Salwati" id="{104078EE-2393-4C21-9029-18A325FBDB70}" userId="S::NSalwati@brookings.edu::56697e1b-7df9-4616-9709-1ef1f12cb369" providerId="AD"/>
  <person displayName="Sophia Campbell" id="{58CF8BEC-4104-46F7-BE4F-2C9403635492}" userId="S::SCampbell@brookings.edu::08ba02a6-9c19-44f8-b6b8-8043641915ad" providerId="AD"/>
  <person displayName="Elijah Asdourian" id="{609654FB-393E-4954-B3A3-EDB231775774}" userId="S::EAsdourian@brookings.edu::05735e4b-1dea-47b6-8667-a6d50e66dfd7" providerId="AD"/>
  <person displayName="Lorae Stojanovic" id="{2C68A5A1-706F-4A3E-93A3-741BBABEC4EA}" userId="S::LStojanovic@brookings.edu::cf5406ac-934d-4a58-b1cc-e481841cfe10" providerId="AD"/>
  <person displayName="Manuel Alcala Kovalski" id="{6F934F46-906E-4DFC-AA15-8C66AF925C04}" userId="S::malcalakovalski@brookings.edu::65ca0f03-2f5c-48fe-8ae6-628c3a907f64"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Lorae Stojanovic" refreshedDate="45043.430503703705" createdVersion="7" refreshedVersion="7" minRefreshableVersion="3" recordCount="72" xr:uid="{B77C5B51-7D2A-4D29-B220-29C5221BA17D}">
  <cacheSource type="worksheet">
    <worksheetSource ref="B28:C100" sheet="Unemployment Insurance - lorae"/>
  </cacheSource>
  <cacheFields count="4">
    <cacheField name="Monthly Unemployment Rate from the BLS" numFmtId="14">
      <sharedItems containsSemiMixedTypes="0" containsNonDate="0" containsDate="1" containsString="0" minDate="2021-01-01T00:00:00" maxDate="2026-12-02T00:00:00" count="72">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d v="2026-10-01T00:00:00"/>
        <d v="2026-11-01T00:00:00"/>
        <d v="2026-12-01T00:00:00"/>
      </sharedItems>
      <fieldGroup par="3" base="0">
        <rangePr groupBy="months" startDate="2021-01-01T00:00:00" endDate="2026-12-02T00:00:00"/>
        <groupItems count="14">
          <s v="&lt;1/1/2021"/>
          <s v="Jan"/>
          <s v="Feb"/>
          <s v="Mar"/>
          <s v="Apr"/>
          <s v="May"/>
          <s v="Jun"/>
          <s v="Jul"/>
          <s v="Aug"/>
          <s v="Sep"/>
          <s v="Oct"/>
          <s v="Nov"/>
          <s v="Dec"/>
          <s v="&gt;12/2/2026"/>
        </groupItems>
      </fieldGroup>
    </cacheField>
    <cacheField name="Monthly UR" numFmtId="0">
      <sharedItems containsString="0" containsBlank="1" containsNumber="1" minValue="3.4" maxValue="6.3"/>
    </cacheField>
    <cacheField name="Quarters" numFmtId="0" databaseField="0">
      <fieldGroup base="0">
        <rangePr groupBy="quarters" startDate="2021-01-01T00:00:00" endDate="2026-12-02T00:00:00"/>
        <groupItems count="6">
          <s v="&lt;1/1/2021"/>
          <s v="Qtr1"/>
          <s v="Qtr2"/>
          <s v="Qtr3"/>
          <s v="Qtr4"/>
          <s v="&gt;12/2/2026"/>
        </groupItems>
      </fieldGroup>
    </cacheField>
    <cacheField name="Years" numFmtId="0" databaseField="0">
      <fieldGroup base="0">
        <rangePr groupBy="years" startDate="2021-01-01T00:00:00" endDate="2026-12-02T00:00:00"/>
        <groupItems count="8">
          <s v="&lt;1/1/2021"/>
          <s v="2021"/>
          <s v="2022"/>
          <s v="2023"/>
          <s v="2024"/>
          <s v="2025"/>
          <s v="2026"/>
          <s v="&gt;12/2/2026"/>
        </groupItems>
      </fieldGroup>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B3DFE-359A-4237-8982-1AC031D74EAF}" name="PivotTable1" cacheId="1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30:F60"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78">
      <pivotArea field="3" type="button" dataOnly="0" labelOnly="1" outline="0" axis="axisRow" fieldPosition="0"/>
    </format>
    <format dxfId="77">
      <pivotArea dataOnly="0" labelOnly="1" outline="0" axis="axisValues" fieldPosition="0"/>
    </format>
    <format dxfId="76">
      <pivotArea collapsedLevelsAreSubtotals="1" fieldPosition="0">
        <references count="2">
          <reference field="2" count="1">
            <x v="1"/>
          </reference>
          <reference field="3" count="1" selected="0">
            <x v="1"/>
          </reference>
        </references>
      </pivotArea>
    </format>
    <format dxfId="75">
      <pivotArea collapsedLevelsAreSubtotals="1" fieldPosition="0">
        <references count="2">
          <reference field="2" count="1">
            <x v="2"/>
          </reference>
          <reference field="3" count="1" selected="0">
            <x v="1"/>
          </reference>
        </references>
      </pivotArea>
    </format>
    <format dxfId="74">
      <pivotArea collapsedLevelsAreSubtotals="1" fieldPosition="0">
        <references count="2">
          <reference field="2" count="1">
            <x v="3"/>
          </reference>
          <reference field="3" count="1" selected="0">
            <x v="1"/>
          </reference>
        </references>
      </pivotArea>
    </format>
    <format dxfId="73">
      <pivotArea collapsedLevelsAreSubtotals="1" fieldPosition="0">
        <references count="2">
          <reference field="2" count="1">
            <x v="4"/>
          </reference>
          <reference field="3" count="1" selected="0">
            <x v="1"/>
          </reference>
        </references>
      </pivotArea>
    </format>
    <format dxfId="72">
      <pivotArea collapsedLevelsAreSubtotals="1" fieldPosition="0">
        <references count="1">
          <reference field="3" count="1">
            <x v="2"/>
          </reference>
        </references>
      </pivotArea>
    </format>
    <format dxfId="71">
      <pivotArea collapsedLevelsAreSubtotals="1" fieldPosition="0">
        <references count="2">
          <reference field="2" count="1">
            <x v="1"/>
          </reference>
          <reference field="3" count="1" selected="0">
            <x v="2"/>
          </reference>
        </references>
      </pivotArea>
    </format>
    <format dxfId="70">
      <pivotArea collapsedLevelsAreSubtotals="1" fieldPosition="0">
        <references count="2">
          <reference field="2" count="1">
            <x v="2"/>
          </reference>
          <reference field="3" count="1" selected="0">
            <x v="2"/>
          </reference>
        </references>
      </pivotArea>
    </format>
    <format dxfId="69">
      <pivotArea collapsedLevelsAreSubtotals="1" fieldPosition="0">
        <references count="2">
          <reference field="2" count="1">
            <x v="3"/>
          </reference>
          <reference field="3" count="1" selected="0">
            <x v="2"/>
          </reference>
        </references>
      </pivotArea>
    </format>
    <format dxfId="68">
      <pivotArea collapsedLevelsAreSubtotals="1" fieldPosition="0">
        <references count="2">
          <reference field="2" count="1">
            <x v="4"/>
          </reference>
          <reference field="3" count="1" selected="0">
            <x v="2"/>
          </reference>
        </references>
      </pivotArea>
    </format>
    <format dxfId="67">
      <pivotArea collapsedLevelsAreSubtotals="1" fieldPosition="0">
        <references count="1">
          <reference field="3" count="1">
            <x v="3"/>
          </reference>
        </references>
      </pivotArea>
    </format>
    <format dxfId="66">
      <pivotArea collapsedLevelsAreSubtotals="1" fieldPosition="0">
        <references count="2">
          <reference field="2" count="1">
            <x v="1"/>
          </reference>
          <reference field="3" count="1" selected="0">
            <x v="3"/>
          </reference>
        </references>
      </pivotArea>
    </format>
    <format dxfId="65">
      <pivotArea collapsedLevelsAreSubtotals="1" fieldPosition="0">
        <references count="2">
          <reference field="2" count="1">
            <x v="2"/>
          </reference>
          <reference field="3" count="1" selected="0">
            <x v="3"/>
          </reference>
        </references>
      </pivotArea>
    </format>
    <format dxfId="64">
      <pivotArea collapsedLevelsAreSubtotals="1" fieldPosition="0">
        <references count="2">
          <reference field="2" count="1">
            <x v="3"/>
          </reference>
          <reference field="3" count="1" selected="0">
            <x v="3"/>
          </reference>
        </references>
      </pivotArea>
    </format>
    <format dxfId="63">
      <pivotArea collapsedLevelsAreSubtotals="1" fieldPosition="0">
        <references count="2">
          <reference field="2" count="1">
            <x v="4"/>
          </reference>
          <reference field="3" count="1" selected="0">
            <x v="3"/>
          </reference>
        </references>
      </pivotArea>
    </format>
    <format dxfId="62">
      <pivotArea collapsedLevelsAreSubtotals="1" fieldPosition="0">
        <references count="1">
          <reference field="3" count="1">
            <x v="4"/>
          </reference>
        </references>
      </pivotArea>
    </format>
    <format dxfId="61">
      <pivotArea collapsedLevelsAreSubtotals="1" fieldPosition="0">
        <references count="2">
          <reference field="2" count="1">
            <x v="1"/>
          </reference>
          <reference field="3" count="1" selected="0">
            <x v="4"/>
          </reference>
        </references>
      </pivotArea>
    </format>
    <format dxfId="60">
      <pivotArea collapsedLevelsAreSubtotals="1" fieldPosition="0">
        <references count="2">
          <reference field="2" count="1">
            <x v="2"/>
          </reference>
          <reference field="3" count="1" selected="0">
            <x v="4"/>
          </reference>
        </references>
      </pivotArea>
    </format>
    <format dxfId="59">
      <pivotArea collapsedLevelsAreSubtotals="1" fieldPosition="0">
        <references count="2">
          <reference field="2" count="1">
            <x v="3"/>
          </reference>
          <reference field="3" count="1" selected="0">
            <x v="4"/>
          </reference>
        </references>
      </pivotArea>
    </format>
    <format dxfId="58">
      <pivotArea collapsedLevelsAreSubtotals="1" fieldPosition="0">
        <references count="2">
          <reference field="2" count="1">
            <x v="4"/>
          </reference>
          <reference field="3" count="1" selected="0">
            <x v="4"/>
          </reference>
        </references>
      </pivotArea>
    </format>
    <format dxfId="57">
      <pivotArea collapsedLevelsAreSubtotals="1" fieldPosition="0">
        <references count="1">
          <reference field="3" count="1">
            <x v="5"/>
          </reference>
        </references>
      </pivotArea>
    </format>
    <format dxfId="56">
      <pivotArea collapsedLevelsAreSubtotals="1" fieldPosition="0">
        <references count="2">
          <reference field="2" count="1">
            <x v="1"/>
          </reference>
          <reference field="3" count="1" selected="0">
            <x v="5"/>
          </reference>
        </references>
      </pivotArea>
    </format>
    <format dxfId="55">
      <pivotArea collapsedLevelsAreSubtotals="1" fieldPosition="0">
        <references count="2">
          <reference field="2" count="1">
            <x v="2"/>
          </reference>
          <reference field="3" count="1" selected="0">
            <x v="5"/>
          </reference>
        </references>
      </pivotArea>
    </format>
    <format dxfId="54">
      <pivotArea collapsedLevelsAreSubtotals="1" fieldPosition="0">
        <references count="2">
          <reference field="2" count="1">
            <x v="3"/>
          </reference>
          <reference field="3" count="1" selected="0">
            <x v="5"/>
          </reference>
        </references>
      </pivotArea>
    </format>
    <format dxfId="53">
      <pivotArea collapsedLevelsAreSubtotals="1" fieldPosition="0">
        <references count="2">
          <reference field="2" count="1">
            <x v="4"/>
          </reference>
          <reference field="3" count="1" selected="0">
            <x v="5"/>
          </reference>
        </references>
      </pivotArea>
    </format>
    <format dxfId="52">
      <pivotArea collapsedLevelsAreSubtotals="1" fieldPosition="0">
        <references count="1">
          <reference field="3" count="1">
            <x v="6"/>
          </reference>
        </references>
      </pivotArea>
    </format>
    <format dxfId="51">
      <pivotArea collapsedLevelsAreSubtotals="1" fieldPosition="0">
        <references count="2">
          <reference field="2" count="1">
            <x v="1"/>
          </reference>
          <reference field="3" count="1" selected="0">
            <x v="6"/>
          </reference>
        </references>
      </pivotArea>
    </format>
    <format dxfId="50">
      <pivotArea collapsedLevelsAreSubtotals="1" fieldPosition="0">
        <references count="2">
          <reference field="2" count="1">
            <x v="2"/>
          </reference>
          <reference field="3" count="1" selected="0">
            <x v="6"/>
          </reference>
        </references>
      </pivotArea>
    </format>
    <format dxfId="49">
      <pivotArea collapsedLevelsAreSubtotals="1" fieldPosition="0">
        <references count="2">
          <reference field="2" count="1">
            <x v="3"/>
          </reference>
          <reference field="3" count="1" selected="0">
            <x v="6"/>
          </reference>
        </references>
      </pivotArea>
    </format>
    <format dxfId="48">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DF87BD-F3DA-4174-9821-F8EF530C3874}" name="PivotTable1" cacheId="1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28:F58"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47">
      <pivotArea field="3" type="button" dataOnly="0" labelOnly="1" outline="0" axis="axisRow" fieldPosition="0"/>
    </format>
    <format dxfId="46">
      <pivotArea dataOnly="0" labelOnly="1" outline="0" axis="axisValues" fieldPosition="0"/>
    </format>
    <format dxfId="45">
      <pivotArea collapsedLevelsAreSubtotals="1" fieldPosition="0">
        <references count="2">
          <reference field="2" count="1">
            <x v="1"/>
          </reference>
          <reference field="3" count="1" selected="0">
            <x v="1"/>
          </reference>
        </references>
      </pivotArea>
    </format>
    <format dxfId="44">
      <pivotArea collapsedLevelsAreSubtotals="1" fieldPosition="0">
        <references count="2">
          <reference field="2" count="1">
            <x v="2"/>
          </reference>
          <reference field="3" count="1" selected="0">
            <x v="1"/>
          </reference>
        </references>
      </pivotArea>
    </format>
    <format dxfId="43">
      <pivotArea collapsedLevelsAreSubtotals="1" fieldPosition="0">
        <references count="2">
          <reference field="2" count="1">
            <x v="3"/>
          </reference>
          <reference field="3" count="1" selected="0">
            <x v="1"/>
          </reference>
        </references>
      </pivotArea>
    </format>
    <format dxfId="42">
      <pivotArea collapsedLevelsAreSubtotals="1" fieldPosition="0">
        <references count="2">
          <reference field="2" count="1">
            <x v="4"/>
          </reference>
          <reference field="3" count="1" selected="0">
            <x v="1"/>
          </reference>
        </references>
      </pivotArea>
    </format>
    <format dxfId="41">
      <pivotArea collapsedLevelsAreSubtotals="1" fieldPosition="0">
        <references count="1">
          <reference field="3" count="1">
            <x v="2"/>
          </reference>
        </references>
      </pivotArea>
    </format>
    <format dxfId="40">
      <pivotArea collapsedLevelsAreSubtotals="1" fieldPosition="0">
        <references count="2">
          <reference field="2" count="1">
            <x v="1"/>
          </reference>
          <reference field="3" count="1" selected="0">
            <x v="2"/>
          </reference>
        </references>
      </pivotArea>
    </format>
    <format dxfId="39">
      <pivotArea collapsedLevelsAreSubtotals="1" fieldPosition="0">
        <references count="2">
          <reference field="2" count="1">
            <x v="2"/>
          </reference>
          <reference field="3" count="1" selected="0">
            <x v="2"/>
          </reference>
        </references>
      </pivotArea>
    </format>
    <format dxfId="38">
      <pivotArea collapsedLevelsAreSubtotals="1" fieldPosition="0">
        <references count="2">
          <reference field="2" count="1">
            <x v="3"/>
          </reference>
          <reference field="3" count="1" selected="0">
            <x v="2"/>
          </reference>
        </references>
      </pivotArea>
    </format>
    <format dxfId="37">
      <pivotArea collapsedLevelsAreSubtotals="1" fieldPosition="0">
        <references count="2">
          <reference field="2" count="1">
            <x v="4"/>
          </reference>
          <reference field="3" count="1" selected="0">
            <x v="2"/>
          </reference>
        </references>
      </pivotArea>
    </format>
    <format dxfId="36">
      <pivotArea collapsedLevelsAreSubtotals="1" fieldPosition="0">
        <references count="1">
          <reference field="3" count="1">
            <x v="3"/>
          </reference>
        </references>
      </pivotArea>
    </format>
    <format dxfId="35">
      <pivotArea collapsedLevelsAreSubtotals="1" fieldPosition="0">
        <references count="2">
          <reference field="2" count="1">
            <x v="1"/>
          </reference>
          <reference field="3" count="1" selected="0">
            <x v="3"/>
          </reference>
        </references>
      </pivotArea>
    </format>
    <format dxfId="34">
      <pivotArea collapsedLevelsAreSubtotals="1" fieldPosition="0">
        <references count="2">
          <reference field="2" count="1">
            <x v="2"/>
          </reference>
          <reference field="3" count="1" selected="0">
            <x v="3"/>
          </reference>
        </references>
      </pivotArea>
    </format>
    <format dxfId="33">
      <pivotArea collapsedLevelsAreSubtotals="1" fieldPosition="0">
        <references count="2">
          <reference field="2" count="1">
            <x v="3"/>
          </reference>
          <reference field="3" count="1" selected="0">
            <x v="3"/>
          </reference>
        </references>
      </pivotArea>
    </format>
    <format dxfId="32">
      <pivotArea collapsedLevelsAreSubtotals="1" fieldPosition="0">
        <references count="2">
          <reference field="2" count="1">
            <x v="4"/>
          </reference>
          <reference field="3" count="1" selected="0">
            <x v="3"/>
          </reference>
        </references>
      </pivotArea>
    </format>
    <format dxfId="31">
      <pivotArea collapsedLevelsAreSubtotals="1" fieldPosition="0">
        <references count="1">
          <reference field="3" count="1">
            <x v="4"/>
          </reference>
        </references>
      </pivotArea>
    </format>
    <format dxfId="30">
      <pivotArea collapsedLevelsAreSubtotals="1" fieldPosition="0">
        <references count="2">
          <reference field="2" count="1">
            <x v="1"/>
          </reference>
          <reference field="3" count="1" selected="0">
            <x v="4"/>
          </reference>
        </references>
      </pivotArea>
    </format>
    <format dxfId="29">
      <pivotArea collapsedLevelsAreSubtotals="1" fieldPosition="0">
        <references count="2">
          <reference field="2" count="1">
            <x v="2"/>
          </reference>
          <reference field="3" count="1" selected="0">
            <x v="4"/>
          </reference>
        </references>
      </pivotArea>
    </format>
    <format dxfId="28">
      <pivotArea collapsedLevelsAreSubtotals="1" fieldPosition="0">
        <references count="2">
          <reference field="2" count="1">
            <x v="3"/>
          </reference>
          <reference field="3" count="1" selected="0">
            <x v="4"/>
          </reference>
        </references>
      </pivotArea>
    </format>
    <format dxfId="27">
      <pivotArea collapsedLevelsAreSubtotals="1" fieldPosition="0">
        <references count="2">
          <reference field="2" count="1">
            <x v="4"/>
          </reference>
          <reference field="3" count="1" selected="0">
            <x v="4"/>
          </reference>
        </references>
      </pivotArea>
    </format>
    <format dxfId="26">
      <pivotArea collapsedLevelsAreSubtotals="1" fieldPosition="0">
        <references count="1">
          <reference field="3" count="1">
            <x v="5"/>
          </reference>
        </references>
      </pivotArea>
    </format>
    <format dxfId="25">
      <pivotArea collapsedLevelsAreSubtotals="1" fieldPosition="0">
        <references count="2">
          <reference field="2" count="1">
            <x v="1"/>
          </reference>
          <reference field="3" count="1" selected="0">
            <x v="5"/>
          </reference>
        </references>
      </pivotArea>
    </format>
    <format dxfId="24">
      <pivotArea collapsedLevelsAreSubtotals="1" fieldPosition="0">
        <references count="2">
          <reference field="2" count="1">
            <x v="2"/>
          </reference>
          <reference field="3" count="1" selected="0">
            <x v="5"/>
          </reference>
        </references>
      </pivotArea>
    </format>
    <format dxfId="23">
      <pivotArea collapsedLevelsAreSubtotals="1" fieldPosition="0">
        <references count="2">
          <reference field="2" count="1">
            <x v="3"/>
          </reference>
          <reference field="3" count="1" selected="0">
            <x v="5"/>
          </reference>
        </references>
      </pivotArea>
    </format>
    <format dxfId="22">
      <pivotArea collapsedLevelsAreSubtotals="1" fieldPosition="0">
        <references count="2">
          <reference field="2" count="1">
            <x v="4"/>
          </reference>
          <reference field="3" count="1" selected="0">
            <x v="5"/>
          </reference>
        </references>
      </pivotArea>
    </format>
    <format dxfId="21">
      <pivotArea collapsedLevelsAreSubtotals="1" fieldPosition="0">
        <references count="1">
          <reference field="3" count="1">
            <x v="6"/>
          </reference>
        </references>
      </pivotArea>
    </format>
    <format dxfId="20">
      <pivotArea collapsedLevelsAreSubtotals="1" fieldPosition="0">
        <references count="2">
          <reference field="2" count="1">
            <x v="1"/>
          </reference>
          <reference field="3" count="1" selected="0">
            <x v="6"/>
          </reference>
        </references>
      </pivotArea>
    </format>
    <format dxfId="19">
      <pivotArea collapsedLevelsAreSubtotals="1" fieldPosition="0">
        <references count="2">
          <reference field="2" count="1">
            <x v="2"/>
          </reference>
          <reference field="3" count="1" selected="0">
            <x v="6"/>
          </reference>
        </references>
      </pivotArea>
    </format>
    <format dxfId="18">
      <pivotArea collapsedLevelsAreSubtotals="1" fieldPosition="0">
        <references count="2">
          <reference field="2" count="1">
            <x v="3"/>
          </reference>
          <reference field="3" count="1" selected="0">
            <x v="6"/>
          </reference>
        </references>
      </pivotArea>
    </format>
    <format dxfId="17">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E6EBD-DE38-4D49-A30A-FBD05BFC04A2}" name="Table1" displayName="Table1" ref="A2:D50" totalsRowShown="0" headerRowDxfId="16" dataDxfId="15">
  <autoFilter ref="A2:D50" xr:uid="{AFE7EBBA-0E52-684B-AE3F-DAE47002C36D}"/>
  <tableColumns count="4">
    <tableColumn id="1" xr3:uid="{1CBC7486-21F3-4D68-AEAB-B260D3DC1265}" name="Provision" dataDxfId="14"/>
    <tableColumn id="2" xr3:uid="{B72D09CC-D35A-4A45-8D8D-9C97129E01A1}" name="Ten year cost (annualized)" dataDxfId="13"/>
    <tableColumn id="4" xr3:uid="{A8BE311C-E3F6-4043-8119-413ED4A13011}" name="Column1" dataDxfId="12"/>
    <tableColumn id="5" xr3:uid="{A41ECCE3-5E03-45CB-9B64-5E91C95099AB}" name="Column2" dataDxfId="11"/>
  </tableColumns>
  <tableStyleInfo name="TableStyleMedium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01-31T15:39:50.85" personId="{B61C96CF-201E-4FBB-AE0C-863888EC2CC5}" id="{C38F3C01-0C60-4CFA-B700-C810A0051A24}">
    <text>https://www.bea.gov/data/income-saving/personal-income</text>
    <extLst>
      <x:ext xmlns:xltc2="http://schemas.microsoft.com/office/spreadsheetml/2020/threadedcomments2" uri="{F7C98A9C-CBB3-438F-8F68-D28B6AF4A901}">
        <xltc2:checksum>2572769729</xltc2:checksum>
        <xltc2:hyperlink startIndex="0" length="54" url="https://www.bea.gov/data/income-saving/personal-income"/>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L10" dT="2023-01-27T19:07:20.15" personId="{609654FB-393E-4954-B3A3-EDB231775774}" id="{E01C7D51-1793-4A61-9FD5-357953FC571D}">
    <text>Q10, Q11, and Q12 mpcs were changed from 0% to 3.0%</text>
  </threadedComment>
</ThreadedComments>
</file>

<file path=xl/threadedComments/threadedComment3.xml><?xml version="1.0" encoding="utf-8"?>
<ThreadedComments xmlns="http://schemas.microsoft.com/office/spreadsheetml/2018/threadedcomments" xmlns:x="http://schemas.openxmlformats.org/spreadsheetml/2006/main">
  <threadedComment ref="W20" dT="2022-10-27T17:27:46.67" personId="{609654FB-393E-4954-B3A3-EDB231775774}" id="{8BCD2D6E-E5B2-4670-B5B5-84790E4FF7D9}">
    <text>We've hard coded these in as zeros. Do we want to keep that?</text>
  </threadedComment>
  <threadedComment ref="B23" dT="2022-07-27T15:11:58.57" personId="{104078EE-2393-4C21-9029-18A325FBDB70}" id="{D9A1C32B-382A-44CE-B60A-7CEFD093B9EC}">
    <text>May 2022, CBO Ten Year Economic Projections, Quarterly Table, Row 68</text>
  </threadedComment>
  <threadedComment ref="B23" dT="2023-02-15T19:26:55.88" personId="{609654FB-393E-4954-B3A3-EDB231775774}" id="{77410686-626C-4FA2-BC72-C063762FFDCE}" parentId="{D9A1C32B-382A-44CE-B60A-7CEFD093B9EC}">
    <text>This is now Feb 2023 CBO Ten Year Economic Projections, Quarterly Table, Row 68, from 2023 Q1 onwards</text>
  </threadedComment>
  <threadedComment ref="B23" dT="2023-07-27T18:29:14.36" personId="{609654FB-393E-4954-B3A3-EDB231775774}" id="{09C8719D-E6B6-4A08-AF07-B2F6DFA2AC88}" parentId="{D9A1C32B-382A-44CE-B60A-7CEFD093B9EC}">
    <text>This is now July 2023 CBO Ten Year Economic Projections, Quarterly Table, Row 68 from 2023 Q2 onwards</text>
  </threadedComment>
  <threadedComment ref="B23" dT="2024-02-22T16:31:50.30" personId="{09FAC3F1-DFDB-4CF8-9903-358701529E2B}" id="{DB29502A-9DD2-4A0F-AE03-6909CCF8BB08}" parentId="{D9A1C32B-382A-44CE-B60A-7CEFD093B9EC}">
    <text>This is now February 2024 CBO Economic Projections, Quarterly Table, Row 68 from 2023 Q2 onward</text>
  </threadedComment>
  <threadedComment ref="B23" dT="2024-06-26T18:30:01.65" personId="{2C68A5A1-706F-4A3E-93A3-741BBABEC4EA}" id="{4C1BD790-6CA2-4A0A-903D-48C016B60253}" parentId="{D9A1C32B-382A-44CE-B60A-7CEFD093B9EC}">
    <text>This is now June 2024 CBO Economic Projections, Quarterly table row 68 from 2021 Q1 onward</text>
  </threadedComment>
  <threadedComment ref="B23" dT="2025-01-23T18:32:19.26" personId="{B61C96CF-201E-4FBB-AE0C-863888EC2CC5}" id="{3D5F4EE6-7C34-4CEF-BB21-59A8432CED3C}" parentId="{D9A1C32B-382A-44CE-B60A-7CEFD093B9EC}">
    <text>This is now January 2025, CBO Economic Projections, Quarterly table, Row 68 from 2022 Q1 onward</text>
  </threadedComment>
  <threadedComment ref="AG23" dT="2024-04-26T17:16:27.79" personId="{2C68A5A1-706F-4A3E-93A3-741BBABEC4EA}" id="{9A78D78B-9B91-4B19-B3C5-F387312A4076}">
    <text>We decided to set this equal to the previous quarter estimate as a temporary measure.</text>
  </threadedComment>
  <threadedComment ref="S24" dT="2023-02-16T15:37:10.59" personId="{104078EE-2393-4C21-9029-18A325FBDB70}" id="{2738E40F-5E63-45A6-A7D0-04539F543CE4}">
    <text>Cannot pull forward -- make sure to update the formula from the monthly ur from BLS below</text>
  </threadedComment>
</ThreadedComments>
</file>

<file path=xl/threadedComments/threadedComment4.xml><?xml version="1.0" encoding="utf-8"?>
<ThreadedComments xmlns="http://schemas.microsoft.com/office/spreadsheetml/2018/threadedcomments" xmlns:x="http://schemas.openxmlformats.org/spreadsheetml/2006/main">
  <threadedComment ref="W19" dT="2022-10-27T17:27:46.67" personId="{609654FB-393E-4954-B3A3-EDB231775774}" id="{D946413E-762D-4FFC-9209-11EBCBD51016}">
    <text>We've hard coded these in as zeros. Do we want to keep that?</text>
  </threadedComment>
  <threadedComment ref="B22" dT="2022-07-27T15:11:58.57" personId="{104078EE-2393-4C21-9029-18A325FBDB70}" id="{E1041433-BA01-41BE-A250-949526A70696}">
    <text>May 2022, CBO Ten Year Economic Projections, Quarterly Table, Row 68</text>
  </threadedComment>
  <threadedComment ref="B22" dT="2023-02-15T19:26:55.88" personId="{609654FB-393E-4954-B3A3-EDB231775774}" id="{56B6D2B6-AB90-49FD-8AFC-C67646CD2BAC}" parentId="{E1041433-BA01-41BE-A250-949526A70696}">
    <text>This is now Feb 2023 CBO Ten Year Economic Projections, Quarterly Table, Row 68, from 2023 Q1 onwards</text>
  </threadedComment>
  <threadedComment ref="S23" dT="2023-02-16T15:37:10.59" personId="{104078EE-2393-4C21-9029-18A325FBDB70}" id="{094D651B-B0D2-4E5E-BE0F-3F7EDDB28A27}">
    <text>Cannot pull forward -- make sure to update the formula from the monthly ur from BLS below</text>
  </threadedComment>
</ThreadedComments>
</file>

<file path=xl/threadedComments/threadedComment5.xml><?xml version="1.0" encoding="utf-8"?>
<ThreadedComments xmlns="http://schemas.microsoft.com/office/spreadsheetml/2018/threadedcomments" xmlns:x="http://schemas.openxmlformats.org/spreadsheetml/2006/main">
  <threadedComment ref="AN9" dT="2024-12-12T18:42:58.25" personId="{09FAC3F1-DFDB-4CF8-9903-358701529E2B}" id="{673F74FB-BA04-41E9-9E2C-E07872BBC47F}">
    <text>These are Divs because we have not yet forcasted the FMAP in 2027. This pulls from the Medicaid sheet.</text>
  </threadedComment>
  <threadedComment ref="J12" dT="2023-02-16T18:11:03.85" personId="{609654FB-393E-4954-B3A3-EDB231775774}" id="{F234B5B6-B19D-4AC0-9DB4-A48A2D200CCC}">
    <text>This series is continued in row 19, "Coronavirus Fiscal Recovery Fund." It is not a mistake that there are blanks here!!</text>
  </threadedComment>
  <threadedComment ref="U13" dT="2023-04-28T16:00:59.73" personId="{2C68A5A1-706F-4A3E-93A3-741BBABEC4EA}" id="{8D2135C1-1504-4F9B-942F-01E6B6321912}">
    <text>Despite the fact that BEA has stopped reporting this as a separate line item, we've decided to still include it in our calculations because we believe that our assumptions about the ESF diminishing are close to the truth.</text>
  </threadedComment>
  <threadedComment ref="S25" dT="2022-09-30T19:04:36.69" personId="{104078EE-2393-4C21-9029-18A325FBDB70}" id="{52B73EBC-59DE-4AFE-A4BC-5DCFD4E527B4}">
    <text>Add factor to match data</text>
  </threadedComment>
  <threadedComment ref="C53" dT="2021-06-14T11:28:38.43" personId="{58CF8BEC-4104-46F7-BE4F-2C9403635492}" id="{BB2BD600-D27D-45BD-8287-F361E12EE9C4}">
    <text>https://www.cbo.gov/system/files/2020-04/hr748.pdf</text>
  </threadedComment>
  <threadedComment ref="C54" dT="2021-06-14T16:29:41.30" personId="{58CF8BEC-4104-46F7-BE4F-2C9403635492}" id="{EC883E67-97AD-460D-B658-F12FDD429342}">
    <text>The total Education Stabilization Fund is 30 billion; we lower by 8 billion to account for parts of the fund that go to private universities (which we wouldn't classify as a grant to state and local governments).</text>
  </threadedComment>
  <threadedComment ref="C55" dT="2021-06-11T14:09:21.80" personId="{58CF8BEC-4104-46F7-BE4F-2C9403635492}" id="{57CD4897-BB4E-42F1-89BB-E63A5874F81B}">
    <text>Total provider relief fund is 100, but we assume that 27% is in the form of grants based on the BEA data that came in.</text>
  </threadedComment>
  <threadedComment ref="B79" dT="2023-02-16T18:16:09.17" personId="{609654FB-393E-4954-B3A3-EDB231775774}" id="{9D68663E-7375-4798-AF31-C3B40AF84CDB}">
    <text>This is a policy update since May 2022 CBO update, but the Grants number was not updated by CBO. So do we delete this line or is it still included?</text>
  </threadedComment>
  <threadedComment ref="J81" dT="2022-09-30T19:04:58.57" personId="{104078EE-2393-4C21-9029-18A325FBDB70}" id="{4D719FE1-A97C-46FC-9D71-7ECFBB4F6D87}">
    <text>Using data -- not a different spending pattern</text>
  </threadedComment>
  <threadedComment ref="AG81" dT="2023-08-18T20:32:02.72" personId="{2C68A5A1-706F-4A3E-93A3-741BBABEC4EA}" id="{91C8DEB0-37FF-4A76-9EDD-8709F55CAF73}">
    <text>Our "ARP Quarterly" sheet does not go farther than Q4 2025. our temporary fix is to make this equal to the preceding quarter.</text>
  </threadedComment>
  <threadedComment ref="AG83" dT="2023-08-18T20:31:55.12" personId="{2C68A5A1-706F-4A3E-93A3-741BBABEC4EA}" id="{ECD0E9C9-87A4-46F8-8BE1-5E2BEC9520B3}">
    <text>Our "ARP Quarterly" sheet does not go farther than Q4 2025.
Our temporary fix is to make this equal to the preceding quarter.</text>
  </threadedComment>
  <threadedComment ref="R94" dT="2022-07-28T17:27:50.97" personId="{104078EE-2393-4C21-9029-18A325FBDB70}" id="{E702D61C-4760-4164-BD3F-5AB302CA98ED}">
    <text>Using previous forecast because of reallocation by the BEA</text>
  </threadedComment>
  <threadedComment ref="S94" dT="2022-10-27T14:12:06.27" personId="{609654FB-393E-4954-B3A3-EDB231775774}" id="{776019CE-8128-450F-A25E-EF6C5707CFC6}">
    <text>Don't pull again</text>
  </threadedComment>
  <threadedComment ref="B95" dT="2023-02-16T18:17:56.28" personId="{609654FB-393E-4954-B3A3-EDB231775774}" id="{EF6EC7A7-A475-49DC-B77E-29BB35266C5E}">
    <text>Similar question to row 85</text>
  </threadedComment>
</ThreadedComments>
</file>

<file path=xl/threadedComments/threadedComment6.xml><?xml version="1.0" encoding="utf-8"?>
<ThreadedComments xmlns="http://schemas.microsoft.com/office/spreadsheetml/2018/threadedcomments" xmlns:x="http://schemas.openxmlformats.org/spreadsheetml/2006/main">
  <threadedComment ref="B9" dT="2022-07-27T15:16:37.13" personId="{104078EE-2393-4C21-9029-18A325FBDB70}" id="{976B723C-4211-4969-882A-4B89C4902055}">
    <text>May 2022 CBO economic projections row 127 quarterly table</text>
  </threadedComment>
  <threadedComment ref="B9" dT="2023-02-15T19:40:23.85" personId="{609654FB-393E-4954-B3A3-EDB231775774}" id="{5D4FEFF0-1A89-4604-A6EE-A9921838BC6F}" parentId="{976B723C-4211-4969-882A-4B89C4902055}">
    <text>This is now February 2023 CBO economic projections row 127 quarterly table</text>
  </threadedComment>
  <threadedComment ref="B9" dT="2023-07-27T18:31:18.10" personId="{609654FB-393E-4954-B3A3-EDB231775774}" id="{D78ED2FD-083D-4D3D-90CB-588F26BDC2F5}" parentId="{976B723C-4211-4969-882A-4B89C4902055}">
    <text>This is now July 2023 CBO economic projections row 127 quarterly table</text>
  </threadedComment>
  <threadedComment ref="B9" dT="2024-02-21T22:16:46.87" personId="{09FAC3F1-DFDB-4CF8-9903-358701529E2B}" id="{D555AF99-F94F-4BDE-B145-E138B69AEBCF}" parentId="{976B723C-4211-4969-882A-4B89C4902055}">
    <text>This is now February 2024 CBO economic projections row 129 quarterly table.</text>
  </threadedComment>
  <threadedComment ref="B9" dT="2024-06-26T18:41:21.94" personId="{2C68A5A1-706F-4A3E-93A3-741BBABEC4EA}" id="{74EA8410-AE4F-463D-AA1C-7B843C4FD6DA}" parentId="{976B723C-4211-4969-882A-4B89C4902055}">
    <text>This is now June 2024 CBO Economic Projections Quarterly table row 129 from 2021 Q1 onward</text>
  </threadedComment>
  <threadedComment ref="B9" dT="2025-01-23T18:39:00.01" personId="{B61C96CF-201E-4FBB-AE0C-863888EC2CC5}" id="{54E25019-9AE1-405D-AC1B-B5D7DFED84A5}" parentId="{976B723C-4211-4969-882A-4B89C4902055}">
    <text>This is now January 2025 CBO Economic Projections Quarterly table row 129 from 2022 Q1 onward</text>
  </threadedComment>
  <threadedComment ref="B13" dT="2022-07-27T15:17:23.40" personId="{104078EE-2393-4C21-9029-18A325FBDB70}" id="{02F35ABE-CA0E-4752-B4BE-50C4C795E703}">
    <text>May 2022 CBO economic projections row 128 quarterly table</text>
  </threadedComment>
  <threadedComment ref="B13" dT="2023-02-15T19:42:15.43" personId="{609654FB-393E-4954-B3A3-EDB231775774}" id="{1133CB4B-569A-43E1-B7BE-00E25FCCA35F}" parentId="{02F35ABE-CA0E-4752-B4BE-50C4C795E703}">
    <text>This is now February 2023 CBO economic projections row 128 quarterly table</text>
  </threadedComment>
  <threadedComment ref="B13" dT="2023-07-27T18:36:08.52" personId="{609654FB-393E-4954-B3A3-EDB231775774}" id="{AC82CDDA-A4C5-4000-9E65-2F0D9994C127}" parentId="{02F35ABE-CA0E-4752-B4BE-50C4C795E703}">
    <text>This is now July 2023 CBO economic projections row 128 quarterly table</text>
  </threadedComment>
  <threadedComment ref="B13" dT="2024-02-21T22:17:34.08" personId="{09FAC3F1-DFDB-4CF8-9903-358701529E2B}" id="{EEF54E4D-75AC-4CE6-B7B4-A2F50898FDD2}" parentId="{02F35ABE-CA0E-4752-B4BE-50C4C795E703}">
    <text>This is now February 2024 CBO economic projections row 130 quarterly table</text>
  </threadedComment>
  <threadedComment ref="B13" dT="2024-06-26T18:42:24.26" personId="{2C68A5A1-706F-4A3E-93A3-741BBABEC4EA}" id="{206732D9-B230-42BD-890A-AC6D4948168E}" parentId="{02F35ABE-CA0E-4752-B4BE-50C4C795E703}">
    <text>This is now June 2024 CBO Economic Projections Quarterly table row 130 from 2021 Q1 onward.</text>
  </threadedComment>
  <threadedComment ref="B13" dT="2025-01-23T18:40:30.03" personId="{B61C96CF-201E-4FBB-AE0C-863888EC2CC5}" id="{38023FF8-3814-4834-81B6-74E3ECC740A3}" parentId="{02F35ABE-CA0E-4752-B4BE-50C4C795E703}">
    <text>This is now January 2025 CBO Economic Projections Quarterly table row 130 from 2022 Q1 onward.</text>
  </threadedComment>
  <threadedComment ref="AG14" dT="2023-08-18T20:42:13.02" personId="{2C68A5A1-706F-4A3E-93A3-741BBABEC4EA}" id="{0ADCB210-D448-44DD-A5EE-5E6E7334408B}">
    <text>This number isn't a valid projection until we get a 2026 Q1 growth rate.</text>
  </threadedComment>
  <threadedComment ref="B32" dT="2022-06-30T18:28:35.88" personId="{104078EE-2393-4C21-9029-18A325FBDB70}" id="{3D5BBFAC-4E76-4F2A-B34F-264D54111B07}">
    <text>May 2022 CBO economic projections row 129 quarterly table</text>
  </threadedComment>
  <threadedComment ref="B32" dT="2023-02-15T19:43:47.77" personId="{609654FB-393E-4954-B3A3-EDB231775774}" id="{D2ED8084-9DED-49AE-9C39-DE899BA6DBE4}" parentId="{3D5BBFAC-4E76-4F2A-B34F-264D54111B07}">
    <text>This is now February 2023 CBO economic projections row 129 quarterly table</text>
  </threadedComment>
  <threadedComment ref="B32" dT="2023-07-27T18:37:42.56" personId="{609654FB-393E-4954-B3A3-EDB231775774}" id="{5A35562D-9D11-4966-A103-00D106E2863D}" parentId="{3D5BBFAC-4E76-4F2A-B34F-264D54111B07}">
    <text>This is now July 2023 CBO economic projections row 129 quarterly table</text>
  </threadedComment>
  <threadedComment ref="B32" dT="2024-02-21T22:22:11.49" personId="{09FAC3F1-DFDB-4CF8-9903-358701529E2B}" id="{20A7D685-EAA3-4C01-B5CA-107CB58D087F}" parentId="{3D5BBFAC-4E76-4F2A-B34F-264D54111B07}">
    <text>This is now February 2024 CBO economic projections row 131 quarterly table.</text>
  </threadedComment>
  <threadedComment ref="B32" dT="2024-06-26T18:44:20.97" personId="{2C68A5A1-706F-4A3E-93A3-741BBABEC4EA}" id="{9A13A553-A958-4882-A266-2E3589681540}" parentId="{3D5BBFAC-4E76-4F2A-B34F-264D54111B07}">
    <text>This is now June 2024 CBO Economic Projections Quarterly table row 131 from 2021 Q1 onward.</text>
  </threadedComment>
  <threadedComment ref="B32" dT="2025-01-23T18:41:36.52" personId="{B61C96CF-201E-4FBB-AE0C-863888EC2CC5}" id="{1A5990AC-5EA2-4AF3-B540-7760EC6CC6E7}" parentId="{3D5BBFAC-4E76-4F2A-B34F-264D54111B07}">
    <text xml:space="preserve">This is now January 2025 CBO Economic Projections Quarterly table row 131 from 2022 Q1 onward. </text>
  </threadedComment>
  <threadedComment ref="B33" dT="2024-06-26T18:46:33.64" personId="{2C68A5A1-706F-4A3E-93A3-741BBABEC4EA}" id="{E7D459C7-D63C-4E4A-AE4E-B08D7B79CF4D}">
    <text>These data are from June 2024 CBO Economic Projections Quarterly table, row 132 from 2021 Q1 onward.</text>
  </threadedComment>
  <threadedComment ref="B33" dT="2025-01-23T18:42:51.59" personId="{B61C96CF-201E-4FBB-AE0C-863888EC2CC5}" id="{FB639BD2-406E-439E-9820-49E057356369}" parentId="{E7D459C7-D63C-4E4A-AE4E-B08D7B79CF4D}">
    <text xml:space="preserve">These data are from January 2025 CBO Economic Projections Quarterly table, raw 132 from 2022 Q1 onward. </text>
  </threadedComment>
  <threadedComment ref="B40" dT="2023-11-30T15:39:21.04" personId="{2C68A5A1-706F-4A3E-93A3-741BBABEC4EA}" id="{C146291D-B06B-4D46-A30C-B289BA81D51C}">
    <text>Start updating this chart again</text>
  </threadedComment>
</ThreadedComments>
</file>

<file path=xl/threadedComments/threadedComment7.xml><?xml version="1.0" encoding="utf-8"?>
<ThreadedComments xmlns="http://schemas.microsoft.com/office/spreadsheetml/2018/threadedcomments" xmlns:x="http://schemas.openxmlformats.org/spreadsheetml/2006/main">
  <threadedComment ref="V12" dT="2023-07-28T14:41:50.77" personId="{609654FB-393E-4954-B3A3-EDB231775774}" id="{C8AD5ECB-6700-45F3-8A5E-89F70EFCEC27}">
    <text>Assuming pre-pandemic trend is putting us too high</text>
  </threadedComment>
  <threadedComment ref="R19" dT="2022-07-28T13:44:35.53" personId="{104078EE-2393-4C21-9029-18A325FBDB70}" id="{3E7AAE05-9E76-4CF3-873B-76FF197F21FE}">
    <text>We had these coming in at 21 and 6 respectively</text>
  </threadedComment>
  <threadedComment ref="U20" dT="2023-04-28T16:43:36.97" personId="{104078EE-2393-4C21-9029-18A325FBDB70}" id="{9C6B073E-F7AB-4CBA-B38C-DC03A0972F64}">
    <text>Preserving forecast formula since bea stopped reporting line item</text>
  </threadedComment>
  <threadedComment ref="R22" dT="2022-04-28T19:15:48.71" personId="{104078EE-2393-4C21-9029-18A325FBDB70}" id="{B5E978D5-CE65-4AE2-8DD7-1EF95BA9E399}">
    <text>There was no total amount authorized for this program, and the SBA has stopped accepting applications as of January 2022.
https://www.sba.gov/funding-programs/loans/covid-19-relief-options/covid-19-economic-injury-disaster-loan/about-targeted-eidl-advance-supplemental-targeted-advance</text>
  </threadedComment>
  <threadedComment ref="P25" dT="2022-01-28T16:13:54.75" personId="{58CF8BEC-4104-46F7-BE4F-2C9403635492}" id="{DB908DB8-ED36-4713-AE3C-B9DFD0F93D1E}">
    <text>This is used to keep line 12 (non-leg subsidies) at a consistent level</text>
  </threadedComment>
  <threadedComment ref="B26" dT="2023-02-16T18:27:27.41" personId="{609654FB-393E-4954-B3A3-EDB231775774}" id="{531C2B30-B748-4992-BA59-32A200D8CA7B}">
    <text>This row and the next are policy lines since the May 2022 CBO update, but we don't get a CBO line for Total Federal Subsidies. So do we delete these rows?</text>
  </threadedComment>
  <threadedComment ref="R45" dT="2022-10-27T17:21:31.98" personId="{609654FB-393E-4954-B3A3-EDB231775774}" id="{02CD4DDF-2C52-45CC-A7C0-F81AC2D1A26A}">
    <text>Flag because ARP subsidies come in 100 lower based on ARP score, non-ARP subsidies now much higher going forward.</text>
  </threadedComment>
  <threadedComment ref="AG45" dT="2024-04-26T17:14:06.26" personId="{2C68A5A1-706F-4A3E-93A3-741BBABEC4EA}" id="{D984E10B-B7DF-4552-BF09-3EB2FF9587F0}">
    <text>Hard coded to 0 because ARP Quarterly runs out of data and this is small anyway.</text>
  </threadedComment>
  <threadedComment ref="S46" dT="2022-07-28T13:50:14.43" personId="{104078EE-2393-4C21-9029-18A325FBDB70}" id="{7010EE95-CECC-419E-AEDA-DD810575C98C}">
    <text>Should we forecast a negative number for this item?</text>
  </threadedComment>
</ThreadedComments>
</file>

<file path=xl/threadedComments/threadedComment8.xml><?xml version="1.0" encoding="utf-8"?>
<ThreadedComments xmlns="http://schemas.microsoft.com/office/spreadsheetml/2018/threadedcomments" xmlns:x="http://schemas.openxmlformats.org/spreadsheetml/2006/main">
  <threadedComment ref="V12" dT="2023-01-27T19:01:20.87" personId="{609654FB-393E-4954-B3A3-EDB231775774}" id="{4B9C304D-96FE-41EF-9E62-0CD883029070}">
    <text>End of public health emergency,  April 2023, so FMAP share goes down.</text>
  </threadedComment>
  <threadedComment ref="V12" dT="2023-07-27T14:27:37.22" personId="{2C68A5A1-706F-4A3E-93A3-741BBABEC4EA}" id="{EF5B2F1F-097C-4EFE-B1E6-4E4CD9A20D94}" parentId="{4B9C304D-96FE-41EF-9E62-0CD883029070}">
    <text>How do we feel about FMAP stabilizing at 0.71 in our projections?</text>
  </threadedComment>
  <threadedComment ref="W12" dT="2023-07-28T14:54:19.93" personId="{609654FB-393E-4954-B3A3-EDB231775774}" id="{82EE6F66-A1E6-460B-AE87-4B0EC2A37501}">
    <text>We reduced this predicted FMAP from .745 to .72 because Q2 FMAP came in quite low</text>
  </threadedComment>
  <threadedComment ref="B16" dT="2022-05-26T13:51:07.76" personId="{104078EE-2393-4C21-9029-18A325FBDB70}" id="{2F0D2920-F0F1-40FD-B319-7B4020276F9E}">
    <text>May 2022 CBO 10-year budget projections Table 3-2 Mandatory Outlays Projected in CBO's baseline, adjusted to exclude effects of timing shifts, Row 18</text>
  </threadedComment>
  <threadedComment ref="B16" dT="2023-02-15T19:53:13.46" personId="{609654FB-393E-4954-B3A3-EDB231775774}" id="{16F623A2-0315-4F0E-B080-E7344916040B}" parentId="{2F0D2920-F0F1-40FD-B319-7B4020276F9E}">
    <text>This is now February 2023 CBO 10-year budget projections table 1-4 Mandatory Outlays Adjusted to Exclude the Effect of Timing Shifts, row 15, starting from 2022</text>
  </threadedComment>
  <threadedComment ref="B16" dT="2023-06-29T16:02:43.93" personId="{2C68A5A1-706F-4A3E-93A3-741BBABEC4EA}" id="{66235A00-F86F-49BF-9314-25A57AC5EDB5}" parentId="{2F0D2920-F0F1-40FD-B319-7B4020276F9E}">
    <text>May 2023 CBO 10-year budget projections supplemental table 2 Major health care programs &gt; Medicaid (row 16) starting from Actual, 2022.</text>
  </threadedComment>
  <threadedComment ref="B16" dT="2024-02-22T14:20:57.00" personId="{09FAC3F1-DFDB-4CF8-9903-358701529E2B}" id="{FA6A84A8-8E39-4BAD-B664-D0BE94F2D4C4}" parentId="{2F0D2920-F0F1-40FD-B319-7B4020276F9E}">
    <text>This is now February 2024 CBO 10-year budget projections table 1-4 Mandatory Outlays Adjusted to Exclude the Effect of Timing Shifts, row 15, starting from 2023</text>
  </threadedComment>
  <threadedComment ref="B16" dT="2024-06-26T18:57:37.91" personId="{2C68A5A1-706F-4A3E-93A3-741BBABEC4EA}" id="{47A4D832-6D4F-49EF-82FE-6B8480B63971}" parentId="{2F0D2920-F0F1-40FD-B319-7B4020276F9E}">
    <text>This is now June 2024 CBO Budget Projections table table 1-4 Mandatory Outlays Adjusted to Exclude the Effect of Timing Shifts, row 15, starting from 2023</text>
  </threadedComment>
  <threadedComment ref="B16" dT="2025-01-23T18:50:28.50" personId="{B61C96CF-201E-4FBB-AE0C-863888EC2CC5}" id="{1794D797-AA61-4FC5-AAD1-8D7D7827B484}" parentId="{2F0D2920-F0F1-40FD-B319-7B4020276F9E}">
    <text>This is now January 2025 CBO Budget Projections Table B-4 Mandatory Outlays Adjusted to Exclude Effects of Timing Shifts, row 16, starting from 2024 onward</text>
  </threadedComment>
  <threadedComment ref="W26" dT="2023-07-28T14:26:42.35" personId="{609654FB-393E-4954-B3A3-EDB231775774}" id="{09188FF2-A127-4014-A01D-03DD2BF0FA2E}">
    <text>Medicaid has been growing much faster than the CBO 10-year budget predicts. So this might we worth revisiting because CBO's growth rate seems unrealistic</text>
  </threadedComment>
  <threadedComment ref="AN26" dT="2024-12-12T16:10:32.35" personId="{09FAC3F1-DFDB-4CF8-9903-358701529E2B}" id="{6A9D0C8A-F9C2-4EE0-B3A9-3E7911CC1731}">
    <text>We need to fill in K18</text>
  </threadedComment>
  <threadedComment ref="V27" dT="2023-07-26T20:48:20.39" personId="{2C68A5A1-706F-4A3E-93A3-741BBABEC4EA}" id="{5E6012FC-E5EC-49B2-9F3E-FF9BACB20939}">
    <text>Is there any reason we want a 32 here? The formula doesn't have any dependents, so this is not factoring into anything.</text>
  </threadedComment>
</ThreadedComments>
</file>

<file path=xl/threadedComments/threadedComment9.xml><?xml version="1.0" encoding="utf-8"?>
<ThreadedComments xmlns="http://schemas.microsoft.com/office/spreadsheetml/2018/threadedcomments" xmlns:x="http://schemas.openxmlformats.org/spreadsheetml/2006/main">
  <threadedComment ref="AN13" dT="2024-12-12T19:27:07.66" personId="{09FAC3F1-DFDB-4CF8-9903-358701529E2B}" id="{0C364B02-A2A3-49F0-A7C3-0C757637A223}">
    <text xml:space="preserve">We need to fill in L26. </text>
  </threadedComment>
  <threadedComment ref="B21" dT="2022-05-26T13:55:21.44" personId="{104078EE-2393-4C21-9029-18A325FBDB70}" id="{FBCF6AFF-3308-4DB2-931F-AB1BC267CB41}">
    <text>May 2022 CBO 10-year budget projections Table 3-2 Mandatory Outlays Projected in CBO's baseline, adjusted to exclude effects of timing shifts, Row 17</text>
  </threadedComment>
  <threadedComment ref="B21" dT="2023-02-15T19:57:12.17" personId="{609654FB-393E-4954-B3A3-EDB231775774}" id="{0DAFD942-1E4E-471B-90D4-59ABEF291821}" parentId="{FBCF6AFF-3308-4DB2-931F-AB1BC267CB41}">
    <text>This is now February 2023 10-year budget projections table 1-4 Mandatory Outlays adjusted to exclude effect of timing shifts, row 14, from 2022</text>
  </threadedComment>
  <threadedComment ref="B21" dT="2023-06-29T16:04:49.84" personId="{2C68A5A1-706F-4A3E-93A3-741BBABEC4EA}" id="{4E404555-EBE0-42CE-9B8D-703736E9394A}" parentId="{FBCF6AFF-3308-4DB2-931F-AB1BC267CB41}">
    <text>May 2023 CBO 10-year budget projections supplemental table 2 Major Health Care Programs &gt; Medicare (row 15) from Actual, 2022 onward</text>
  </threadedComment>
  <threadedComment ref="B21" dT="2024-02-22T14:22:26.71" personId="{09FAC3F1-DFDB-4CF8-9903-358701529E2B}" id="{9780ACDA-D5F7-4084-B56D-9A0A8A4189D2}" parentId="{FBCF6AFF-3308-4DB2-931F-AB1BC267CB41}">
    <text>This is now February 2024 CBO 10-year budget projections table 1-4 Mandatory Outlays Adjusted to Exclude the Effect of Timing Shifts, row 14, from 2023</text>
  </threadedComment>
  <threadedComment ref="B21" dT="2024-06-26T19:01:04.90" personId="{2C68A5A1-706F-4A3E-93A3-741BBABEC4EA}" id="{9265B547-6102-4D79-A653-063CF3ABE805}" parentId="{FBCF6AFF-3308-4DB2-931F-AB1BC267CB41}">
    <text>This is now June 2024 CBO 10-year budget projections table 1-4 Mandatory Outlays Adjusted to Exclude the Effect of Timing Shifts, row 14, from 2023</text>
  </threadedComment>
  <threadedComment ref="B21" dT="2025-01-23T18:52:57.33" personId="{B61C96CF-201E-4FBB-AE0C-863888EC2CC5}" id="{F0DDAD2B-6E55-41F4-8703-E44D28EE659E}" parentId="{FBCF6AFF-3308-4DB2-931F-AB1BC267CB41}">
    <text>This is now January 2025 CBO 10-year budget projections Table B-4 Mandatory Outlays Adjusted to Exclude Effects of Timing Shifts, row 15, from 2024 onward.</text>
  </threadedComment>
  <threadedComment ref="H26" dT="2023-10-27T18:42:53.80" personId="{609654FB-393E-4954-B3A3-EDB231775774}" id="{8EBBDF8F-92CB-4DA7-AB0C-805F6924BC38}">
    <text>Bringing growth down because Medicare expenditures have been stagnant for 6 months on MPI</text>
  </threadedComment>
</ThreadedComments>
</file>

<file path=xl/threadedComments/threadedComment10.xml><?xml version="1.0" encoding="utf-8"?>
<ThreadedComments xmlns="http://schemas.microsoft.com/office/spreadsheetml/2018/threadedcomments" xmlns:x="http://schemas.openxmlformats.org/spreadsheetml/2006/main">
  <threadedComment ref="W12" dT="2023-07-28T18:20:50.48" personId="{2C68A5A1-706F-4A3E-93A3-741BBABEC4EA}" id="{5E8C922E-2E18-4038-98CC-7367E12CF4D7}">
    <text>We reduced the CBO value (https://www.cbo.gov/system/files/2023-03/58983-IDR.pdf) by 90% because of Biden update in response to Supreme Court decision</text>
  </threadedComment>
</ThreadedComments>
</file>

<file path=xl/threadedComments/threadedComment11.xml><?xml version="1.0" encoding="utf-8"?>
<ThreadedComments xmlns="http://schemas.microsoft.com/office/spreadsheetml/2018/threadedcomments" xmlns:x="http://schemas.openxmlformats.org/spreadsheetml/2006/main">
  <threadedComment ref="V12" dT="2023-04-27T02:58:38.96" personId="{2C68A5A1-706F-4A3E-93A3-741BBABEC4EA}" id="{2B05F784-F1D3-4B9A-9C9D-FB22DB0462A4}">
    <text>Why are the projected #s so different from the historical #s?</text>
  </threadedComment>
  <threadedComment ref="T23" dT="2023-01-26T22:24:09.34" personId="{609654FB-393E-4954-B3A3-EDB231775774}" id="{B0AE173E-88C7-4C43-8692-EA69235B268A}">
    <text>Hard coded, formulas otherwise maintained.</text>
  </threadedComment>
  <threadedComment ref="AG23" dT="2024-04-26T17:18:21.29" personId="{2C68A5A1-706F-4A3E-93A3-741BBABEC4EA}" id="{EC257424-3C35-4E89-BC13-81BB897D99B1}">
    <text>We set this equal to 0 because ARP Quarterly ran out of data and it's small anyway</text>
  </threadedComment>
  <threadedComment ref="AG24" dT="2024-04-26T17:19:21.98" personId="{2C68A5A1-706F-4A3E-93A3-741BBABEC4EA}" id="{2042EA8F-AFDD-40F5-975B-1EE9661A1F7D}">
    <text>We set this equal to 0 because ARP Quarterly ran out of data and it's small anyway</text>
  </threadedComment>
  <threadedComment ref="W25" dT="2023-07-28T15:01:48.28" personId="{609654FB-393E-4954-B3A3-EDB231775774}" id="{2B25D231-DC9A-41C0-A5B4-C4183E3EEBF2}">
    <text>Our SNAP due to COVID projection goes on at its current level forever. Does this make sense to us, especially because it's been leveling off?</text>
  </threadedComment>
  <threadedComment ref="S26" dT="2022-10-27T17:47:53.13" personId="{609654FB-393E-4954-B3A3-EDB231775774}" id="{235CAA93-3154-4EE8-8464-7B6A92AD61AE}">
    <text>This didn't get automatically pulled in by Haver. Run Haver pull tomorrow.</text>
  </threadedComment>
  <threadedComment ref="U26" dT="2023-04-28T16:49:22.08" personId="{104078EE-2393-4C21-9029-18A325FBDB70}" id="{AF07707A-0AB9-4DEF-BCDB-3A8A1879E97E}">
    <text>Back to pre-pandemic level so we no longer get data from BEA and we don't use it</text>
  </threadedComment>
  <threadedComment ref="S28" dT="2022-10-27T17:37:59.67" personId="{609654FB-393E-4954-B3A3-EDB231775774}" id="{83D694D8-9AA8-4EE4-BBD5-83FADB7033F7}">
    <text>Another prediction ARP will crash. Do we still want this?</text>
  </threadedComment>
  <threadedComment ref="B29" dT="2023-02-16T19:02:57.27" personId="{609654FB-393E-4954-B3A3-EDB231775774}" id="{D527F62C-879E-4A08-96E8-D6F40D9D8EBB}">
    <text>Same issue as previous--we have policies but they don't feed into anything we get from the CBO. So what do we do?</text>
  </threadedComment>
  <threadedComment ref="W51" dT="2023-07-28T17:56:37.74" personId="{2C68A5A1-706F-4A3E-93A3-741BBABEC4EA}" id="{7AFF80FB-09A6-46E2-A0FD-31F1CA6ACC32}">
    <text>We're assuming it will stay at 37.7 because of the new TFP</text>
  </threadedComment>
  <threadedComment ref="B84" dT="2023-02-24T16:39:02.09" personId="{104078EE-2393-4C21-9029-18A325FBDB70}" id="{A87F0E1F-EE65-4D57-8D74-EEA13146A4C2}">
    <text>CBO Feb 2023 budget projections table 1-4, social security subtotal</text>
  </threadedComment>
  <threadedComment ref="B84" dT="2023-06-29T15:43:04.78" personId="{2C68A5A1-706F-4A3E-93A3-741BBABEC4EA}" id="{05D692CA-CBAB-4B45-84BD-BDA29C36DFC3}" parentId="{A87F0E1F-EE65-4D57-8D74-EEA13146A4C2}">
    <text>CBO May 2023 budget projections supplemental table 2, social security subtotal</text>
  </threadedComment>
  <threadedComment ref="B84" dT="2024-02-22T14:26:52.50" personId="{09FAC3F1-DFDB-4CF8-9903-358701529E2B}" id="{62EC87CA-037B-4B05-A299-711AFA270F58}" parentId="{A87F0E1F-EE65-4D57-8D74-EEA13146A4C2}">
    <text>This is now February 2024 CBO budget projections Table 1-4 Adjusted for the Effects of Timing Shifts, row 12 social security subtotal</text>
  </threadedComment>
  <threadedComment ref="B84" dT="2024-06-26T19:56:49.87" personId="{2C68A5A1-706F-4A3E-93A3-741BBABEC4EA}" id="{9C35534F-8DBA-494D-BA9C-A98F784F5923}" parentId="{A87F0E1F-EE65-4D57-8D74-EEA13146A4C2}">
    <text>This is now June 2024 CBO budget projections Table 1-4 Adjusted for the Effects of Timing Shifts, row 12 social security subtotal from 2023 onward</text>
  </threadedComment>
  <threadedComment ref="B84" dT="2025-01-23T18:55:27.42" personId="{B61C96CF-201E-4FBB-AE0C-863888EC2CC5}" id="{3E8C0716-AAF6-45AE-8360-6D5D3C68C776}" parentId="{A87F0E1F-EE65-4D57-8D74-EEA13146A4C2}">
    <text xml:space="preserve">This is now January 2025 CBO budget projections Table B-4 Adjusted to Exclude Effects of Timing Shifts, row 13 Social Security Subtotal from 2024 onward. </text>
  </threadedComment>
</ThreadedComments>
</file>

<file path=xl/threadedComments/threadedComment12.xml><?xml version="1.0" encoding="utf-8"?>
<ThreadedComments xmlns="http://schemas.microsoft.com/office/spreadsheetml/2018/threadedcomments" xmlns:x="http://schemas.openxmlformats.org/spreadsheetml/2006/main">
  <threadedComment ref="V12" dT="2023-04-27T02:58:38.96" personId="{2C68A5A1-706F-4A3E-93A3-741BBABEC4EA}" id="{6350DECB-E20E-4FE7-9A29-BC589786D779}">
    <text>Why are the projected #s so different from the historical #s?</text>
  </threadedComment>
  <threadedComment ref="T24" dT="2023-01-26T22:24:09.34" personId="{609654FB-393E-4954-B3A3-EDB231775774}" id="{6767E4FB-4829-4CD5-AEEC-0BA97744C71E}">
    <text>Hard coded, formulas otherwise maintained.</text>
  </threadedComment>
  <threadedComment ref="AG24" dT="2024-04-26T17:18:21.29" personId="{2C68A5A1-706F-4A3E-93A3-741BBABEC4EA}" id="{3C26FD36-FE6D-4B81-A482-D74826E3238E}">
    <text>We set this equal to 0 because ARP Quarterly ran out of data and it's small anyway</text>
  </threadedComment>
  <threadedComment ref="AG25" dT="2024-04-26T17:19:21.98" personId="{2C68A5A1-706F-4A3E-93A3-741BBABEC4EA}" id="{59A4A92E-DA50-4267-9B77-C5251AC10E96}">
    <text>We set this equal to 0 because ARP Quarterly ran out of data and it's small anyway</text>
  </threadedComment>
  <threadedComment ref="W26" dT="2023-07-28T15:01:48.28" personId="{609654FB-393E-4954-B3A3-EDB231775774}" id="{FF905405-668F-4AD5-8561-FAD81F733CD5}">
    <text>Our SNAP due to COVID projection goes on at its current level forever. Does this make sense to us, especially because it's been leveling off?</text>
  </threadedComment>
  <threadedComment ref="S27" dT="2022-10-27T17:47:53.13" personId="{609654FB-393E-4954-B3A3-EDB231775774}" id="{027891EE-BC20-4E84-BCD5-DDF14C8E085A}">
    <text>This didn't get automatically pulled in by Haver. Run Haver pull tomorrow.</text>
  </threadedComment>
  <threadedComment ref="U27" dT="2023-04-28T16:49:22.08" personId="{104078EE-2393-4C21-9029-18A325FBDB70}" id="{78AD2FA3-CE6D-416B-915C-8F8A5F18C011}">
    <text>Back to pre-pandemic level so we no longer get data from BEA and we don't use it</text>
  </threadedComment>
  <threadedComment ref="S30" dT="2022-10-27T17:37:59.67" personId="{609654FB-393E-4954-B3A3-EDB231775774}" id="{18839BEA-1892-43F7-9B7C-C8BA87F8E840}">
    <text>Another prediction ARP will crash. Do we still want this?</text>
  </threadedComment>
  <threadedComment ref="B32" dT="2023-02-16T19:02:57.27" personId="{609654FB-393E-4954-B3A3-EDB231775774}" id="{4A3E081A-000F-4763-BEB3-4B75D644680E}">
    <text>Same issue as previous--we have policies but they don't feed into anything we get from the CBO. So what do we do?</text>
  </threadedComment>
  <threadedComment ref="W50" dT="2023-07-28T17:56:37.74" personId="{2C68A5A1-706F-4A3E-93A3-741BBABEC4EA}" id="{24F09C86-2FE3-4072-8467-1006F6226F3C}">
    <text>We're assuming it will stay at 37.7 because of the new TFP</text>
  </threadedComment>
  <threadedComment ref="J66" dT="2021-11-02T13:23:36.94" personId="{58CF8BEC-4104-46F7-BE4F-2C9403635492}" id="{5536CB50-9B2E-49DB-8FB6-FE4C9D275551}">
    <text>Formula changes to grow by counterfactual pre-covid growth rate</text>
  </threadedComment>
  <threadedComment ref="M66" dT="2021-11-02T13:26:53.83" personId="{58CF8BEC-4104-46F7-BE4F-2C9403635492}" id="{64D4B797-446F-4E27-97ED-3D39FA8FBF20}">
    <text>Accounting for step up in social security</text>
  </threadedComment>
  <threadedComment ref="M66" dT="2022-07-28T10:16:22.56" personId="{104078EE-2393-4C21-9029-18A325FBDB70}" id="{48240427-5D2F-4ABD-8562-7EEA8FBE1B7A}" parentId="{64D4B797-446F-4E27-97ED-3D39FA8FBF20}">
    <text>every Q1</text>
  </threadedComment>
  <threadedComment ref="U66" dT="2022-10-28T13:56:35.19" personId="{609654FB-393E-4954-B3A3-EDB231775774}" id="{FF3285FC-850B-4DDF-BAA6-257E96A3E2BD}" done="1">
    <text>COLA adjustment questions.</text>
  </threadedComment>
  <threadedComment ref="Y66" dT="2022-10-28T13:56:35.19" personId="{609654FB-393E-4954-B3A3-EDB231775774}" id="{D3935682-1CE9-4274-952D-AB55B7B419FB}">
    <text>COLA adjustment questions.</text>
  </threadedComment>
  <threadedComment ref="AC66" dT="2022-10-28T13:56:35.19" personId="{609654FB-393E-4954-B3A3-EDB231775774}" id="{26902BB8-BEBD-44CC-AB91-7830A6343BB8}">
    <text>COLA adjustment questions.</text>
  </threadedComment>
  <threadedComment ref="B91" dT="2023-02-24T16:39:02.09" personId="{104078EE-2393-4C21-9029-18A325FBDB70}" id="{B36922C0-C175-49D8-ABB3-740311FEF209}">
    <text>CBO Feb 2023 budget projections table 1-4, social security subtotal</text>
  </threadedComment>
  <threadedComment ref="B91" dT="2023-06-29T15:43:04.78" personId="{2C68A5A1-706F-4A3E-93A3-741BBABEC4EA}" id="{317698FE-049A-4540-A313-5E082A0F4592}" parentId="{B36922C0-C175-49D8-ABB3-740311FEF209}">
    <text>CBO May 2023 budget projections supplemental table 2, social security subtotal</text>
  </threadedComment>
  <threadedComment ref="B91" dT="2024-02-22T14:26:52.50" personId="{09FAC3F1-DFDB-4CF8-9903-358701529E2B}" id="{729DE849-B455-4C73-8E99-632081280CC3}" parentId="{B36922C0-C175-49D8-ABB3-740311FEF209}">
    <text>This is now February 2024 CBO budget projections Table 1-4 Adjusted for the Effects of Timing Shifts, row 12 social security subtotal</text>
  </threadedComment>
  <threadedComment ref="B91" dT="2024-06-26T19:56:49.87" personId="{2C68A5A1-706F-4A3E-93A3-741BBABEC4EA}" id="{2A17FC32-6B3B-4471-BF01-70A43B892C43}" parentId="{B36922C0-C175-49D8-ABB3-740311FEF209}">
    <text>This is now June 2024 CBO budget projections Table 1-4 Adjusted for the Effects of Timing Shifts, row 12 social security subtotal from 2023 onward</text>
  </threadedComment>
  <threadedComment ref="B91" dT="2025-01-23T18:55:27.42" personId="{B61C96CF-201E-4FBB-AE0C-863888EC2CC5}" id="{1A6A3EF0-EED3-4938-9023-182A496D806F}" parentId="{B36922C0-C175-49D8-ABB3-740311FEF209}">
    <text xml:space="preserve">This is now January 2025 CBO budget projections Table B-4 Adjusted to Exclude Effects of Timing Shifts, row 13 Social Security Subtotal from 2024 onward. </text>
  </threadedComment>
</ThreadedComments>
</file>

<file path=xl/threadedComments/threadedComment13.xml><?xml version="1.0" encoding="utf-8"?>
<ThreadedComments xmlns="http://schemas.microsoft.com/office/spreadsheetml/2018/threadedcomments" xmlns:x="http://schemas.openxmlformats.org/spreadsheetml/2006/main">
  <threadedComment ref="V12" dT="2023-04-27T02:58:38.96" personId="{2C68A5A1-706F-4A3E-93A3-741BBABEC4EA}" id="{36E0E18E-822C-4DD6-8410-5E4C883D1836}">
    <text>Why are the projected #s so different from the historical #s?</text>
  </threadedComment>
  <threadedComment ref="T24" dT="2023-01-26T22:24:09.34" personId="{609654FB-393E-4954-B3A3-EDB231775774}" id="{3012ED06-42B4-440E-92A9-D4BCE51A80AC}">
    <text>Hard coded, formulas otherwise maintained.</text>
  </threadedComment>
  <threadedComment ref="AG24" dT="2024-04-26T17:18:21.29" personId="{2C68A5A1-706F-4A3E-93A3-741BBABEC4EA}" id="{C3543641-BD77-4654-B0BF-74DF8DC9E44D}">
    <text>We set this equal to 0 because ARP Quarterly ran out of data and it's small anyway</text>
  </threadedComment>
  <threadedComment ref="AG25" dT="2024-04-26T17:19:21.98" personId="{2C68A5A1-706F-4A3E-93A3-741BBABEC4EA}" id="{A51AA54C-AAFD-4FFD-BD46-B7B54115E232}">
    <text>We set this equal to 0 because ARP Quarterly ran out of data and it's small anyway</text>
  </threadedComment>
  <threadedComment ref="W26" dT="2023-07-28T15:01:48.28" personId="{609654FB-393E-4954-B3A3-EDB231775774}" id="{344D7ABE-26E3-4303-8241-3B2D9BE19C4C}">
    <text>Our SNAP due to COVID projection goes on at its current level forever. Does this make sense to us, especially because it's been leveling off?</text>
  </threadedComment>
  <threadedComment ref="S27" dT="2022-10-27T17:47:53.13" personId="{609654FB-393E-4954-B3A3-EDB231775774}" id="{581A763D-69E7-4316-A641-33877C6ED334}">
    <text>This didn't get automatically pulled in by Haver. Run Haver pull tomorrow.</text>
  </threadedComment>
  <threadedComment ref="U27" dT="2023-04-28T16:49:22.08" personId="{104078EE-2393-4C21-9029-18A325FBDB70}" id="{62AD165D-7A82-4BF4-8868-C46B05D9A871}">
    <text>Back to pre-pandemic level so we no longer get data from BEA and we don't use it</text>
  </threadedComment>
  <threadedComment ref="S30" dT="2022-10-27T17:37:59.67" personId="{609654FB-393E-4954-B3A3-EDB231775774}" id="{88370A64-FBDF-4CF1-9910-136364F7D354}">
    <text>Another prediction ARP will crash. Do we still want this?</text>
  </threadedComment>
  <threadedComment ref="B31" dT="2023-02-16T19:02:57.27" personId="{609654FB-393E-4954-B3A3-EDB231775774}" id="{9CD67460-E1CB-4B53-9C37-E18E4A204770}">
    <text>Same issue as previous--we have policies but they don't feed into anything we get from the CBO. So what do we do?</text>
  </threadedComment>
  <threadedComment ref="W51" dT="2023-07-28T17:56:37.74" personId="{2C68A5A1-706F-4A3E-93A3-741BBABEC4EA}" id="{E1EEB2AC-C029-4C98-981E-E7577AACBA1F}">
    <text>We're assuming it will stay at 37.7 because of the new TFP</text>
  </threadedComment>
  <threadedComment ref="J68" dT="2021-11-02T13:23:36.94" personId="{58CF8BEC-4104-46F7-BE4F-2C9403635492}" id="{8624CBF8-0C25-4544-B55E-7210BBE07E41}">
    <text>Formula changes to grow by counterfactual pre-covid growth rate</text>
  </threadedComment>
  <threadedComment ref="M68" dT="2021-11-02T13:26:53.83" personId="{58CF8BEC-4104-46F7-BE4F-2C9403635492}" id="{B38BAE8E-DF30-49E2-9F96-90A1041E4DF0}">
    <text>Accounting for step up in social security</text>
  </threadedComment>
  <threadedComment ref="M68" dT="2022-07-28T10:16:22.56" personId="{104078EE-2393-4C21-9029-18A325FBDB70}" id="{E0C007BA-F33F-4062-A357-370316E1FFF4}" parentId="{B38BAE8E-DF30-49E2-9F96-90A1041E4DF0}">
    <text>every Q1</text>
  </threadedComment>
  <threadedComment ref="U68" dT="2022-10-28T13:56:35.19" personId="{609654FB-393E-4954-B3A3-EDB231775774}" id="{96427D88-0329-491C-A939-11D66B55F1C3}" done="1">
    <text>COLA adjustment questions.</text>
  </threadedComment>
  <threadedComment ref="Y68" dT="2022-10-28T13:56:35.19" personId="{609654FB-393E-4954-B3A3-EDB231775774}" id="{8AABB420-F73D-4E8A-8DF7-F245078D4E11}">
    <text>COLA adjustment questions.</text>
  </threadedComment>
  <threadedComment ref="AC68" dT="2022-10-28T13:56:35.19" personId="{609654FB-393E-4954-B3A3-EDB231775774}" id="{41707468-7438-4BC6-B704-F002DDD23F47}">
    <text>COLA adjustment questions.</text>
  </threadedComment>
  <threadedComment ref="B93" dT="2023-02-24T16:39:02.09" personId="{104078EE-2393-4C21-9029-18A325FBDB70}" id="{6AF7CFB2-704D-4104-831C-CFDBBA2AEEEB}">
    <text>CBO Feb 2023 budget projections table 1-4, social security subtotal</text>
  </threadedComment>
  <threadedComment ref="B93" dT="2023-06-29T15:43:04.78" personId="{2C68A5A1-706F-4A3E-93A3-741BBABEC4EA}" id="{7DD95AD6-CB37-4E4C-85DB-D839D0D68392}" parentId="{6AF7CFB2-704D-4104-831C-CFDBBA2AEEEB}">
    <text>CBO May 2023 budget projections supplemental table 2, social security subtotal</text>
  </threadedComment>
  <threadedComment ref="B93" dT="2024-02-22T14:26:52.50" personId="{09FAC3F1-DFDB-4CF8-9903-358701529E2B}" id="{1B6B475F-16F5-464B-B8B1-453906623618}" parentId="{6AF7CFB2-704D-4104-831C-CFDBBA2AEEEB}">
    <text>This is now February 2024 CBO budget projections Table 1-4 Adjusted for the Effects of Timing Shifts, row 12 social security subtotal</text>
  </threadedComment>
  <threadedComment ref="B93" dT="2024-06-26T19:56:49.87" personId="{2C68A5A1-706F-4A3E-93A3-741BBABEC4EA}" id="{FDBFDF4C-1754-4260-AF98-D7434EC4EA69}" parentId="{6AF7CFB2-704D-4104-831C-CFDBBA2AEEEB}">
    <text>This is now June 2024 CBO budget projections Table 1-4 Adjusted for the Effects of Timing Shifts, row 12 social security subtotal from 2023 onward</text>
  </threadedComment>
  <threadedComment ref="B93" dT="2025-01-23T18:55:27.42" personId="{B61C96CF-201E-4FBB-AE0C-863888EC2CC5}" id="{2C8DB9DB-2046-48DD-87AE-44C4EFC47AE7}" parentId="{6AF7CFB2-704D-4104-831C-CFDBBA2AEEEB}">
    <text xml:space="preserve">This is now January 2025 CBO budget projections Table B-4 Adjusted to Exclude Effects of Timing Shifts, row 13 Social Security Subtotal from 2024 onward. </text>
  </threadedComment>
</ThreadedComments>
</file>

<file path=xl/threadedComments/threadedComment14.xml><?xml version="1.0" encoding="utf-8"?>
<ThreadedComments xmlns="http://schemas.microsoft.com/office/spreadsheetml/2018/threadedcomments" xmlns:x="http://schemas.openxmlformats.org/spreadsheetml/2006/main">
  <threadedComment ref="R8" dT="2022-10-27T18:55:12.78" personId="{609654FB-393E-4954-B3A3-EDB231775774}" id="{76E9D7B8-09F2-47A8-9199-FA1B0CD1F44F}">
    <text>The levels are a lot lower!</text>
  </threadedComment>
  <threadedComment ref="V19" dT="2023-07-27T13:55:30.12" personId="{2C68A5A1-706F-4A3E-93A3-741BBABEC4EA}" id="{00380572-54B0-4EED-8076-994F46F5CE71}">
    <text>Drag my predecessor forward in August 2023!! (Corporate taxes come in late, and we couldn't update in July!)</text>
  </threadedComment>
  <threadedComment ref="W19" dT="2023-10-26T13:36:22.11" personId="{609654FB-393E-4954-B3A3-EDB231775774}" id="{74FD53EC-BD22-40B4-BD6C-141C6D38B843}">
    <text>Drag this forward in November, by the same logic as the comment in the previous cell.</text>
  </threadedComment>
  <threadedComment ref="X19" dT="2024-01-24T19:06:54.51" personId="{09FAC3F1-DFDB-4CF8-9903-358701529E2B}" id="{6795DEFE-DAB2-46DD-A4D6-465B92E5D873}">
    <text>Drag this forward in February because we get Q4 data a month late.</text>
  </threadedComment>
  <threadedComment ref="Y19" dT="2024-07-25T15:32:05.95" personId="{09FAC3F1-DFDB-4CF8-9903-358701529E2B}" id="{7468AB01-963E-49A4-9762-E7442BEBA42D}">
    <text xml:space="preserve">Drag this forward in August 2024 because we get corporate taxes a month late. </text>
  </threadedComment>
  <threadedComment ref="Z19" dT="2024-08-29T14:13:41.39" personId="{09FAC3F1-DFDB-4CF8-9903-358701529E2B}" id="{D4DC681C-3C66-42F4-9C2D-6E8B16777F9C}">
    <text xml:space="preserve">Drag this forward in November because we get taxes a month late. </text>
  </threadedComment>
  <threadedComment ref="AA19" dT="2024-11-26T20:16:42.98" personId="{09FAC3F1-DFDB-4CF8-9903-358701529E2B}" id="{F1A9FE83-3FB8-40C8-9985-A3C558C1C210}">
    <text>Drag this forward in March (we typically get corporate taxes a month late, but at the start of the year, we get corporate taxes two months after the initial release)</text>
  </threadedComment>
  <threadedComment ref="AB19" dT="2025-03-28T13:31:17.28" personId="{09FAC3F1-DFDB-4CF8-9903-358701529E2B}" id="{FA1AC827-D258-4124-BF9D-FB446381ABC1}">
    <text xml:space="preserve">Drag this forward in May - we get corporate taxes a month late. </text>
  </threadedComment>
  <threadedComment ref="AC19" dT="2025-05-29T15:29:26.13" personId="{B61C96CF-201E-4FBB-AE0C-863888EC2CC5}" id="{1E674DC4-BED8-464D-A39F-EFD93E982B91}">
    <text xml:space="preserve">Drag this forward in August - we get corporate taxes a month late. </text>
  </threadedComment>
  <threadedComment ref="AC25" dT="2024-04-26T16:37:16.34" personId="{09FAC3F1-DFDB-4CF8-9903-358701529E2B}" id="{F321F009-AE01-4E4D-9369-A5619D19D165}">
    <text>For all state taxes, (lines 21,23,24), Change Y to AC when data come in</text>
  </threadedComment>
  <threadedComment ref="AG25" dT="2025-07-30T18:21:52.74" personId="{B61C96CF-201E-4FBB-AE0C-863888EC2CC5}" id="{3585F4E1-BC15-421F-86D2-FE2555E5793B}">
    <text>Update values in column AC</text>
  </threadedComment>
  <threadedComment ref="V29" dT="2023-07-27T13:56:35.04" personId="{2C68A5A1-706F-4A3E-93A3-741BBABEC4EA}" id="{B728ADDD-1273-4E55-8814-E8C3FD69479C}">
    <text>Drag my predecessor forward in August 2023!! (Corporate taxes come in late, and we couldn't update in July!)</text>
  </threadedComment>
  <threadedComment ref="W29" dT="2023-10-26T13:36:43.23" personId="{609654FB-393E-4954-B3A3-EDB231775774}" id="{E4DF66AA-5335-4D94-9E4D-66DA99993F87}">
    <text>Drag this forward in November, by the same logic as in the previous cell.</text>
  </threadedComment>
  <threadedComment ref="X29" dT="2024-01-24T19:07:35.34" personId="{09FAC3F1-DFDB-4CF8-9903-358701529E2B}" id="{CC88B2AD-42E1-4429-9F96-11F321E6C309}">
    <text>Drag this forward in February because we get Q4 data one month late.</text>
  </threadedComment>
  <threadedComment ref="Y29" dT="2024-07-25T15:32:48.53" personId="{09FAC3F1-DFDB-4CF8-9903-358701529E2B}" id="{E2554A30-600C-4AD2-8D4A-FC4962812F8B}">
    <text>Drag this forward in August because we get corporate taxes a month late.</text>
  </threadedComment>
  <threadedComment ref="Z29" dT="2024-08-29T14:14:21.83" personId="{09FAC3F1-DFDB-4CF8-9903-358701529E2B}" id="{A196A32E-A5C1-4F07-8B59-119E7AE70D0B}">
    <text>Drag this forward in November because we get taxes a month late.</text>
  </threadedComment>
  <threadedComment ref="AA29" dT="2024-11-26T20:16:59.30" personId="{09FAC3F1-DFDB-4CF8-9903-358701529E2B}" id="{A139012F-1658-4901-B53F-BF56AACE6636}">
    <text xml:space="preserve">Drag this forward in March. </text>
  </threadedComment>
  <threadedComment ref="AB29" dT="2025-04-29T13:43:13.39" personId="{B61C96CF-201E-4FBB-AE0C-863888EC2CC5}" id="{A82A902F-AD6E-4CA9-BF0E-CF712F9C6FA3}">
    <text xml:space="preserve">Drag this forward in May - we get corporate taxes a month late. 
</text>
  </threadedComment>
  <threadedComment ref="AC29" dT="2025-05-29T15:29:35.91" personId="{B61C96CF-201E-4FBB-AE0C-863888EC2CC5}" id="{68156C26-01E4-4C83-858B-B7BF9C7BF980}">
    <text>Drag this forward in August - we get corporate taxes a month late.</text>
  </threadedComment>
  <threadedComment ref="K40" dT="2023-09-29T18:40:36.76" personId="{2C68A5A1-706F-4A3E-93A3-741BBABEC4EA}" id="{6B6C72A1-7084-4836-BD19-21B5B30BA567}">
    <text>We adjusted these growth rates upward because CBO expected taxes to fall gradually but instead they fell quickly.</text>
  </threadedComment>
  <threadedComment ref="K44" dT="2024-02-29T21:02:38.53" personId="{4C0C5F85-AD1E-4C57-B372-003AF5B78A9F}" id="{E8E02DE3-EF37-4D55-B2AF-D500109E0FCA}">
    <text>We reduced the CBO growth rate from 36% to 10% because it seemed anomolously high</text>
  </threadedComment>
  <threadedComment ref="L44" dT="2024-02-29T21:03:05.03" personId="{4C0C5F85-AD1E-4C57-B372-003AF5B78A9F}" id="{3226D48D-8EB7-4B9C-B680-A80BCA57EBDA}">
    <text>We increased the CBO growth rate to account for our large adjustment in the previous year</text>
  </threadedComment>
  <threadedComment ref="M44" dT="2024-05-30T19:58:14.22" personId="{2C68A5A1-706F-4A3E-93A3-741BBABEC4EA}" id="{94BD5204-DCB0-439F-BFFC-2543D9C1CC20}">
    <text>Another additional add factor, similar to comment to the left</text>
  </threadedComment>
  <threadedComment ref="D60" dT="2023-02-15T20:39:04.10" personId="{609654FB-393E-4954-B3A3-EDB231775774}" id="{6589CD25-FEC5-4E8E-9623-1580C8BE64EA}">
    <text>May 2023 CBO Budget Projections Table 1 Row 12</text>
  </threadedComment>
  <threadedComment ref="D60" dT="2024-02-22T14:31:10.89" personId="{09FAC3F1-DFDB-4CF8-9903-358701529E2B}" id="{1369ACA3-6F7E-448C-8A51-40B8562114AA}" parentId="{6589CD25-FEC5-4E8E-9623-1580C8BE64EA}">
    <text>Feb 2024 CBO Budget Projections Table 1-1 Row 10</text>
  </threadedComment>
  <threadedComment ref="D60" dT="2024-06-27T14:27:47.87" personId="{2C68A5A1-706F-4A3E-93A3-741BBABEC4EA}" id="{B0E2FF74-5921-4D3E-B6B0-EFE67C5CB362}" parentId="{6589CD25-FEC5-4E8E-9623-1580C8BE64EA}">
    <text>June 2024 CBO Budget Projections Table 1-1 Row 10</text>
  </threadedComment>
  <threadedComment ref="D60" dT="2025-01-23T19:50:30.29" personId="{B61C96CF-201E-4FBB-AE0C-863888EC2CC5}" id="{9079AF28-F4D5-468B-81E5-DA6DA04A1ED7}" parentId="{6589CD25-FEC5-4E8E-9623-1580C8BE64EA}">
    <text>January 2025 CBO Budget Projections Table B-1 Row 11 from 2024 onward</text>
  </threadedComment>
  <threadedComment ref="M60" dT="2024-05-30T19:30:52.33" personId="{2C68A5A1-706F-4A3E-93A3-741BBABEC4EA}" id="{D25A36D9-28A7-4FC3-9120-890A23F5F3DF}">
    <text>Added CBO estimate to counterfactual from TCJA NOT expiring in https://www.cbo.gov/publication/60271
We also subtracted an addition 30, which is roughly half of the 48+11 from investment.</text>
    <extLst>
      <x:ext xmlns:xltc2="http://schemas.microsoft.com/office/spreadsheetml/2020/threadedcomments2" uri="{F7C98A9C-CBB3-438F-8F68-D28B6AF4A901}">
        <xltc2:checksum>3732159924</xltc2:checksum>
        <xltc2:hyperlink startIndex="63" length="37" url="https://www.cbo.gov/publication/60271"/>
      </x:ext>
    </extLst>
  </threadedComment>
  <threadedComment ref="D64" dT="2023-02-15T20:40:59.29" personId="{609654FB-393E-4954-B3A3-EDB231775774}" id="{097006B6-67FE-456D-98C0-EEDBBF620524}">
    <text>February 2023 Budget Projections Table 1 Row 13</text>
  </threadedComment>
  <threadedComment ref="D64" dT="2023-07-27T18:42:32.97" personId="{609654FB-393E-4954-B3A3-EDB231775774}" id="{47972C5B-1EA3-4920-9C72-53098C6EE1E6}" parentId="{097006B6-67FE-456D-98C0-EEDBBF620524}">
    <text>These are now May 2023 Budget Projections Table 1 row 13</text>
  </threadedComment>
  <threadedComment ref="D64" dT="2024-02-22T14:36:16.32" personId="{09FAC3F1-DFDB-4CF8-9903-358701529E2B}" id="{6FE65376-98C3-4A98-9D0E-A3141E7D6F88}" parentId="{097006B6-67FE-456D-98C0-EEDBBF620524}">
    <text>February 2024 CBO Budget Projections Table 1-1 Row 11</text>
  </threadedComment>
  <threadedComment ref="D64" dT="2024-06-27T14:28:28.14" personId="{2C68A5A1-706F-4A3E-93A3-741BBABEC4EA}" id="{512A4DAA-221D-4FB4-84C0-48654CC9EBEA}" parentId="{097006B6-67FE-456D-98C0-EEDBBF620524}">
    <text>June 2024 CBO Budget Projections Table 1-1 Row 11</text>
  </threadedComment>
  <threadedComment ref="D64" dT="2025-01-23T19:51:13.49" personId="{B61C96CF-201E-4FBB-AE0C-863888EC2CC5}" id="{C525E404-B98D-4057-8514-9B0FA7C1D6B2}" parentId="{097006B6-67FE-456D-98C0-EEDBBF620524}">
    <text>January 2025 CBO Budget Projections Table B-1 Row 12 from 2024 onward</text>
  </threadedComment>
  <threadedComment ref="D66" dT="2023-02-15T20:49:24.23" personId="{609654FB-393E-4954-B3A3-EDB231775774}" id="{75116B21-85F0-41FF-8761-1C32F5413CDC}">
    <text>February 2023 CBO Budget Projections Table 1-6 Row 14</text>
  </threadedComment>
  <threadedComment ref="D66" dT="2024-02-22T14:44:59.03" personId="{09FAC3F1-DFDB-4CF8-9903-358701529E2B}" id="{E5D0E48D-7BF7-43CB-89A1-F96118BD8563}" parentId="{75116B21-85F0-41FF-8761-1C32F5413CDC}">
    <text>February 2024 CBO Budget Projections Table 1-7 Row 14</text>
  </threadedComment>
  <threadedComment ref="D66" dT="2024-06-27T21:11:02.98" personId="{09FAC3F1-DFDB-4CF8-9903-358701529E2B}" id="{CAC567F3-8886-4E0B-A946-B1F4F8217E12}" parentId="{75116B21-85F0-41FF-8761-1C32F5413CDC}">
    <text>June 2024 CBO Revenue Projections by Category, Revenue Projections, Row 14</text>
  </threadedComment>
  <threadedComment ref="D66" dT="2025-01-24T16:18:13.91" personId="{09FAC3F1-DFDB-4CF8-9903-358701529E2B}" id="{E032A028-A56A-4921-B4FA-EB71BFC10271}" parentId="{75116B21-85F0-41FF-8761-1C32F5413CDC}">
    <text>January 2025 CBO Revenue Projections, by Category, Revenue Projections Row 14</text>
  </threadedComment>
  <threadedComment ref="D67" dT="2023-02-15T20:50:01.14" personId="{609654FB-393E-4954-B3A3-EDB231775774}" id="{EBDB931A-D867-4379-AEC4-D01DA7FE1ACD}">
    <text>February 2023 CBO Budget Projections Table 1-6 Row 16</text>
  </threadedComment>
  <threadedComment ref="D67" dT="2024-02-22T14:45:22.24" personId="{09FAC3F1-DFDB-4CF8-9903-358701529E2B}" id="{ED794DE9-410D-4C15-B82A-5D3CF41DD874}" parentId="{EBDB931A-D867-4379-AEC4-D01DA7FE1ACD}">
    <text>February 2024 CBO Budget Projections Table 1-7, row 16</text>
  </threadedComment>
  <threadedComment ref="D67" dT="2024-06-27T21:11:21.66" personId="{09FAC3F1-DFDB-4CF8-9903-358701529E2B}" id="{1D6374F3-7234-4C5B-AC35-F11980D0384F}" parentId="{EBDB931A-D867-4379-AEC4-D01DA7FE1ACD}">
    <text>June 2024 CBO Revenue Projections, Revenue Projections Sheet, Row 16</text>
  </threadedComment>
  <threadedComment ref="D67" dT="2025-01-24T16:20:10.43" personId="{09FAC3F1-DFDB-4CF8-9903-358701529E2B}" id="{FCE743DB-D29D-44C1-83E8-73F6E97FFD06}" parentId="{EBDB931A-D867-4379-AEC4-D01DA7FE1ACD}">
    <text xml:space="preserve">January 2025 CBO Revenue Projections, Revenue Projections Sheet, Row 15
</text>
  </threadedComment>
  <threadedComment ref="D68" dT="2023-02-15T20:51:09.94" personId="{609654FB-393E-4954-B3A3-EDB231775774}" id="{2C4BAD88-B40B-4A01-A5F2-F84C2536C03E}">
    <text>May 2023 CBO Budget Projections Table 1 Row 14</text>
  </threadedComment>
  <threadedComment ref="D68" dT="2024-02-22T14:47:44.47" personId="{09FAC3F1-DFDB-4CF8-9903-358701529E2B}" id="{56D856A9-9BA2-49ED-883D-63CB631230CC}" parentId="{2C4BAD88-B40B-4A01-A5F2-F84C2536C03E}">
    <text>February 2023 CBO Budget Projections Table 1-1, row 12</text>
  </threadedComment>
  <threadedComment ref="D68" dT="2024-06-27T14:32:38.18" personId="{2C68A5A1-706F-4A3E-93A3-741BBABEC4EA}" id="{FD495377-F4B3-4E2A-B7D0-A8B8FF2573A7}" parentId="{2C4BAD88-B40B-4A01-A5F2-F84C2536C03E}">
    <text>June 2024 CBO Budget projections table 1-1 row 12</text>
  </threadedComment>
  <threadedComment ref="D68" dT="2025-01-23T19:53:53.10" personId="{B61C96CF-201E-4FBB-AE0C-863888EC2CC5}" id="{F9AE7CE9-F293-4D36-A070-90D0725CEE0C}" parentId="{2C4BAD88-B40B-4A01-A5F2-F84C2536C03E}">
    <text>January 2025 CBO Budget Projections Table B-1 row 13 from 2024 onward</text>
  </threadedComment>
  <threadedComment ref="M68" dT="2024-05-30T19:35:19.75" personId="{2C68A5A1-706F-4A3E-93A3-741BBABEC4EA}" id="{FE7E9557-0FDB-4920-AE7B-BFDFF7C3F868}" done="1">
    <text xml:space="preserve">See comment in M56 on using CBO estimate of TCJA not expiring
</text>
  </threadedComment>
  <threadedComment ref="D88" dT="2023-02-15T20:53:24.39" personId="{609654FB-393E-4954-B3A3-EDB231775774}" id="{EDAE8D47-AFCA-423D-A859-CA0C5A663F65}">
    <text>February 2023 CBO Economic Projections Fiscal Year Table row 92</text>
  </threadedComment>
  <threadedComment ref="D88" dT="2023-07-27T18:46:48.63" personId="{609654FB-393E-4954-B3A3-EDB231775774}" id="{0CE4D702-B30F-4920-BFC6-75E7E8E3FE94}" parentId="{EDAE8D47-AFCA-423D-A859-CA0C5A663F65}">
    <text>July 2023 now</text>
  </threadedComment>
  <threadedComment ref="D88" dT="2024-02-22T15:10:21.02" personId="{09FAC3F1-DFDB-4CF8-9903-358701529E2B}" id="{7AE8B3C4-B170-462F-B829-C4CBDBAF4609}" parentId="{EDAE8D47-AFCA-423D-A859-CA0C5A663F65}">
    <text>This is now February 2024 CBO Economic Projections Fiscal Year Sheet, row 94</text>
  </threadedComment>
  <threadedComment ref="D88" dT="2024-06-27T14:34:45.71" personId="{2C68A5A1-706F-4A3E-93A3-741BBABEC4EA}" id="{391545C3-75BA-4E8A-B80C-D080C3D4D887}" parentId="{EDAE8D47-AFCA-423D-A859-CA0C5A663F65}">
    <text>June 2024 Econ projections Fiscal Year sheet row 94. Pasted for 2021 onward</text>
  </threadedComment>
  <threadedComment ref="D88" dT="2025-01-23T19:55:46.36" personId="{B61C96CF-201E-4FBB-AE0C-863888EC2CC5}" id="{38D6559F-A2C1-454D-9735-7FE503578198}" parentId="{EDAE8D47-AFCA-423D-A859-CA0C5A663F65}">
    <text>January 2025 Economic Projections Fiscal Year Sheet row 94 from 2022 onward</text>
  </threadedComment>
  <threadedComment ref="D89" dT="2023-02-15T20:55:16.88" personId="{609654FB-393E-4954-B3A3-EDB231775774}" id="{98619BF5-BFE1-4C95-8FB5-43A86C16D5FA}">
    <text>February 2023 CBO Economic Projections Fiscal Year Table row 96</text>
  </threadedComment>
  <threadedComment ref="D89" dT="2023-07-27T18:46:54.82" personId="{609654FB-393E-4954-B3A3-EDB231775774}" id="{4FC7086E-9C1C-4EE4-8D09-08117BD8E9A6}" parentId="{98619BF5-BFE1-4C95-8FB5-43A86C16D5FA}">
    <text>July 2023 now</text>
  </threadedComment>
  <threadedComment ref="D89" dT="2024-02-22T15:12:46.20" personId="{09FAC3F1-DFDB-4CF8-9903-358701529E2B}" id="{51B2DBD7-8496-49F3-945F-2B112D3108D8}" parentId="{98619BF5-BFE1-4C95-8FB5-43A86C16D5FA}">
    <text>This is now February 2024 CBO Economic Projections Fiscal Year Table row, row 98</text>
  </threadedComment>
  <threadedComment ref="D89" dT="2024-06-27T14:35:02.92" personId="{2C68A5A1-706F-4A3E-93A3-741BBABEC4EA}" id="{388DD623-D96E-4D43-A2D5-5E89866F2D9C}" parentId="{98619BF5-BFE1-4C95-8FB5-43A86C16D5FA}">
    <text>June 2024 Econ projections Fiscal Year sheet row 98. Pasted for 2021 onward</text>
  </threadedComment>
  <threadedComment ref="D89" dT="2025-01-23T21:37:17.60" personId="{B61C96CF-201E-4FBB-AE0C-863888EC2CC5}" id="{EDE6B7F6-F00C-413D-9541-8D68546383B2}" parentId="{98619BF5-BFE1-4C95-8FB5-43A86C16D5FA}">
    <text>January 2025 Economic Projections Fiscal Year Row 98 from 2022 onward</text>
  </threadedComment>
  <threadedComment ref="D90" dT="2023-02-15T20:56:03.85" personId="{609654FB-393E-4954-B3A3-EDB231775774}" id="{46014701-D9E5-4859-A3AE-AC59F7604C25}">
    <text>February 2023 CBO Economic Projections, Fiscal Year Table row 116</text>
  </threadedComment>
  <threadedComment ref="D90" dT="2023-07-27T18:47:32.66" personId="{609654FB-393E-4954-B3A3-EDB231775774}" id="{D033DF60-0EA4-42B2-BD4E-BFE9E46BB54B}" parentId="{46014701-D9E5-4859-A3AE-AC59F7604C25}">
    <text>July now</text>
  </threadedComment>
  <threadedComment ref="D90" dT="2024-02-22T15:13:36.88" personId="{09FAC3F1-DFDB-4CF8-9903-358701529E2B}" id="{DAC5B9ED-E3AA-4747-95FD-480C9B8E3AA2}" parentId="{46014701-D9E5-4859-A3AE-AC59F7604C25}">
    <text>February 2024 CBO Economic Projections, Fiscal Year Table, row 118</text>
  </threadedComment>
  <threadedComment ref="D90" dT="2024-06-27T14:36:46.17" personId="{2C68A5A1-706F-4A3E-93A3-741BBABEC4EA}" id="{9AB0F8C1-8EF4-4A61-8E26-73D627A86EFA}" parentId="{46014701-D9E5-4859-A3AE-AC59F7604C25}">
    <text>June 2024 CBO Economic Projections, Fiscal Year Table, row 118 pasted from 2021 onward</text>
  </threadedComment>
  <threadedComment ref="D90" dT="2025-01-23T21:39:29.83" personId="{B61C96CF-201E-4FBB-AE0C-863888EC2CC5}" id="{EF393852-E852-4B38-92F3-F6E5CDDCFBE9}" parentId="{46014701-D9E5-4859-A3AE-AC59F7604C25}">
    <text>January 2025 CBO Economic Projections, Fiscal Year Table, row 118 from 2022 onward</text>
  </threadedComment>
  <threadedComment ref="D91" dT="2023-02-15T20:57:01.88" personId="{609654FB-393E-4954-B3A3-EDB231775774}" id="{8B80F2C4-DC7D-4FD8-A76B-013229C88626}">
    <text>February 2023 CBO Economic Projections Fiscal Year Table row 110</text>
  </threadedComment>
  <threadedComment ref="D91" dT="2023-07-27T18:47:56.03" personId="{609654FB-393E-4954-B3A3-EDB231775774}" id="{0E2C819B-A949-4133-9197-4914E69E57D6}" parentId="{8B80F2C4-DC7D-4FD8-A76B-013229C88626}">
    <text>July now</text>
  </threadedComment>
  <threadedComment ref="D91" dT="2024-02-22T15:15:43.17" personId="{09FAC3F1-DFDB-4CF8-9903-358701529E2B}" id="{5E65C3B6-7591-434A-A302-8D343F00AAEA}" parentId="{8B80F2C4-DC7D-4FD8-A76B-013229C88626}">
    <text>This is now February 2024 CBO Economic Projections Fiscal Year Table, row 112</text>
  </threadedComment>
  <threadedComment ref="D91" dT="2024-06-27T14:37:42.80" personId="{2C68A5A1-706F-4A3E-93A3-741BBABEC4EA}" id="{E3557D96-DE00-477F-A1AE-D3C649C5BAC9}" parentId="{8B80F2C4-DC7D-4FD8-A76B-013229C88626}">
    <text>June 2024 CBO Economic Projections Fiscal Year Table, row 112 from 2021 onward</text>
  </threadedComment>
  <threadedComment ref="D91" dT="2025-01-23T21:41:08.62" personId="{B61C96CF-201E-4FBB-AE0C-863888EC2CC5}" id="{DAB742E1-69C2-4178-8DA0-205662AEA824}" parentId="{8B80F2C4-DC7D-4FD8-A76B-013229C88626}">
    <text>January 2025 CBO Economic Projections Fiscal Year Table, row 112 from 2022 onward</text>
  </threadedComment>
  <threadedComment ref="D112" dT="2023-02-15T21:14:11.24" personId="{609654FB-393E-4954-B3A3-EDB231775774}" id="{D8EA9740-DEF1-4DB0-BE97-84BC7067AF0C}">
    <text>February 2023 CBO Economic Projections Quarterly Table, row 96</text>
  </threadedComment>
  <threadedComment ref="D112" dT="2023-07-27T18:51:44.27" personId="{609654FB-393E-4954-B3A3-EDB231775774}" id="{399961A0-76CD-4567-ABB2-73B23F0A809E}" parentId="{D8EA9740-DEF1-4DB0-BE97-84BC7067AF0C}">
    <text>Same table and row, July 2023</text>
  </threadedComment>
  <threadedComment ref="D112" dT="2024-02-22T15:28:26.88" personId="{09FAC3F1-DFDB-4CF8-9903-358701529E2B}" id="{87D40157-C1F2-4FE8-828B-C4F0E6CF9780}" parentId="{D8EA9740-DEF1-4DB0-BE97-84BC7067AF0C}">
    <text>February 2024 CBO Economic Projections Quarterly Table, row 98</text>
  </threadedComment>
  <threadedComment ref="D112" dT="2024-06-27T14:40:11.35" personId="{2C68A5A1-706F-4A3E-93A3-741BBABEC4EA}" id="{7753BE9A-55B4-496C-AA32-94241080EBE4}" parentId="{D8EA9740-DEF1-4DB0-BE97-84BC7067AF0C}">
    <text>Ju 2024 economic projections quarterly table row 98 pasted from 2021 Q1 onward</text>
  </threadedComment>
  <threadedComment ref="D112" dT="2025-01-23T21:43:23.67" personId="{B61C96CF-201E-4FBB-AE0C-863888EC2CC5}" id="{36C6FB06-4CBB-490E-BBC4-4E898ABD02FF}" parentId="{D8EA9740-DEF1-4DB0-BE97-84BC7067AF0C}">
    <text>January 2025 Economic Projections Quarterly Table, Row 98 from 2022 Q1 onward</text>
  </threadedComment>
  <threadedComment ref="D113" dT="2023-02-15T21:14:52.42" personId="{609654FB-393E-4954-B3A3-EDB231775774}" id="{01A0D228-FB54-4190-9CF6-9C01EC1BA5B9}">
    <text>February 2023 CBO Economic Projections quarterly tables, row 98</text>
  </threadedComment>
  <threadedComment ref="D113" dT="2023-07-27T18:51:58.38" personId="{609654FB-393E-4954-B3A3-EDB231775774}" id="{6E1FAE13-5A68-4FE8-8FA0-1053141CB3C4}" parentId="{01A0D228-FB54-4190-9CF6-9C01EC1BA5B9}">
    <text>Same table and row, July 2023</text>
  </threadedComment>
  <threadedComment ref="D113" dT="2024-02-22T15:30:49.62" personId="{09FAC3F1-DFDB-4CF8-9903-358701529E2B}" id="{E119985C-D646-4892-8A75-85679B84D917}" parentId="{01A0D228-FB54-4190-9CF6-9C01EC1BA5B9}">
    <text>February 2024 CBO Economic Projections quarterly tables, row 100</text>
  </threadedComment>
  <threadedComment ref="D113" dT="2024-06-27T14:41:16.43" personId="{2C68A5A1-706F-4A3E-93A3-741BBABEC4EA}" id="{39CE186E-7681-41C2-93D2-3339FE77B061}" parentId="{01A0D228-FB54-4190-9CF6-9C01EC1BA5B9}">
    <text>June 2024 CBO Economic Projections Quarterly table row 100 from 2021 Q1 onward</text>
  </threadedComment>
  <threadedComment ref="D113" dT="2025-01-23T21:44:55.46" personId="{B61C96CF-201E-4FBB-AE0C-863888EC2CC5}" id="{A4F62206-F061-4E64-9EB3-53347C2451E8}" parentId="{01A0D228-FB54-4190-9CF6-9C01EC1BA5B9}">
    <text>January 2025 CBO Economic Projections Quarterly Table, Row 100 from 2022 Q1 onward</text>
  </threadedComment>
  <threadedComment ref="D114" dT="2023-02-15T21:15:38.27" personId="{609654FB-393E-4954-B3A3-EDB231775774}" id="{6D8A3FCA-DD94-4151-98C1-C08147ACC4FE}">
    <text>February 2023 CBO Economic Projections quarterly table, row 116</text>
  </threadedComment>
  <threadedComment ref="D114" dT="2023-07-27T18:51:50.61" personId="{609654FB-393E-4954-B3A3-EDB231775774}" id="{719D2217-E5E3-4821-A242-3276C342DE0E}" parentId="{6D8A3FCA-DD94-4151-98C1-C08147ACC4FE}">
    <text>Same table and row, July 2023</text>
  </threadedComment>
  <threadedComment ref="D114" dT="2024-02-22T15:37:14.65" personId="{09FAC3F1-DFDB-4CF8-9903-358701529E2B}" id="{FADB33BB-BCAB-4425-A604-B2B5DF9306B1}" parentId="{6D8A3FCA-DD94-4151-98C1-C08147ACC4FE}">
    <text>This is now February 2024 CBO Economic Projections Quarterly Table, row 118</text>
  </threadedComment>
  <threadedComment ref="D114" dT="2024-06-27T14:41:57.04" personId="{2C68A5A1-706F-4A3E-93A3-741BBABEC4EA}" id="{6E68D160-F170-48F0-A676-FD2CBFE9A472}" parentId="{6D8A3FCA-DD94-4151-98C1-C08147ACC4FE}">
    <text xml:space="preserve">June 2024 CBO Economic Projections Quarterly Table, row 118 from 2021 Q1 onward
</text>
  </threadedComment>
  <threadedComment ref="D114" dT="2025-01-23T21:45:46.12" personId="{B61C96CF-201E-4FBB-AE0C-863888EC2CC5}" id="{49BCD814-D450-4C94-91A2-9FB37D0E0FE3}" parentId="{6D8A3FCA-DD94-4151-98C1-C08147ACC4FE}">
    <text>January 2025 CBO Economic Projections Quarterly Table, Row 118 from 2022 Q1 onward</text>
  </threadedComment>
  <threadedComment ref="D115" dT="2023-02-15T21:16:25.78" personId="{609654FB-393E-4954-B3A3-EDB231775774}" id="{E66890F8-22DF-42B0-AC60-B1869F7BC621}">
    <text>February 2023 CBO Economic Projections quarterly table row 112</text>
  </threadedComment>
  <threadedComment ref="D115" dT="2023-07-27T18:52:05.52" personId="{609654FB-393E-4954-B3A3-EDB231775774}" id="{F7A27CC0-C2FC-48F0-A609-745A420CC291}" parentId="{E66890F8-22DF-42B0-AC60-B1869F7BC621}">
    <text>Same table and row, July 2023</text>
  </threadedComment>
  <threadedComment ref="D115" dT="2024-02-22T15:42:56.34" personId="{09FAC3F1-DFDB-4CF8-9903-358701529E2B}" id="{2C2B4911-84B8-41A5-8DE1-C7EEC224424A}" parentId="{E66890F8-22DF-42B0-AC60-B1869F7BC621}">
    <text>February 2024 CBO Economic Projections quarterly table row 114 corporate profits domestic</text>
  </threadedComment>
  <threadedComment ref="D115" dT="2024-06-27T14:43:33.75" personId="{2C68A5A1-706F-4A3E-93A3-741BBABEC4EA}" id="{781E11C8-846A-408E-820E-4B87BE27ABD5}" parentId="{E66890F8-22DF-42B0-AC60-B1869F7BC621}">
    <text xml:space="preserve">June 2024 CBO Economic Projections quarterly table row 114 corporate profits domestic with IVA and CCAdj, from 2021 Q1 onward
</text>
  </threadedComment>
  <threadedComment ref="D115" dT="2025-01-23T21:48:12.92" personId="{B61C96CF-201E-4FBB-AE0C-863888EC2CC5}" id="{EBDA57A5-367A-4741-8CC4-FC26947E5AD5}" parentId="{E66890F8-22DF-42B0-AC60-B1869F7BC621}">
    <text>January 2025 CBO Economic Projections Quarterly Table, Row 114 Profits, corporate, domestic, with IVA &amp; CCAdj from 2022 Q1 onward</text>
  </threadedComment>
  <threadedComment ref="U138" dT="2023-04-27T03:02:33.18" personId="{2C68A5A1-706F-4A3E-93A3-741BBABEC4EA}" id="{C6C0613E-5824-4E44-9B9B-56A8FAD3277B}">
    <text>I can't drag these over because of circular references.</text>
  </threadedComment>
  <threadedComment ref="V141" dT="2023-07-27T14:08:57.55" personId="{2C68A5A1-706F-4A3E-93A3-741BBABEC4EA}" id="{76E9B5E8-2A8A-4C12-9070-2F3AE74C018D}">
    <text>Drag my predecessor forward in August 2023!! (Corporate taxes come in late, and we couldn't update in July!)</text>
  </threadedComment>
  <threadedComment ref="W141" dT="2023-10-26T13:42:51.37" personId="{609654FB-393E-4954-B3A3-EDB231775774}" id="{C29AB431-29D9-4CCA-987B-D276EB079D36}">
    <text>Drag forward in November by same logic as in previous cell.</text>
  </threadedComment>
  <threadedComment ref="X141" dT="2024-01-24T19:09:22.97" personId="{09FAC3F1-DFDB-4CF8-9903-358701529E2B}" id="{8B1B2CE3-6A04-42EE-BE87-716D5CF48A6A}">
    <text>Drag forward in February because we get Q4 Data 1 month late.</text>
  </threadedComment>
  <threadedComment ref="Y141" dT="2024-07-25T15:51:05.68" personId="{09FAC3F1-DFDB-4CF8-9903-358701529E2B}" id="{0636232B-B9F8-4715-951F-C32233D486DD}">
    <text xml:space="preserve">Drag forward in August because we get the data a month late. </text>
  </threadedComment>
  <threadedComment ref="Z141" dT="2024-08-29T14:15:29.25" personId="{09FAC3F1-DFDB-4CF8-9903-358701529E2B}" id="{19F28DCE-9161-40FF-A0B0-819C3E4800B6}">
    <text xml:space="preserve">Drag this forward in November because we get taxes a month late. </text>
  </threadedComment>
  <threadedComment ref="AA141" dT="2025-01-31T15:14:38.88" personId="{B61C96CF-201E-4FBB-AE0C-863888EC2CC5}" id="{FC537E22-6E2A-4FE6-AC48-0FF2E86CD862}">
    <text xml:space="preserve">Drag this forward in February because we get taxes a month late. </text>
  </threadedComment>
  <threadedComment ref="AC141" dT="2025-05-29T15:32:21.65" personId="{B61C96CF-201E-4FBB-AE0C-863888EC2CC5}" id="{A0BB555F-DC13-4C98-8E1D-5CFBA09D2493}">
    <text>Drag this forward in August because we get taxes a month late.</text>
  </threadedComment>
</ThreadedComments>
</file>

<file path=xl/threadedComments/threadedComment15.xml><?xml version="1.0" encoding="utf-8"?>
<ThreadedComments xmlns="http://schemas.microsoft.com/office/spreadsheetml/2018/threadedcomments" xmlns:x="http://schemas.openxmlformats.org/spreadsheetml/2006/main">
  <threadedComment ref="B63" dT="2022-12-08T15:25:37.53" personId="{104078EE-2393-4C21-9029-18A325FBDB70}" id="{3D2D0DDD-7B5A-43DF-B8EA-F946232323B5}">
    <text>These series are in inst/extdata/projections.xlsx. See the dictionary sheet in that workbook to locate these in CBO. When there's a new baseline, update projections.xlsx and pull in the variables here as well.</text>
  </threadedComment>
  <threadedComment ref="B65" dT="2023-07-27T18:54:18.72" personId="{609654FB-393E-4954-B3A3-EDB231775774}" id="{0DF18CD1-DDA4-4936-9B9E-36F885A8A9DF}">
    <text>July 2023 10-year economic projections Quarterly Table line 116</text>
  </threadedComment>
  <threadedComment ref="B65" dT="2024-02-22T16:14:54.16" personId="{09FAC3F1-DFDB-4CF8-9903-358701529E2B}" id="{5E636256-C425-4746-8026-732FFB49DCA6}" parentId="{0DF18CD1-DDA4-4936-9B9E-36F885A8A9DF}">
    <text>February 2024 CBO Economic Projections, Quarterly Table, Line 118</text>
  </threadedComment>
  <threadedComment ref="B65" dT="2024-06-27T14:46:21.05" personId="{2C68A5A1-706F-4A3E-93A3-741BBABEC4EA}" id="{D50CF423-E0D1-4B94-95BB-8C460DAA2108}" parentId="{0DF18CD1-DDA4-4936-9B9E-36F885A8A9DF}">
    <text>June 2024 CBO Economic Projections, Quarterly Table, Line 118 pasted from 2021 Q1 onward</text>
  </threadedComment>
  <threadedComment ref="B65" dT="2025-01-23T21:50:55.86" personId="{B61C96CF-201E-4FBB-AE0C-863888EC2CC5}" id="{CAB231F4-1DA4-4B3C-B5AE-8B26BDB5FE0A}" parentId="{0DF18CD1-DDA4-4936-9B9E-36F885A8A9DF}">
    <text>January 2025 CBO Economic Projections, Quarterly Table, Line 118 from 2022 Q1 onward</text>
  </threadedComment>
  <threadedComment ref="B66" dT="2023-07-27T18:58:29.78" personId="{609654FB-393E-4954-B3A3-EDB231775774}" id="{9DDFDF05-CB8A-4154-92B5-FB4AFBAE30F8}">
    <text>July 2023 10-year economic projections quarterly table line 127</text>
  </threadedComment>
  <threadedComment ref="B66" dT="2024-02-22T16:17:18.71" personId="{09FAC3F1-DFDB-4CF8-9903-358701529E2B}" id="{415918D2-8F3E-4EB4-8C8E-353F5D499194}" parentId="{9DDFDF05-CB8A-4154-92B5-FB4AFBAE30F8}">
    <text>July 2023 CBO Economic Projections, Quarterly Table Line 129</text>
  </threadedComment>
  <threadedComment ref="B66" dT="2024-06-27T14:46:52.06" personId="{2C68A5A1-706F-4A3E-93A3-741BBABEC4EA}" id="{50296040-D0CA-4737-BBB1-FF0CC10742F9}" parentId="{9DDFDF05-CB8A-4154-92B5-FB4AFBAE30F8}">
    <text>June 2024 CBO Economic Projections, Quarterly Table Line 129 from 2021 Q1 onward</text>
  </threadedComment>
  <threadedComment ref="B66" dT="2025-01-23T21:52:13.54" personId="{B61C96CF-201E-4FBB-AE0C-863888EC2CC5}" id="{C3005573-CFE8-4499-9881-F4D6618E38BC}" parentId="{9DDFDF05-CB8A-4154-92B5-FB4AFBAE30F8}">
    <text>January 2025 CBO Economic Projections, Quarterly Table Line 129 from 2022 Q1 onward</text>
  </threadedComment>
  <threadedComment ref="B67" dT="2023-07-27T18:58:47.03" personId="{609654FB-393E-4954-B3A3-EDB231775774}" id="{C72DB8C1-80AB-49EE-8306-B3882C563DE7}">
    <text>July 2023 economic projections quarterly table line 129</text>
  </threadedComment>
  <threadedComment ref="B67" dT="2024-02-22T16:18:11.19" personId="{09FAC3F1-DFDB-4CF8-9903-358701529E2B}" id="{D3B155C7-B049-48E7-A2B4-C43A9DB0EA80}" parentId="{C72DB8C1-80AB-49EE-8306-B3882C563DE7}">
    <text>February 2024 Economic Projections, Quarterly Table line 131</text>
  </threadedComment>
  <threadedComment ref="B67" dT="2024-06-27T14:47:56.28" personId="{2C68A5A1-706F-4A3E-93A3-741BBABEC4EA}" id="{75F43EB2-3F3C-4D75-9509-C56EEAB4DD69}" parentId="{C72DB8C1-80AB-49EE-8306-B3882C563DE7}">
    <text xml:space="preserve">June  2024 Economic Projections, Quarterly Table line 131 from 2021 Q1 onward
</text>
  </threadedComment>
  <threadedComment ref="B67" dT="2025-01-23T21:53:00.72" personId="{B61C96CF-201E-4FBB-AE0C-863888EC2CC5}" id="{EC06B0A7-A7D5-44A7-88E3-AFB308BBF369}" parentId="{C72DB8C1-80AB-49EE-8306-B3882C563DE7}">
    <text>January 2025 Economic Projections, Quarterly Table, Line 131 from 2022 Q1 onward</text>
  </threadedComment>
  <threadedComment ref="B68" dT="2023-07-27T18:59:18.12" personId="{609654FB-393E-4954-B3A3-EDB231775774}" id="{65400755-1E7E-45CD-B1D4-DAC1E9F13C96}">
    <text>July 2023 economic projections quarterly table line 139</text>
  </threadedComment>
  <threadedComment ref="B68" dT="2024-02-22T16:22:22.44" personId="{09FAC3F1-DFDB-4CF8-9903-358701529E2B}" id="{B6540356-436A-4581-AA68-7BEB752C9369}" parentId="{65400755-1E7E-45CD-B1D4-DAC1E9F13C96}">
    <text>February 2024 CBO Economic Projections, Quarterly Table, row 141</text>
  </threadedComment>
  <threadedComment ref="B68" dT="2024-06-27T14:50:57.19" personId="{2C68A5A1-706F-4A3E-93A3-741BBABEC4EA}" id="{D9A57EA5-FB02-4C18-A6DA-50261F26F942}" parentId="{65400755-1E7E-45CD-B1D4-DAC1E9F13C96}">
    <text>June 2024 CBO Economic Projections, Quarterly Table, row 141 from 2021 Q1 onward</text>
  </threadedComment>
  <threadedComment ref="B68" dT="2025-01-23T21:53:52.84" personId="{B61C96CF-201E-4FBB-AE0C-863888EC2CC5}" id="{D2BE47FE-A499-48A5-93D2-412C04A98C10}" parentId="{65400755-1E7E-45CD-B1D4-DAC1E9F13C96}">
    <text>January 2025 CBO Economic Projections, Quarterly Table, Row 141 from 2022 Q1 onward</text>
  </threadedComment>
  <threadedComment ref="B69" dT="2023-07-27T18:59:50.42" personId="{609654FB-393E-4954-B3A3-EDB231775774}" id="{2342851E-1027-489D-A9C9-2E8A800F814B}">
    <text>July 2023 economic projections quarterly table line 150</text>
  </threadedComment>
  <threadedComment ref="B69" dT="2024-02-22T16:24:23.29" personId="{09FAC3F1-DFDB-4CF8-9903-358701529E2B}" id="{1C910F0A-56B8-478F-AC70-88B4D842C6E9}" parentId="{2342851E-1027-489D-A9C9-2E8A800F814B}">
    <text>February 2024 CBO Economic Projections, Quarterly Table, Line 152</text>
  </threadedComment>
  <threadedComment ref="B69" dT="2024-06-27T14:51:10.46" personId="{2C68A5A1-706F-4A3E-93A3-741BBABEC4EA}" id="{E134738C-B99D-4F51-A452-DDB0BD4715FF}" parentId="{2342851E-1027-489D-A9C9-2E8A800F814B}">
    <text>June 2024 CBO Economic Projections, Quarterly Table, Line 152 from 2021 Q1 onward</text>
  </threadedComment>
  <threadedComment ref="B69" dT="2025-01-23T21:54:43.52" personId="{B61C96CF-201E-4FBB-AE0C-863888EC2CC5}" id="{97B75CA0-04C0-41EB-BF36-8476127951E0}" parentId="{2342851E-1027-489D-A9C9-2E8A800F814B}">
    <text>January 2025 CBO Economic Projections, Quarterly Table, Line 152 from 2022 Q1 onward</text>
  </threadedComment>
  <threadedComment ref="B70" dT="2023-07-27T19:00:00.27" personId="{609654FB-393E-4954-B3A3-EDB231775774}" id="{7C559531-A861-49AD-8365-07F57C6BE5A0}">
    <text>July 2023 economic projections quarterly table line 152</text>
  </threadedComment>
  <threadedComment ref="B70" dT="2024-02-22T16:28:42.10" personId="{09FAC3F1-DFDB-4CF8-9903-358701529E2B}" id="{90DE8F8A-2245-44B5-B9ED-169DA3A954BB}" parentId="{7C559531-A861-49AD-8365-07F57C6BE5A0}">
    <text>This is now February 2024 economic Projections, Quarterly Table, row 154</text>
  </threadedComment>
  <threadedComment ref="B70" dT="2025-01-23T21:56:52.70" personId="{B61C96CF-201E-4FBB-AE0C-863888EC2CC5}" id="{511B591D-3E90-4093-B4C0-B8CCA6705B31}" parentId="{7C559531-A861-49AD-8365-07F57C6BE5A0}">
    <text>January 2025 CBO Economic Projections, Quarterly Table, Line 154 from 2022 Q1 onward</text>
  </threadedComment>
</ThreadedComments>
</file>

<file path=xl/threadedComments/threadedComment16.xml><?xml version="1.0" encoding="utf-8"?>
<ThreadedComments xmlns="http://schemas.microsoft.com/office/spreadsheetml/2018/threadedcomments" xmlns:x="http://schemas.openxmlformats.org/spreadsheetml/2006/main">
  <threadedComment ref="V12" dT="2023-04-27T02:58:38.96" personId="{2C68A5A1-706F-4A3E-93A3-741BBABEC4EA}" id="{505E7BD6-88A4-42AD-A6DC-68BD0BE87D33}">
    <text>Why are the projected #s so different from the historical #s?</text>
  </threadedComment>
  <threadedComment ref="S13" dT="2022-10-27T17:47:53.13" personId="{609654FB-393E-4954-B3A3-EDB231775774}" id="{881F3BB7-106B-4F00-B0DA-BD9A53BEF838}">
    <text>This didn't get automatically pulled in by Haver. Run Haver pull tomorrow.</text>
  </threadedComment>
  <threadedComment ref="U13" dT="2023-04-28T16:49:22.08" personId="{104078EE-2393-4C21-9029-18A325FBDB70}" id="{C3DB8831-9F87-4F3D-9B9D-9A9E1597F426}">
    <text>Back to pre-pandemic level so we no longer get data from BEA and we don't use it</text>
  </threadedComment>
  <threadedComment ref="W24" dT="2023-07-28T15:01:48.28" personId="{609654FB-393E-4954-B3A3-EDB231775774}" id="{4228D01B-4AEF-4CA7-B658-811954DCF7BB}">
    <text>Our SNAP due to COVID projection goes on at its current level forever. Does this make sense to us, especially because it's been leveling off?</text>
  </threadedComment>
  <threadedComment ref="V25" dT="2023-04-27T02:58:38.96" personId="{2C68A5A1-706F-4A3E-93A3-741BBABEC4EA}" id="{04B398A3-1374-48E0-B6C2-D78AE6DA1BDD}">
    <text>Why are the projected #s so different from the historical #s?</text>
  </threadedComment>
  <threadedComment ref="T32" dT="2023-01-26T22:24:09.34" personId="{609654FB-393E-4954-B3A3-EDB231775774}" id="{0D6526F1-FB84-4CE1-BF6D-D216D2CBFA7D}">
    <text>Hard coded, formulas otherwise maintained.</text>
  </threadedComment>
  <threadedComment ref="W34" dT="2023-07-28T15:01:48.28" personId="{609654FB-393E-4954-B3A3-EDB231775774}" id="{776C20D9-BBE8-4C4A-83F8-DBDF30610EB7}">
    <text>Our SNAP due to COVID projection goes on at its current level forever. Does this make sense to us, especially because it's been leveling off?</text>
  </threadedComment>
  <threadedComment ref="S35" dT="2022-10-27T17:47:53.13" personId="{609654FB-393E-4954-B3A3-EDB231775774}" id="{13EDECA1-3336-4AAC-8327-B0C38DEC95D7}">
    <text>This didn't get automatically pulled in by Haver. Run Haver pull tomorrow.</text>
  </threadedComment>
  <threadedComment ref="U35" dT="2023-04-28T16:49:22.08" personId="{104078EE-2393-4C21-9029-18A325FBDB70}" id="{60848DDC-4FFF-464F-B8D9-5B6A281B60B5}">
    <text>Back to pre-pandemic level so we no longer get data from BEA and we don't use it</text>
  </threadedComment>
  <threadedComment ref="S38" dT="2022-10-27T17:37:59.67" personId="{609654FB-393E-4954-B3A3-EDB231775774}" id="{E57A7D31-77D0-420E-9DD7-198719027F9A}">
    <text>Another prediction ARP will crash. Do we still want this?</text>
  </threadedComment>
  <threadedComment ref="B40" dT="2023-02-16T19:02:57.27" personId="{609654FB-393E-4954-B3A3-EDB231775774}" id="{C002318B-0202-4CC0-8DD3-1725593FE3D1}">
    <text>Same issue as previous--we have policies but they don't feed into anything we get from the CBO. So what do we do?</text>
  </threadedComment>
  <threadedComment ref="B66" dT="2023-02-16T19:02:57.27" personId="{609654FB-393E-4954-B3A3-EDB231775774}" id="{E4FE7A8B-4D2A-4359-B238-2B2BE1512246}">
    <text>Same issue as previous--we have policies but they don't feed into anything we get from the CBO. So what do we do?</text>
  </threadedComment>
  <threadedComment ref="W85" dT="2023-07-28T17:56:37.74" personId="{2C68A5A1-706F-4A3E-93A3-741BBABEC4EA}" id="{43DC2388-3546-49A3-A073-D026721B0873}">
    <text>We're assuming it will stay at 37.7 because of the new TFP</text>
  </threadedComment>
  <threadedComment ref="J101" dT="2021-11-02T13:23:36.94" personId="{58CF8BEC-4104-46F7-BE4F-2C9403635492}" id="{FABA84AA-C37B-4336-B1EE-7A5E70CE24AE}">
    <text>Formula changes to grow by counterfactual pre-covid growth rate</text>
  </threadedComment>
  <threadedComment ref="M101" dT="2021-11-02T13:26:53.83" personId="{58CF8BEC-4104-46F7-BE4F-2C9403635492}" id="{54F419B7-0667-48BB-8A9C-D19D1B8EB15F}">
    <text>Accounting for step up in social security</text>
  </threadedComment>
  <threadedComment ref="M101" dT="2022-07-28T10:16:22.56" personId="{104078EE-2393-4C21-9029-18A325FBDB70}" id="{C13F0153-6FFC-4378-8217-B88FBB04205C}" parentId="{54F419B7-0667-48BB-8A9C-D19D1B8EB15F}">
    <text>every Q1</text>
  </threadedComment>
  <threadedComment ref="U101" dT="2022-10-28T13:56:35.19" personId="{609654FB-393E-4954-B3A3-EDB231775774}" id="{24DC2710-2BAF-4CA0-A042-43B56D306DEE}" done="1">
    <text>COLA adjustment questions.</text>
  </threadedComment>
  <threadedComment ref="Y101" dT="2022-10-28T13:56:35.19" personId="{609654FB-393E-4954-B3A3-EDB231775774}" id="{EB478BFD-2402-456B-898A-BD2349A0E650}">
    <text>COLA adjustment questions.</text>
  </threadedComment>
  <threadedComment ref="AC101" dT="2022-10-28T13:56:35.19" personId="{609654FB-393E-4954-B3A3-EDB231775774}" id="{B854E505-68D2-4028-B487-5373AF8AF641}">
    <text>COLA adjustment questions.</text>
  </threadedComment>
  <threadedComment ref="U114" dT="2022-10-28T13:56:35.19" personId="{609654FB-393E-4954-B3A3-EDB231775774}" id="{A74F5C9C-5443-4AD1-9B0C-B7667FF0C0B0}" done="1">
    <text>COLA adjustment questions.</text>
  </threadedComment>
  <threadedComment ref="Y114" dT="2022-10-28T13:56:35.19" personId="{609654FB-393E-4954-B3A3-EDB231775774}" id="{6EBA7EC1-98AF-47E6-9E37-660FEFC5B8A8}">
    <text>COLA adjustment questions.</text>
  </threadedComment>
  <threadedComment ref="AC114" dT="2022-10-28T13:56:35.19" personId="{609654FB-393E-4954-B3A3-EDB231775774}" id="{D9B40975-2C01-46AD-98EC-7D62C3266F39}">
    <text>COLA adjustment questions.</text>
  </threadedComment>
  <threadedComment ref="B126" dT="2023-02-24T16:39:02.09" personId="{104078EE-2393-4C21-9029-18A325FBDB70}" id="{19FB8D81-993F-405A-A8CE-0DEF848E524B}">
    <text>CBO Feb 2023 budget projections table 1-4, social security subtotal</text>
  </threadedComment>
  <threadedComment ref="B126" dT="2023-06-29T15:43:04.78" personId="{2C68A5A1-706F-4A3E-93A3-741BBABEC4EA}" id="{715AFA6B-B2F6-44AF-94D3-E3C61A3AFA39}" parentId="{19FB8D81-993F-405A-A8CE-0DEF848E524B}">
    <text>CBO May 2023 budget projections supplemental table 2, social security subtotal</text>
  </threadedComment>
</ThreadedComments>
</file>

<file path=xl/threadedComments/threadedComment17.xml><?xml version="1.0" encoding="utf-8"?>
<ThreadedComments xmlns="http://schemas.microsoft.com/office/spreadsheetml/2018/threadedcomments" xmlns:x="http://schemas.openxmlformats.org/spreadsheetml/2006/main">
  <threadedComment ref="B4" dT="2021-06-08T17:55:11.90" personId="{6F934F46-906E-4DFC-AA15-8C66AF925C04}" id="{932956EA-9A05-4B8D-ABE8-9A5A953CB2B6}">
    <text>CRFB assumes 8% of forgivable loans will bee repaid, So they actually have $261 in their score</text>
  </threadedComment>
</ThreadedComments>
</file>

<file path=xl/threadedComments/threadedComment18.xml><?xml version="1.0" encoding="utf-8"?>
<ThreadedComments xmlns="http://schemas.microsoft.com/office/spreadsheetml/2018/threadedcomments" xmlns:x="http://schemas.openxmlformats.org/spreadsheetml/2006/main">
  <threadedComment ref="L5" dT="2021-06-22T12:09:07.79" personId="{58CF8BEC-4104-46F7-BE4F-2C9403635492}" id="{DC73AD49-B7D6-4667-A66E-8EE403D2E997}">
    <text>BEA categorizes rental assistance as capital transfer payments. 203 was disbursed in 2021Q1; 100 of that was from the December legislation, 103 of that was from ARP.</text>
  </threadedComment>
  <threadedComment ref="O5" dT="2021-08-27T14:15:21.89" personId="{58CF8BEC-4104-46F7-BE4F-2C9403635492}" id="{DF115210-C3D9-4849-892E-0C642306D5B7}">
    <text>We changed the CBO score to reflect that more money was going out in 2021 than anticipated as of July 2021</text>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8" Type="http://schemas.openxmlformats.org/officeDocument/2006/relationships/hyperlink" Target="mailto:lasgova@usecon" TargetMode="External"/><Relationship Id="rId13" Type="http://schemas.microsoft.com/office/2017/10/relationships/threadedComment" Target="../threadedComments/threadedComment1.xml"/><Relationship Id="rId3" Type="http://schemas.openxmlformats.org/officeDocument/2006/relationships/hyperlink" Target="https://www.bea.gov/help/faq/1415" TargetMode="External"/><Relationship Id="rId7" Type="http://schemas.openxmlformats.org/officeDocument/2006/relationships/hyperlink" Target="https://www.bea.gov/help/faq/1409" TargetMode="External"/><Relationship Id="rId12" Type="http://schemas.openxmlformats.org/officeDocument/2006/relationships/comments" Target="../comments1.xml"/><Relationship Id="rId2" Type="http://schemas.openxmlformats.org/officeDocument/2006/relationships/hyperlink" Target="https://www.bea.gov/help/faq/121" TargetMode="External"/><Relationship Id="rId1" Type="http://schemas.openxmlformats.org/officeDocument/2006/relationships/hyperlink" Target="https://www.bea.gov/help/faq/1407" TargetMode="External"/><Relationship Id="rId6" Type="http://schemas.openxmlformats.org/officeDocument/2006/relationships/hyperlink" Target="https://www.bea.gov/help/faq/121" TargetMode="External"/><Relationship Id="rId11" Type="http://schemas.openxmlformats.org/officeDocument/2006/relationships/vmlDrawing" Target="../drawings/vmlDrawing1.vml"/><Relationship Id="rId5" Type="http://schemas.openxmlformats.org/officeDocument/2006/relationships/hyperlink" Target="https://www.bea.gov/help/faq/1407" TargetMode="External"/><Relationship Id="rId10" Type="http://schemas.openxmlformats.org/officeDocument/2006/relationships/drawing" Target="../drawings/drawing2.xml"/><Relationship Id="rId4" Type="http://schemas.openxmlformats.org/officeDocument/2006/relationships/hyperlink" Target="https://www.bea.gov/help/faq/1409" TargetMode="External"/><Relationship Id="rId9" Type="http://schemas.openxmlformats.org/officeDocument/2006/relationships/hyperlink" Target="https://apps.bea.gov/iTable/?reqid=19&amp;step=3&amp;isuri=1&amp;1921=survey&amp;1903=11&amp;_gl=1*1m1fzad*_ga*MjA3ODA2MTA4MS4xNzE3MDcwOTIy*_ga_J4698JNNFT*MTcyMTk5OTU0Mi4xMy4xLjE3MjIwMDEzMTMuMzEuMC4w"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 Id="rId4" Type="http://schemas.microsoft.com/office/2017/10/relationships/threadedComment" Target="../threadedComments/threadedComment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ivotTable" Target="../pivotTables/pivotTable1.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ivotTable" Target="../pivotTables/pivotTable2.xm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 Id="rId4" Type="http://schemas.microsoft.com/office/2017/10/relationships/threadedComment" Target="../threadedComments/threadedComment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hyperlink" Target="mailto:lalgova@usecon" TargetMode="External"/><Relationship Id="rId1" Type="http://schemas.openxmlformats.org/officeDocument/2006/relationships/hyperlink" Target="mailto:lasgova@usecon" TargetMode="External"/><Relationship Id="rId6" Type="http://schemas.microsoft.com/office/2017/10/relationships/threadedComment" Target="../threadedComments/threadedComment6.xm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1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 Id="rId4" Type="http://schemas.microsoft.com/office/2017/10/relationships/threadedComment" Target="../threadedComments/threadedComment7.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0.xml"/><Relationship Id="rId4" Type="http://schemas.microsoft.com/office/2017/10/relationships/threadedComment" Target="../threadedComments/threadedComment8.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1.xml"/><Relationship Id="rId4" Type="http://schemas.microsoft.com/office/2017/10/relationships/threadedComment" Target="../threadedComments/threadedComment9.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2.xml"/><Relationship Id="rId1" Type="http://schemas.openxmlformats.org/officeDocument/2006/relationships/hyperlink" Target="https://www.cbo.gov/system/files/2023-03/58983-IDR.pdf" TargetMode="External"/><Relationship Id="rId5" Type="http://schemas.microsoft.com/office/2017/10/relationships/threadedComment" Target="../threadedComments/threadedComment10.xml"/><Relationship Id="rId4" Type="http://schemas.openxmlformats.org/officeDocument/2006/relationships/comments" Target="../comments10.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3.xml"/><Relationship Id="rId4" Type="http://schemas.microsoft.com/office/2017/10/relationships/threadedComment" Target="../threadedComments/threadedComment11.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4.xml"/><Relationship Id="rId4" Type="http://schemas.microsoft.com/office/2017/10/relationships/threadedComment" Target="../threadedComments/threadedComment12.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5.xml"/><Relationship Id="rId4" Type="http://schemas.microsoft.com/office/2017/10/relationships/threadedComment" Target="../threadedComments/threadedComment1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7.xml"/><Relationship Id="rId4" Type="http://schemas.microsoft.com/office/2017/10/relationships/threadedComment" Target="../threadedComments/threadedComment14.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18.xml"/><Relationship Id="rId4" Type="http://schemas.microsoft.com/office/2017/10/relationships/threadedComment" Target="../threadedComments/threadedComment15.xml"/></Relationships>
</file>

<file path=xl/worksheets/_rels/sheet29.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9.xml"/><Relationship Id="rId4" Type="http://schemas.microsoft.com/office/2017/10/relationships/threadedComment" Target="../threadedComments/threadedComment16.xml"/></Relationships>
</file>

<file path=xl/worksheets/_rels/sheet31.xml.rels><?xml version="1.0" encoding="UTF-8" standalone="yes"?>
<Relationships xmlns="http://schemas.openxmlformats.org/package/2006/relationships"><Relationship Id="rId1" Type="http://schemas.openxmlformats.org/officeDocument/2006/relationships/hyperlink" Target="https://www.americanactionforum.org/research/tracker-paycheck-protection-program-loans/" TargetMode="Externa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3.xml.rels><?xml version="1.0" encoding="UTF-8" standalone="yes"?>
<Relationships xmlns="http://schemas.openxmlformats.org/package/2006/relationships"><Relationship Id="rId1" Type="http://schemas.openxmlformats.org/officeDocument/2006/relationships/hyperlink" Target="https://www.bea.gov/sites/default/files/2021-05/effects-of-selected-federal-pandemic-response-programs-on-personal-income-april-2021.pdf"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www.cbo.gov/publication/56517" TargetMode="External"/></Relationships>
</file>

<file path=xl/worksheets/_rels/sheet35.xml.rels><?xml version="1.0" encoding="UTF-8" standalone="yes"?>
<Relationships xmlns="http://schemas.openxmlformats.org/package/2006/relationships"><Relationship Id="rId3" Type="http://schemas.openxmlformats.org/officeDocument/2006/relationships/hyperlink" Target="https://www.benefits.gov/benefit/5868" TargetMode="External"/><Relationship Id="rId2" Type="http://schemas.openxmlformats.org/officeDocument/2006/relationships/hyperlink" Target="https://www.apta.com/advocacy-legislation-policy/legislative-updates-alerts/updates/inflation-reduction-act-public-transit-tax-credits-and-new-investments/" TargetMode="External"/><Relationship Id="rId1" Type="http://schemas.openxmlformats.org/officeDocument/2006/relationships/hyperlink" Target="https://www.rd.usda.gov/programs-services/energy-programs/rural-energy-america-program-renewable-energy-systems-energy-efficiency-improvement-guaranteed-loans" TargetMode="External"/><Relationship Id="rId4" Type="http://schemas.openxmlformats.org/officeDocument/2006/relationships/hyperlink" Target="https://www.cbo.gov/system/files/2022-09/PL117-169_9-7-22.pdf" TargetMode="External"/></Relationships>
</file>

<file path=xl/worksheets/_rels/sheet3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7.vml"/><Relationship Id="rId1" Type="http://schemas.openxmlformats.org/officeDocument/2006/relationships/drawing" Target="../drawings/drawing21.xml"/><Relationship Id="rId5" Type="http://schemas.microsoft.com/office/2017/10/relationships/threadedComment" Target="../threadedComments/threadedComment17.xml"/><Relationship Id="rId4" Type="http://schemas.openxmlformats.org/officeDocument/2006/relationships/comments" Target="../comments17.xml"/></Relationships>
</file>

<file path=xl/worksheets/_rels/sheet37.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drawing" Target="../drawings/drawing22.xml"/><Relationship Id="rId4" Type="http://schemas.microsoft.com/office/2017/10/relationships/threadedComment" Target="../threadedComments/threadedComment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59999389629810485"/>
  </sheetPr>
  <dimension ref="B10:Q43"/>
  <sheetViews>
    <sheetView topLeftCell="A7" zoomScale="82" zoomScaleNormal="82" workbookViewId="0">
      <selection activeCell="C30" sqref="C30"/>
    </sheetView>
  </sheetViews>
  <sheetFormatPr defaultColWidth="10.90625" defaultRowHeight="14.5" x14ac:dyDescent="0.35"/>
  <cols>
    <col min="2" max="2" width="34.1796875" customWidth="1"/>
    <col min="17" max="17" width="38.453125" customWidth="1"/>
  </cols>
  <sheetData>
    <row r="10" spans="2:17" x14ac:dyDescent="0.35">
      <c r="B10" s="1269" t="s">
        <v>0</v>
      </c>
      <c r="C10" s="1270"/>
      <c r="D10" s="1270"/>
      <c r="E10" s="1270"/>
      <c r="F10" s="1270"/>
      <c r="G10" s="1270"/>
      <c r="H10" s="1270"/>
      <c r="I10" s="1270"/>
      <c r="J10" s="1270"/>
      <c r="K10" s="1270"/>
      <c r="L10" s="1270"/>
      <c r="M10" s="1270"/>
      <c r="N10" s="1270"/>
      <c r="O10" s="1270"/>
      <c r="P10" s="1270"/>
      <c r="Q10" s="1271"/>
    </row>
    <row r="11" spans="2:17" x14ac:dyDescent="0.35">
      <c r="B11" s="1272"/>
      <c r="C11" s="1273"/>
      <c r="D11" s="1273"/>
      <c r="E11" s="1273"/>
      <c r="F11" s="1273"/>
      <c r="G11" s="1273"/>
      <c r="H11" s="1273"/>
      <c r="I11" s="1273"/>
      <c r="J11" s="1273"/>
      <c r="K11" s="1273"/>
      <c r="L11" s="1273"/>
      <c r="M11" s="1273"/>
      <c r="N11" s="1273"/>
      <c r="O11" s="1273"/>
      <c r="P11" s="1273"/>
      <c r="Q11" s="1274"/>
    </row>
    <row r="12" spans="2:17" x14ac:dyDescent="0.35">
      <c r="B12" s="4" t="s">
        <v>1</v>
      </c>
      <c r="C12" s="13"/>
      <c r="D12" s="13"/>
      <c r="E12" s="13"/>
      <c r="F12" s="13"/>
      <c r="G12" s="13"/>
      <c r="H12" s="13"/>
      <c r="I12" s="13"/>
      <c r="J12" s="13"/>
      <c r="K12" s="13"/>
      <c r="L12" s="13"/>
      <c r="M12" s="13"/>
      <c r="N12" s="13"/>
      <c r="O12" s="13"/>
      <c r="P12" s="13"/>
      <c r="Q12" s="12"/>
    </row>
    <row r="13" spans="2:17" x14ac:dyDescent="0.35">
      <c r="B13" s="3" t="s">
        <v>2</v>
      </c>
      <c r="C13" s="1275" t="s">
        <v>3</v>
      </c>
      <c r="D13" s="1275"/>
      <c r="E13" s="1275"/>
      <c r="F13" s="1275"/>
      <c r="G13" s="1275"/>
      <c r="H13" s="1275"/>
      <c r="I13" s="1275"/>
      <c r="J13" s="1275"/>
      <c r="K13" s="1275"/>
      <c r="L13" s="1275"/>
      <c r="M13" s="1275"/>
      <c r="N13" s="1275"/>
      <c r="O13" s="1275"/>
      <c r="P13" s="1275"/>
      <c r="Q13" s="1276"/>
    </row>
    <row r="14" spans="2:17" x14ac:dyDescent="0.35">
      <c r="B14" s="3" t="s">
        <v>4</v>
      </c>
      <c r="C14" s="8" t="s">
        <v>5</v>
      </c>
      <c r="D14" s="8"/>
      <c r="E14" s="8"/>
      <c r="F14" s="8"/>
      <c r="G14" s="8"/>
      <c r="H14" s="8"/>
      <c r="I14" s="8"/>
      <c r="J14" s="8"/>
      <c r="K14" s="8"/>
      <c r="L14" s="8"/>
      <c r="M14" s="8"/>
      <c r="N14" s="8"/>
      <c r="O14" s="8"/>
      <c r="P14" s="8"/>
      <c r="Q14" s="9"/>
    </row>
    <row r="15" spans="2:17" x14ac:dyDescent="0.35">
      <c r="B15" s="3" t="s">
        <v>6</v>
      </c>
      <c r="C15" s="8" t="s">
        <v>7</v>
      </c>
      <c r="D15" s="8"/>
      <c r="E15" s="8"/>
      <c r="F15" s="8"/>
      <c r="G15" s="8"/>
      <c r="H15" s="8"/>
      <c r="I15" s="8"/>
      <c r="J15" s="8"/>
      <c r="K15" s="8"/>
      <c r="L15" s="8"/>
      <c r="M15" s="8"/>
      <c r="N15" s="8"/>
      <c r="O15" s="8"/>
      <c r="P15" s="8"/>
      <c r="Q15" s="9"/>
    </row>
    <row r="16" spans="2:17" x14ac:dyDescent="0.35">
      <c r="B16" s="3" t="s">
        <v>8</v>
      </c>
      <c r="C16" s="8" t="s">
        <v>829</v>
      </c>
      <c r="D16" s="8"/>
      <c r="E16" s="8"/>
      <c r="F16" s="8"/>
      <c r="G16" s="8"/>
      <c r="H16" s="8"/>
      <c r="I16" s="8"/>
      <c r="J16" s="8"/>
      <c r="K16" s="8"/>
      <c r="L16" s="8"/>
      <c r="M16" s="8"/>
      <c r="N16" s="8"/>
      <c r="O16" s="8"/>
      <c r="P16" s="8"/>
      <c r="Q16" s="9"/>
    </row>
    <row r="17" spans="2:17" x14ac:dyDescent="0.35">
      <c r="B17" s="3" t="s">
        <v>9</v>
      </c>
      <c r="C17" s="8" t="s">
        <v>10</v>
      </c>
      <c r="D17" s="8"/>
      <c r="E17" s="8"/>
      <c r="F17" s="8"/>
      <c r="G17" s="8"/>
      <c r="H17" s="8"/>
      <c r="I17" s="8"/>
      <c r="J17" s="8"/>
      <c r="K17" s="8"/>
      <c r="L17" s="8"/>
      <c r="M17" s="8"/>
      <c r="N17" s="8"/>
      <c r="O17" s="8"/>
      <c r="P17" s="8"/>
      <c r="Q17" s="9"/>
    </row>
    <row r="18" spans="2:17" x14ac:dyDescent="0.35">
      <c r="B18" s="3" t="s">
        <v>830</v>
      </c>
      <c r="C18" s="8" t="s">
        <v>11</v>
      </c>
      <c r="D18" s="8"/>
      <c r="E18" s="8"/>
      <c r="F18" s="8"/>
      <c r="G18" s="8"/>
      <c r="H18" s="8"/>
      <c r="I18" s="8"/>
      <c r="J18" s="8"/>
      <c r="K18" s="8"/>
      <c r="L18" s="8"/>
      <c r="M18" s="8"/>
      <c r="N18" s="8"/>
      <c r="O18" s="8"/>
      <c r="P18" s="8"/>
      <c r="Q18" s="9"/>
    </row>
    <row r="19" spans="2:17" x14ac:dyDescent="0.35">
      <c r="B19" s="3" t="s">
        <v>12</v>
      </c>
      <c r="C19" s="8" t="s">
        <v>831</v>
      </c>
      <c r="D19" s="8"/>
      <c r="E19" s="8"/>
      <c r="F19" s="8"/>
      <c r="G19" s="8"/>
      <c r="H19" s="8"/>
      <c r="I19" s="8"/>
      <c r="J19" s="8"/>
      <c r="K19" s="8"/>
      <c r="L19" s="8"/>
      <c r="M19" s="8"/>
      <c r="N19" s="8"/>
      <c r="O19" s="8"/>
      <c r="P19" s="8"/>
      <c r="Q19" s="9"/>
    </row>
    <row r="20" spans="2:17" ht="30.75" customHeight="1" x14ac:dyDescent="0.35">
      <c r="B20" s="3" t="s">
        <v>13</v>
      </c>
      <c r="C20" s="1267" t="s">
        <v>14</v>
      </c>
      <c r="D20" s="1267"/>
      <c r="E20" s="1267"/>
      <c r="F20" s="1267"/>
      <c r="G20" s="1267"/>
      <c r="H20" s="1267"/>
      <c r="I20" s="1267"/>
      <c r="J20" s="1267"/>
      <c r="K20" s="1267"/>
      <c r="L20" s="1267"/>
      <c r="M20" s="1267"/>
      <c r="N20" s="1267"/>
      <c r="O20" s="1267"/>
      <c r="P20" s="1267"/>
      <c r="Q20" s="1268"/>
    </row>
    <row r="21" spans="2:17" x14ac:dyDescent="0.35">
      <c r="B21" s="3" t="s">
        <v>15</v>
      </c>
      <c r="C21" s="8" t="s">
        <v>16</v>
      </c>
      <c r="D21" s="8"/>
      <c r="E21" s="8"/>
      <c r="F21" s="8"/>
      <c r="G21" s="8"/>
      <c r="H21" s="8"/>
      <c r="I21" s="8"/>
      <c r="J21" s="8"/>
      <c r="K21" s="8"/>
      <c r="L21" s="8"/>
      <c r="M21" s="8"/>
      <c r="N21" s="8"/>
      <c r="O21" s="8"/>
      <c r="P21" s="8"/>
      <c r="Q21" s="9"/>
    </row>
    <row r="22" spans="2:17" ht="32.25" customHeight="1" x14ac:dyDescent="0.35">
      <c r="B22" s="1" t="s">
        <v>833</v>
      </c>
      <c r="C22" s="1267" t="s">
        <v>832</v>
      </c>
      <c r="D22" s="1267"/>
      <c r="E22" s="1267"/>
      <c r="F22" s="1267"/>
      <c r="G22" s="1267"/>
      <c r="H22" s="1267"/>
      <c r="I22" s="1267"/>
      <c r="J22" s="1267"/>
      <c r="K22" s="1267"/>
      <c r="L22" s="1267"/>
      <c r="M22" s="1267"/>
      <c r="N22" s="1267"/>
      <c r="O22" s="1267"/>
      <c r="P22" s="1267"/>
      <c r="Q22" s="1268"/>
    </row>
    <row r="23" spans="2:17" ht="31.4" customHeight="1" x14ac:dyDescent="0.35">
      <c r="B23" s="3" t="s">
        <v>17</v>
      </c>
      <c r="C23" s="1267" t="s">
        <v>834</v>
      </c>
      <c r="D23" s="1267"/>
      <c r="E23" s="1267"/>
      <c r="F23" s="1267"/>
      <c r="G23" s="1267"/>
      <c r="H23" s="1267"/>
      <c r="I23" s="1267"/>
      <c r="J23" s="1267"/>
      <c r="K23" s="1267"/>
      <c r="L23" s="1267"/>
      <c r="M23" s="1267"/>
      <c r="N23" s="1267"/>
      <c r="O23" s="1267"/>
      <c r="P23" s="1267"/>
      <c r="Q23" s="1268"/>
    </row>
    <row r="24" spans="2:17" x14ac:dyDescent="0.35">
      <c r="B24" s="3" t="s">
        <v>18</v>
      </c>
      <c r="C24" s="8" t="s">
        <v>19</v>
      </c>
      <c r="D24" s="8"/>
      <c r="E24" s="8"/>
      <c r="F24" s="8"/>
      <c r="G24" s="8"/>
      <c r="H24" s="8"/>
      <c r="I24" s="8"/>
      <c r="J24" s="8"/>
      <c r="K24" s="8"/>
      <c r="L24" s="8"/>
      <c r="M24" s="8"/>
      <c r="N24" s="8"/>
      <c r="O24" s="8"/>
      <c r="P24" s="8"/>
      <c r="Q24" s="9"/>
    </row>
    <row r="25" spans="2:17" x14ac:dyDescent="0.35">
      <c r="B25" s="3" t="s">
        <v>20</v>
      </c>
      <c r="C25" s="8" t="s">
        <v>21</v>
      </c>
      <c r="D25" s="8"/>
      <c r="E25" s="8"/>
      <c r="F25" s="8"/>
      <c r="G25" s="8"/>
      <c r="H25" s="8"/>
      <c r="I25" s="8"/>
      <c r="J25" s="8"/>
      <c r="K25" s="8"/>
      <c r="L25" s="8"/>
      <c r="M25" s="8"/>
      <c r="N25" s="8"/>
      <c r="O25" s="8"/>
      <c r="P25" s="8"/>
      <c r="Q25" s="9"/>
    </row>
    <row r="26" spans="2:17" x14ac:dyDescent="0.35">
      <c r="B26" s="3" t="s">
        <v>22</v>
      </c>
      <c r="C26" s="8" t="s">
        <v>23</v>
      </c>
      <c r="D26" s="8"/>
      <c r="E26" s="8"/>
      <c r="F26" s="8"/>
      <c r="G26" s="8"/>
      <c r="H26" s="8"/>
      <c r="I26" s="8"/>
      <c r="J26" s="8"/>
      <c r="K26" s="8"/>
      <c r="L26" s="8"/>
      <c r="M26" s="8"/>
      <c r="N26" s="8"/>
      <c r="O26" s="8"/>
      <c r="P26" s="8"/>
      <c r="Q26" s="9"/>
    </row>
    <row r="27" spans="2:17" x14ac:dyDescent="0.35">
      <c r="B27" s="3" t="s">
        <v>24</v>
      </c>
      <c r="C27" s="8" t="s">
        <v>835</v>
      </c>
      <c r="D27" s="8"/>
      <c r="E27" s="8"/>
      <c r="F27" s="8"/>
      <c r="G27" s="8"/>
      <c r="H27" s="8"/>
      <c r="I27" s="8"/>
      <c r="J27" s="8"/>
      <c r="K27" s="8"/>
      <c r="L27" s="8"/>
      <c r="M27" s="8"/>
      <c r="N27" s="8"/>
      <c r="O27" s="8"/>
      <c r="P27" s="8"/>
      <c r="Q27" s="9"/>
    </row>
    <row r="28" spans="2:17" x14ac:dyDescent="0.35">
      <c r="B28" s="3" t="s">
        <v>25</v>
      </c>
      <c r="C28" s="8" t="s">
        <v>836</v>
      </c>
      <c r="D28" s="8"/>
      <c r="E28" s="8"/>
      <c r="F28" s="8"/>
      <c r="G28" s="8"/>
      <c r="H28" s="8"/>
      <c r="I28" s="8"/>
      <c r="J28" s="8"/>
      <c r="K28" s="8"/>
      <c r="L28" s="8"/>
      <c r="M28" s="8"/>
      <c r="N28" s="8"/>
      <c r="O28" s="8"/>
      <c r="P28" s="8"/>
      <c r="Q28" s="9"/>
    </row>
    <row r="29" spans="2:17" x14ac:dyDescent="0.35">
      <c r="B29" s="3" t="s">
        <v>26</v>
      </c>
      <c r="C29" s="8" t="s">
        <v>27</v>
      </c>
      <c r="D29" s="8"/>
      <c r="E29" s="8"/>
      <c r="F29" s="8"/>
      <c r="G29" s="8"/>
      <c r="H29" s="8"/>
      <c r="I29" s="8"/>
      <c r="J29" s="8"/>
      <c r="K29" s="8"/>
      <c r="L29" s="8"/>
      <c r="M29" s="8"/>
      <c r="N29" s="8"/>
      <c r="O29" s="8"/>
      <c r="P29" s="8"/>
      <c r="Q29" s="9"/>
    </row>
    <row r="30" spans="2:17" x14ac:dyDescent="0.35">
      <c r="B30" s="3"/>
      <c r="C30" s="8"/>
      <c r="D30" s="8"/>
      <c r="E30" s="8"/>
      <c r="F30" s="8"/>
      <c r="G30" s="8"/>
      <c r="H30" s="8"/>
      <c r="I30" s="8"/>
      <c r="J30" s="8"/>
      <c r="K30" s="8"/>
      <c r="L30" s="8"/>
      <c r="M30" s="8"/>
      <c r="N30" s="8"/>
      <c r="O30" s="8"/>
      <c r="P30" s="8"/>
      <c r="Q30" s="9"/>
    </row>
    <row r="31" spans="2:17" x14ac:dyDescent="0.35">
      <c r="B31" s="5" t="s">
        <v>28</v>
      </c>
      <c r="C31" s="8"/>
      <c r="D31" s="8"/>
      <c r="E31" s="8"/>
      <c r="F31" s="8"/>
      <c r="G31" s="8"/>
      <c r="H31" s="8"/>
      <c r="I31" s="8"/>
      <c r="J31" s="8"/>
      <c r="K31" s="8"/>
      <c r="L31" s="8"/>
      <c r="M31" s="8"/>
      <c r="N31" s="8"/>
      <c r="O31" s="8"/>
      <c r="P31" s="8"/>
      <c r="Q31" s="9"/>
    </row>
    <row r="32" spans="2:17" x14ac:dyDescent="0.35">
      <c r="B32" s="3" t="s">
        <v>29</v>
      </c>
      <c r="C32" s="8"/>
      <c r="D32" s="8"/>
      <c r="E32" s="8"/>
      <c r="F32" s="8"/>
      <c r="G32" s="8"/>
      <c r="H32" s="8"/>
      <c r="I32" s="8"/>
      <c r="J32" s="8"/>
      <c r="K32" s="8"/>
      <c r="L32" s="8"/>
      <c r="M32" s="8"/>
      <c r="N32" s="8"/>
      <c r="O32" s="8"/>
      <c r="P32" s="8"/>
      <c r="Q32" s="9"/>
    </row>
    <row r="33" spans="2:17" ht="30.75" customHeight="1" x14ac:dyDescent="0.35">
      <c r="B33" s="1266" t="s">
        <v>837</v>
      </c>
      <c r="C33" s="1267"/>
      <c r="D33" s="1267"/>
      <c r="E33" s="1267"/>
      <c r="F33" s="1267"/>
      <c r="G33" s="1267"/>
      <c r="H33" s="1267"/>
      <c r="I33" s="1267"/>
      <c r="J33" s="1267"/>
      <c r="K33" s="1267"/>
      <c r="L33" s="1267"/>
      <c r="M33" s="1267"/>
      <c r="N33" s="1267"/>
      <c r="O33" s="1267"/>
      <c r="P33" s="1267"/>
      <c r="Q33" s="1268"/>
    </row>
    <row r="34" spans="2:17" x14ac:dyDescent="0.35">
      <c r="B34" s="11" t="s">
        <v>30</v>
      </c>
      <c r="C34" s="8"/>
      <c r="D34" s="8"/>
      <c r="E34" s="8"/>
      <c r="F34" s="8"/>
      <c r="G34" s="8"/>
      <c r="H34" s="8"/>
      <c r="I34" s="8"/>
      <c r="J34" s="8"/>
      <c r="K34" s="8"/>
      <c r="L34" s="8"/>
      <c r="M34" s="8"/>
      <c r="N34" s="8"/>
      <c r="O34" s="8"/>
      <c r="P34" s="8"/>
      <c r="Q34" s="9"/>
    </row>
    <row r="35" spans="2:17" x14ac:dyDescent="0.35">
      <c r="B35" s="3" t="s">
        <v>31</v>
      </c>
      <c r="C35" s="8"/>
      <c r="D35" s="8"/>
      <c r="E35" s="8"/>
      <c r="F35" s="8"/>
      <c r="G35" s="8"/>
      <c r="H35" s="8"/>
      <c r="I35" s="8"/>
      <c r="J35" s="8"/>
      <c r="K35" s="8"/>
      <c r="L35" s="8"/>
      <c r="M35" s="8"/>
      <c r="N35" s="8"/>
      <c r="O35" s="8"/>
      <c r="P35" s="8"/>
      <c r="Q35" s="9"/>
    </row>
    <row r="36" spans="2:17" x14ac:dyDescent="0.35">
      <c r="B36" s="2" t="s">
        <v>32</v>
      </c>
      <c r="C36" s="7"/>
      <c r="D36" s="7"/>
      <c r="E36" s="7"/>
      <c r="F36" s="7"/>
      <c r="G36" s="7"/>
      <c r="H36" s="7"/>
      <c r="I36" s="7"/>
      <c r="J36" s="7"/>
      <c r="K36" s="7"/>
      <c r="L36" s="7"/>
      <c r="M36" s="7"/>
      <c r="N36" s="7"/>
      <c r="O36" s="7"/>
      <c r="P36" s="7"/>
      <c r="Q36" s="10"/>
    </row>
    <row r="39" spans="2:17" x14ac:dyDescent="0.35">
      <c r="B39" s="6"/>
      <c r="C39" s="6"/>
      <c r="D39" s="6"/>
      <c r="E39" s="6"/>
      <c r="F39" s="6"/>
      <c r="G39" s="6"/>
      <c r="H39" s="6"/>
      <c r="I39" s="6"/>
      <c r="J39" s="6"/>
      <c r="K39" s="6"/>
      <c r="L39" s="6"/>
      <c r="M39" s="6"/>
      <c r="N39" s="6"/>
      <c r="O39" s="6"/>
      <c r="P39" s="6"/>
      <c r="Q39" s="6"/>
    </row>
    <row r="40" spans="2:17" x14ac:dyDescent="0.35">
      <c r="B40" s="6"/>
      <c r="C40" s="6"/>
      <c r="D40" s="6"/>
      <c r="E40" s="6"/>
      <c r="F40" s="6"/>
      <c r="G40" s="6"/>
      <c r="H40" s="6"/>
      <c r="I40" s="6"/>
      <c r="J40" s="6"/>
      <c r="K40" s="6"/>
      <c r="L40" s="6"/>
      <c r="M40" s="6"/>
      <c r="N40" s="6"/>
      <c r="O40" s="6"/>
      <c r="P40" s="6"/>
      <c r="Q40" s="6"/>
    </row>
    <row r="41" spans="2:17" x14ac:dyDescent="0.35">
      <c r="B41" s="6"/>
      <c r="C41" s="6"/>
      <c r="D41" s="6"/>
      <c r="E41" s="6"/>
      <c r="F41" s="6"/>
      <c r="G41" s="6"/>
      <c r="H41" s="6"/>
      <c r="I41" s="6"/>
      <c r="J41" s="6"/>
      <c r="K41" s="6"/>
      <c r="L41" s="6"/>
      <c r="M41" s="6"/>
      <c r="N41" s="6"/>
      <c r="O41" s="6"/>
      <c r="P41" s="6"/>
      <c r="Q41" s="6"/>
    </row>
    <row r="42" spans="2:17" x14ac:dyDescent="0.35">
      <c r="B42" s="6"/>
      <c r="C42" s="6"/>
      <c r="D42" s="6"/>
      <c r="E42" s="6"/>
      <c r="F42" s="6"/>
      <c r="G42" s="6"/>
      <c r="H42" s="6"/>
      <c r="I42" s="6"/>
      <c r="J42" s="6"/>
      <c r="K42" s="6"/>
      <c r="L42" s="6"/>
      <c r="M42" s="6"/>
      <c r="N42" s="6"/>
      <c r="O42" s="6"/>
      <c r="P42" s="6"/>
      <c r="Q42" s="6"/>
    </row>
    <row r="43" spans="2:17" x14ac:dyDescent="0.35">
      <c r="B43" s="6"/>
      <c r="C43" s="6"/>
      <c r="D43" s="6"/>
      <c r="E43" s="6"/>
      <c r="F43" s="6"/>
      <c r="G43" s="6"/>
      <c r="H43" s="6"/>
      <c r="I43" s="6"/>
      <c r="J43" s="6"/>
      <c r="K43" s="6"/>
      <c r="L43" s="6"/>
      <c r="M43" s="6"/>
      <c r="N43" s="6"/>
      <c r="O43" s="6"/>
      <c r="P43" s="6"/>
      <c r="Q43" s="6"/>
    </row>
  </sheetData>
  <mergeCells count="6">
    <mergeCell ref="B33:Q33"/>
    <mergeCell ref="B10:Q11"/>
    <mergeCell ref="C13:Q13"/>
    <mergeCell ref="C22:Q22"/>
    <mergeCell ref="C20:Q20"/>
    <mergeCell ref="C23:Q23"/>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zoomScale="70" zoomScaleNormal="70" workbookViewId="0">
      <pane xSplit="1" ySplit="2" topLeftCell="B3" activePane="bottomRight" state="frozen"/>
      <selection pane="topRight" activeCell="B1" sqref="B1"/>
      <selection pane="bottomLeft" activeCell="A3" sqref="A3"/>
      <selection pane="bottomRight" activeCell="C4" sqref="C4"/>
    </sheetView>
  </sheetViews>
  <sheetFormatPr defaultColWidth="10.90625" defaultRowHeight="14.5" x14ac:dyDescent="0.35"/>
  <cols>
    <col min="1" max="1" width="44.1796875" customWidth="1"/>
    <col min="2" max="2" width="58.81640625" customWidth="1"/>
    <col min="3" max="3" width="56.453125" customWidth="1"/>
    <col min="5" max="5" width="42.81640625" customWidth="1"/>
    <col min="6" max="6" width="21.453125" customWidth="1"/>
  </cols>
  <sheetData>
    <row r="1" spans="1:7" ht="47.9" customHeight="1" x14ac:dyDescent="0.35">
      <c r="A1" s="24" t="s">
        <v>33</v>
      </c>
      <c r="B1" s="25" t="s">
        <v>34</v>
      </c>
      <c r="C1" s="25" t="s">
        <v>35</v>
      </c>
      <c r="D1" s="26" t="s">
        <v>2011</v>
      </c>
      <c r="E1" s="16" t="s">
        <v>2012</v>
      </c>
      <c r="F1" s="16"/>
    </row>
    <row r="2" spans="1:7" ht="16.5" customHeight="1" x14ac:dyDescent="0.35">
      <c r="A2" s="1279" t="s">
        <v>37</v>
      </c>
      <c r="B2" s="1280"/>
      <c r="C2" s="1280"/>
      <c r="D2" s="1281"/>
      <c r="E2" s="16"/>
      <c r="F2" s="16"/>
    </row>
    <row r="3" spans="1:7" ht="148.4" customHeight="1" x14ac:dyDescent="0.35">
      <c r="A3" s="18" t="s">
        <v>849</v>
      </c>
      <c r="B3" s="14" t="s">
        <v>1741</v>
      </c>
      <c r="C3" s="14" t="s">
        <v>848</v>
      </c>
      <c r="D3" s="22" t="s">
        <v>913</v>
      </c>
    </row>
    <row r="4" spans="1:7" ht="85.5" customHeight="1" x14ac:dyDescent="0.35">
      <c r="A4" s="18" t="s">
        <v>1817</v>
      </c>
      <c r="B4" s="14" t="s">
        <v>1818</v>
      </c>
      <c r="C4" s="14" t="s">
        <v>915</v>
      </c>
      <c r="D4" s="22" t="s">
        <v>916</v>
      </c>
      <c r="E4" s="14" t="s">
        <v>916</v>
      </c>
      <c r="F4" s="14"/>
    </row>
    <row r="5" spans="1:7" ht="168" customHeight="1" x14ac:dyDescent="0.35">
      <c r="A5" s="18" t="s">
        <v>838</v>
      </c>
      <c r="B5" s="14" t="s">
        <v>839</v>
      </c>
      <c r="C5" s="14" t="s">
        <v>860</v>
      </c>
      <c r="D5" s="22" t="s">
        <v>916</v>
      </c>
      <c r="E5" s="14" t="s">
        <v>916</v>
      </c>
      <c r="F5" s="14"/>
    </row>
    <row r="6" spans="1:7" ht="101.5" customHeight="1" x14ac:dyDescent="0.35">
      <c r="A6" s="18" t="s">
        <v>840</v>
      </c>
      <c r="B6" s="14" t="s">
        <v>38</v>
      </c>
      <c r="C6" s="14" t="s">
        <v>39</v>
      </c>
      <c r="D6" s="22" t="s">
        <v>913</v>
      </c>
      <c r="E6" s="14"/>
      <c r="F6" s="14"/>
    </row>
    <row r="7" spans="1:7" ht="88" customHeight="1" x14ac:dyDescent="0.35">
      <c r="A7" s="18" t="s">
        <v>1820</v>
      </c>
      <c r="B7" s="14" t="s">
        <v>1821</v>
      </c>
      <c r="C7" s="14" t="s">
        <v>1825</v>
      </c>
      <c r="D7" s="22" t="s">
        <v>916</v>
      </c>
      <c r="E7" s="14" t="s">
        <v>916</v>
      </c>
      <c r="F7" s="14"/>
    </row>
    <row r="8" spans="1:7" ht="100.4" customHeight="1" x14ac:dyDescent="0.35">
      <c r="A8" s="18" t="s">
        <v>42</v>
      </c>
      <c r="B8" s="14" t="s">
        <v>43</v>
      </c>
      <c r="C8" s="27" t="s">
        <v>44</v>
      </c>
      <c r="D8" s="22" t="s">
        <v>916</v>
      </c>
      <c r="E8" s="29" t="s">
        <v>916</v>
      </c>
      <c r="F8" s="14"/>
      <c r="G8" s="28"/>
    </row>
    <row r="9" spans="1:7" ht="78" customHeight="1" x14ac:dyDescent="0.35">
      <c r="A9" s="18" t="s">
        <v>45</v>
      </c>
      <c r="B9" s="14" t="s">
        <v>46</v>
      </c>
      <c r="C9" s="14" t="s">
        <v>866</v>
      </c>
      <c r="D9" s="22" t="s">
        <v>916</v>
      </c>
      <c r="E9" s="14" t="s">
        <v>916</v>
      </c>
      <c r="F9" s="14"/>
    </row>
    <row r="10" spans="1:7" ht="67.5" customHeight="1" x14ac:dyDescent="0.35">
      <c r="A10" s="18" t="s">
        <v>814</v>
      </c>
      <c r="B10" s="14" t="s">
        <v>824</v>
      </c>
      <c r="C10" s="14" t="s">
        <v>878</v>
      </c>
      <c r="D10" s="22" t="s">
        <v>913</v>
      </c>
      <c r="E10" s="14"/>
      <c r="F10" s="14"/>
    </row>
    <row r="11" spans="1:7" ht="88" customHeight="1" x14ac:dyDescent="0.35">
      <c r="A11" s="18" t="s">
        <v>47</v>
      </c>
      <c r="B11" s="14" t="s">
        <v>1973</v>
      </c>
      <c r="C11" s="14" t="s">
        <v>841</v>
      </c>
      <c r="D11" s="15" t="s">
        <v>916</v>
      </c>
      <c r="E11" s="14" t="s">
        <v>916</v>
      </c>
      <c r="F11" s="14"/>
    </row>
    <row r="12" spans="1:7" ht="15" customHeight="1" x14ac:dyDescent="0.35">
      <c r="A12" s="1279" t="s">
        <v>842</v>
      </c>
      <c r="B12" s="1280"/>
      <c r="C12" s="1280"/>
      <c r="D12" s="1281"/>
      <c r="E12" s="16"/>
      <c r="F12" s="14"/>
    </row>
    <row r="13" spans="1:7" ht="29.9" customHeight="1" x14ac:dyDescent="0.35">
      <c r="A13" s="19" t="s">
        <v>9</v>
      </c>
      <c r="B13" s="1285" t="s">
        <v>844</v>
      </c>
      <c r="C13" s="1285"/>
      <c r="D13" s="23"/>
      <c r="E13" s="16"/>
      <c r="F13" s="14"/>
    </row>
    <row r="14" spans="1:7" ht="48.65" customHeight="1" x14ac:dyDescent="0.35">
      <c r="A14" s="17" t="s">
        <v>843</v>
      </c>
      <c r="B14" s="1285" t="s">
        <v>853</v>
      </c>
      <c r="C14" s="1285"/>
      <c r="D14" s="22"/>
      <c r="E14" s="16"/>
      <c r="F14" s="14"/>
    </row>
    <row r="15" spans="1:7" ht="48.65" customHeight="1" x14ac:dyDescent="0.35">
      <c r="A15" s="17" t="s">
        <v>845</v>
      </c>
      <c r="B15" s="1285" t="s">
        <v>846</v>
      </c>
      <c r="C15" s="1285"/>
      <c r="D15" s="15"/>
      <c r="E15" s="16"/>
      <c r="F15" s="14"/>
    </row>
    <row r="16" spans="1:7" x14ac:dyDescent="0.35">
      <c r="A16" s="1282" t="s">
        <v>59</v>
      </c>
      <c r="B16" s="1283"/>
      <c r="C16" s="1283"/>
      <c r="D16" s="1284"/>
      <c r="E16" s="14"/>
      <c r="F16" s="14"/>
    </row>
    <row r="17" spans="1:6" ht="36.65" customHeight="1" x14ac:dyDescent="0.35">
      <c r="A17" s="1277" t="s">
        <v>847</v>
      </c>
      <c r="B17" s="1278"/>
      <c r="C17" s="1278"/>
      <c r="D17" s="23"/>
      <c r="E17" s="14"/>
      <c r="F17" s="14"/>
    </row>
    <row r="18" spans="1:6" ht="145.5" customHeight="1" x14ac:dyDescent="0.35">
      <c r="A18" s="18" t="s">
        <v>60</v>
      </c>
      <c r="B18" s="14" t="s">
        <v>867</v>
      </c>
      <c r="C18" s="14" t="s">
        <v>873</v>
      </c>
      <c r="D18" s="22"/>
      <c r="E18" s="14"/>
      <c r="F18" s="14"/>
    </row>
    <row r="19" spans="1:6" ht="63.65" customHeight="1" x14ac:dyDescent="0.35">
      <c r="A19" s="18" t="s">
        <v>61</v>
      </c>
      <c r="B19" s="14" t="s">
        <v>868</v>
      </c>
      <c r="C19" s="14" t="s">
        <v>869</v>
      </c>
      <c r="D19" s="22"/>
      <c r="E19" s="14"/>
      <c r="F19" s="14"/>
    </row>
    <row r="20" spans="1:6" ht="63.65" customHeight="1" x14ac:dyDescent="0.35">
      <c r="A20" s="18" t="s">
        <v>870</v>
      </c>
      <c r="B20" s="14" t="s">
        <v>871</v>
      </c>
      <c r="C20" s="14" t="s">
        <v>872</v>
      </c>
      <c r="D20" s="22"/>
      <c r="E20" s="14"/>
      <c r="F20" s="14"/>
    </row>
    <row r="21" spans="1:6" ht="34.4" customHeight="1" x14ac:dyDescent="0.35">
      <c r="A21" s="1277" t="s">
        <v>821</v>
      </c>
      <c r="B21" s="1278"/>
      <c r="C21" s="1278"/>
      <c r="D21" s="15"/>
      <c r="E21" s="14"/>
      <c r="F21" s="14"/>
    </row>
    <row r="22" spans="1:6" x14ac:dyDescent="0.35">
      <c r="A22" s="1282" t="s">
        <v>62</v>
      </c>
      <c r="B22" s="1283"/>
      <c r="C22" s="1283"/>
      <c r="D22" s="1284"/>
      <c r="E22" s="14"/>
      <c r="F22" s="14"/>
    </row>
    <row r="23" spans="1:6" ht="29.15" customHeight="1" x14ac:dyDescent="0.35">
      <c r="A23" s="18" t="s">
        <v>63</v>
      </c>
      <c r="B23" s="14"/>
      <c r="C23" s="14" t="s">
        <v>64</v>
      </c>
      <c r="D23" s="23"/>
      <c r="E23" s="14"/>
      <c r="F23" s="14"/>
    </row>
    <row r="24" spans="1:6" ht="57.65" customHeight="1" x14ac:dyDescent="0.35">
      <c r="A24" s="18" t="s">
        <v>65</v>
      </c>
      <c r="B24" s="14" t="s">
        <v>66</v>
      </c>
      <c r="C24" s="14" t="s">
        <v>67</v>
      </c>
      <c r="D24" s="22"/>
      <c r="E24" s="14"/>
      <c r="F24" s="14"/>
    </row>
    <row r="25" spans="1:6" ht="29.15" customHeight="1" x14ac:dyDescent="0.35">
      <c r="A25" s="18" t="s">
        <v>68</v>
      </c>
      <c r="B25" s="14" t="s">
        <v>69</v>
      </c>
      <c r="C25" s="14" t="s">
        <v>859</v>
      </c>
      <c r="D25" s="22"/>
      <c r="E25" s="14"/>
      <c r="F25" s="14"/>
    </row>
    <row r="26" spans="1:6" ht="72" customHeight="1" x14ac:dyDescent="0.35">
      <c r="A26" s="20" t="s">
        <v>70</v>
      </c>
      <c r="B26" s="21" t="s">
        <v>71</v>
      </c>
      <c r="C26" s="21" t="s">
        <v>72</v>
      </c>
      <c r="D26" s="15"/>
      <c r="E26" s="14"/>
      <c r="F26" s="14"/>
    </row>
  </sheetData>
  <mergeCells count="9">
    <mergeCell ref="A21:C21"/>
    <mergeCell ref="A12:D12"/>
    <mergeCell ref="A16:D16"/>
    <mergeCell ref="A22:D22"/>
    <mergeCell ref="A2:D2"/>
    <mergeCell ref="B13:C13"/>
    <mergeCell ref="B14:C14"/>
    <mergeCell ref="B15:C15"/>
    <mergeCell ref="A17:C17"/>
  </mergeCells>
  <conditionalFormatting sqref="D3:D10">
    <cfRule type="containsText" dxfId="10" priority="1" operator="containsText" text="Yes">
      <formula>NOT(ISERROR(SEARCH("Yes",D3)))</formula>
    </cfRule>
  </conditionalFormatting>
  <conditionalFormatting sqref="D11 D13:D15">
    <cfRule type="containsText" dxfId="9" priority="6" operator="containsText" text="Yes">
      <formula>NOT(ISERROR(SEARCH("Yes",D11)))</formula>
    </cfRule>
  </conditionalFormatting>
  <conditionalFormatting sqref="D17:D21">
    <cfRule type="containsText" dxfId="8" priority="3" operator="containsText" text="Yes">
      <formula>NOT(ISERROR(SEARCH("Yes",D17)))</formula>
    </cfRule>
  </conditionalFormatting>
  <conditionalFormatting sqref="D23:D26">
    <cfRule type="containsText" dxfId="7" priority="4" operator="containsText" text="Yes">
      <formula>NOT(ISERROR(SEARCH("Yes",D23)))</formula>
    </cfRule>
  </conditionalFormatting>
  <hyperlinks>
    <hyperlink ref="C8" r:id="rId1" xr:uid="{00000000-0004-0000-0100-000000000000}"/>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6"/>
  <sheetViews>
    <sheetView zoomScale="79" zoomScaleNormal="85" workbookViewId="0">
      <pane ySplit="1" topLeftCell="A11" activePane="bottomLeft" state="frozen"/>
      <selection pane="bottomLeft" activeCell="B18" sqref="B18"/>
    </sheetView>
  </sheetViews>
  <sheetFormatPr defaultColWidth="10.90625" defaultRowHeight="14.5" x14ac:dyDescent="0.35"/>
  <cols>
    <col min="1" max="1" width="30.81640625" customWidth="1"/>
    <col min="2" max="2" width="109.453125" customWidth="1"/>
    <col min="3" max="3" width="47" customWidth="1"/>
    <col min="4" max="4" width="18.81640625" customWidth="1"/>
    <col min="5" max="5" width="58.81640625" customWidth="1"/>
    <col min="6" max="6" width="33.1796875" customWidth="1"/>
  </cols>
  <sheetData>
    <row r="1" spans="1:6" ht="47.9" customHeight="1" x14ac:dyDescent="0.35">
      <c r="A1" s="24" t="s">
        <v>33</v>
      </c>
      <c r="B1" s="25" t="s">
        <v>34</v>
      </c>
      <c r="C1" s="25" t="s">
        <v>35</v>
      </c>
      <c r="D1" s="26" t="s">
        <v>36</v>
      </c>
      <c r="E1" s="31"/>
      <c r="F1" s="31"/>
    </row>
    <row r="2" spans="1:6" ht="16.5" customHeight="1" x14ac:dyDescent="0.35">
      <c r="A2" s="1279" t="s">
        <v>37</v>
      </c>
      <c r="B2" s="1280"/>
      <c r="C2" s="1280"/>
      <c r="D2" s="1281"/>
      <c r="E2" s="31"/>
      <c r="F2" s="31"/>
    </row>
    <row r="3" spans="1:6" ht="148.4" customHeight="1" x14ac:dyDescent="0.35">
      <c r="A3" s="18" t="s">
        <v>849</v>
      </c>
      <c r="B3" s="14" t="s">
        <v>1956</v>
      </c>
      <c r="C3" s="14" t="s">
        <v>848</v>
      </c>
      <c r="D3" s="22" t="s">
        <v>913</v>
      </c>
      <c r="E3" s="14"/>
    </row>
    <row r="4" spans="1:6" ht="148.4" customHeight="1" x14ac:dyDescent="0.35">
      <c r="A4" s="18" t="s">
        <v>79</v>
      </c>
      <c r="B4" s="14" t="s">
        <v>40</v>
      </c>
      <c r="C4" s="14" t="s">
        <v>1976</v>
      </c>
      <c r="D4" s="22" t="s">
        <v>916</v>
      </c>
      <c r="E4" s="14" t="s">
        <v>916</v>
      </c>
      <c r="F4" s="14"/>
    </row>
    <row r="5" spans="1:6" ht="75" customHeight="1" x14ac:dyDescent="0.35">
      <c r="A5" s="18"/>
      <c r="B5" s="14"/>
      <c r="C5" s="14" t="s">
        <v>1981</v>
      </c>
      <c r="D5" s="22" t="s">
        <v>913</v>
      </c>
      <c r="E5" s="14" t="s">
        <v>916</v>
      </c>
      <c r="F5" s="14"/>
    </row>
    <row r="6" spans="1:6" ht="61.5" customHeight="1" x14ac:dyDescent="0.35">
      <c r="A6" s="18" t="s">
        <v>73</v>
      </c>
      <c r="B6" s="14" t="s">
        <v>74</v>
      </c>
      <c r="C6" s="30" t="s">
        <v>44</v>
      </c>
      <c r="D6" s="22" t="s">
        <v>916</v>
      </c>
      <c r="E6" s="14"/>
    </row>
    <row r="7" spans="1:6" ht="78" customHeight="1" x14ac:dyDescent="0.35">
      <c r="A7" s="18" t="s">
        <v>45</v>
      </c>
      <c r="B7" s="14" t="s">
        <v>46</v>
      </c>
      <c r="C7" s="14" t="s">
        <v>1957</v>
      </c>
      <c r="D7" s="22" t="s">
        <v>913</v>
      </c>
      <c r="E7" s="14"/>
      <c r="F7" s="14"/>
    </row>
    <row r="8" spans="1:6" ht="50.9" customHeight="1" x14ac:dyDescent="0.35">
      <c r="A8" s="18" t="s">
        <v>814</v>
      </c>
      <c r="B8" s="14" t="s">
        <v>824</v>
      </c>
      <c r="C8" s="14" t="s">
        <v>1977</v>
      </c>
      <c r="D8" s="22" t="s">
        <v>913</v>
      </c>
      <c r="E8" s="16"/>
      <c r="F8" s="14"/>
    </row>
    <row r="9" spans="1:6" ht="78.650000000000006" customHeight="1" x14ac:dyDescent="0.35">
      <c r="A9" s="18" t="s">
        <v>75</v>
      </c>
      <c r="B9" s="14" t="s">
        <v>76</v>
      </c>
      <c r="C9" s="14" t="s">
        <v>77</v>
      </c>
      <c r="D9" s="22" t="s">
        <v>913</v>
      </c>
      <c r="E9" s="16"/>
      <c r="F9" s="14"/>
    </row>
    <row r="10" spans="1:6" ht="96.65" customHeight="1" x14ac:dyDescent="0.35">
      <c r="A10" s="18" t="s">
        <v>47</v>
      </c>
      <c r="B10" s="14" t="s">
        <v>48</v>
      </c>
      <c r="C10" s="14" t="s">
        <v>841</v>
      </c>
      <c r="D10" s="22" t="s">
        <v>913</v>
      </c>
      <c r="E10" s="16"/>
      <c r="F10" s="14"/>
    </row>
    <row r="11" spans="1:6" ht="22.5" customHeight="1" x14ac:dyDescent="0.35">
      <c r="A11" s="1279" t="s">
        <v>842</v>
      </c>
      <c r="B11" s="1280"/>
      <c r="C11" s="1280"/>
      <c r="D11" s="1281"/>
      <c r="E11" s="16"/>
      <c r="F11" s="14"/>
    </row>
    <row r="12" spans="1:6" ht="22.5" customHeight="1" x14ac:dyDescent="0.35">
      <c r="A12" s="19" t="s">
        <v>75</v>
      </c>
      <c r="B12" s="1292" t="s">
        <v>851</v>
      </c>
      <c r="C12" s="1293"/>
      <c r="D12" s="32"/>
      <c r="E12" s="16"/>
      <c r="F12" s="14"/>
    </row>
    <row r="13" spans="1:6" ht="33" customHeight="1" x14ac:dyDescent="0.35">
      <c r="A13" s="19" t="s">
        <v>850</v>
      </c>
      <c r="B13" s="1285" t="s">
        <v>852</v>
      </c>
      <c r="C13" s="1285"/>
      <c r="D13" s="22"/>
      <c r="E13" s="14"/>
      <c r="F13" s="14"/>
    </row>
    <row r="14" spans="1:6" ht="39.65" customHeight="1" x14ac:dyDescent="0.35">
      <c r="A14" s="17" t="s">
        <v>843</v>
      </c>
      <c r="B14" s="1285" t="s">
        <v>853</v>
      </c>
      <c r="C14" s="1285"/>
      <c r="D14" s="22"/>
    </row>
    <row r="15" spans="1:6" ht="38.9" customHeight="1" x14ac:dyDescent="0.35">
      <c r="A15" s="17" t="s">
        <v>845</v>
      </c>
      <c r="B15" s="1285" t="s">
        <v>846</v>
      </c>
      <c r="C15" s="1285"/>
      <c r="D15" s="22"/>
    </row>
    <row r="16" spans="1:6" ht="20.149999999999999" customHeight="1" x14ac:dyDescent="0.35">
      <c r="A16" s="1282" t="s">
        <v>59</v>
      </c>
      <c r="B16" s="1283"/>
      <c r="C16" s="1283"/>
      <c r="D16" s="1284"/>
    </row>
    <row r="17" spans="1:7" ht="24.65" customHeight="1" x14ac:dyDescent="0.35">
      <c r="A17" s="1286" t="s">
        <v>822</v>
      </c>
      <c r="B17" s="1287"/>
      <c r="C17" s="1288"/>
      <c r="D17" s="22"/>
    </row>
    <row r="18" spans="1:7" ht="101.9" customHeight="1" x14ac:dyDescent="0.35">
      <c r="A18" s="17" t="s">
        <v>60</v>
      </c>
      <c r="B18" s="33" t="s">
        <v>867</v>
      </c>
      <c r="C18" s="33" t="s">
        <v>873</v>
      </c>
      <c r="D18" s="34"/>
      <c r="E18" s="33"/>
      <c r="F18" s="33"/>
      <c r="G18" s="33"/>
    </row>
    <row r="19" spans="1:7" ht="101.15" customHeight="1" x14ac:dyDescent="0.35">
      <c r="A19" s="17" t="s">
        <v>61</v>
      </c>
      <c r="B19" s="33" t="s">
        <v>868</v>
      </c>
      <c r="C19" s="33" t="s">
        <v>869</v>
      </c>
      <c r="D19" s="34"/>
      <c r="E19" s="33"/>
      <c r="F19" s="33"/>
      <c r="G19" s="33"/>
    </row>
    <row r="20" spans="1:7" ht="57.65" customHeight="1" x14ac:dyDescent="0.35">
      <c r="A20" s="17" t="s">
        <v>870</v>
      </c>
      <c r="B20" s="33" t="s">
        <v>871</v>
      </c>
      <c r="C20" s="33" t="s">
        <v>872</v>
      </c>
      <c r="D20" s="34"/>
      <c r="E20" s="33"/>
      <c r="F20" s="33"/>
      <c r="G20" s="33"/>
    </row>
    <row r="21" spans="1:7" ht="37.5" customHeight="1" x14ac:dyDescent="0.35">
      <c r="A21" s="1289" t="s">
        <v>821</v>
      </c>
      <c r="B21" s="1290"/>
      <c r="C21" s="1291"/>
      <c r="D21" s="22"/>
    </row>
    <row r="22" spans="1:7" x14ac:dyDescent="0.35">
      <c r="A22" s="1282" t="s">
        <v>62</v>
      </c>
      <c r="B22" s="1283"/>
      <c r="C22" s="1283"/>
      <c r="D22" s="1284"/>
    </row>
    <row r="23" spans="1:7" ht="29.15" customHeight="1" x14ac:dyDescent="0.35">
      <c r="A23" s="18" t="s">
        <v>63</v>
      </c>
      <c r="B23" s="14" t="s">
        <v>78</v>
      </c>
      <c r="C23" s="14" t="s">
        <v>64</v>
      </c>
      <c r="D23" s="22"/>
    </row>
    <row r="24" spans="1:7" ht="72" customHeight="1" x14ac:dyDescent="0.35">
      <c r="A24" s="18" t="s">
        <v>65</v>
      </c>
      <c r="B24" s="14" t="s">
        <v>66</v>
      </c>
      <c r="C24" s="14" t="s">
        <v>67</v>
      </c>
      <c r="D24" s="22"/>
    </row>
    <row r="25" spans="1:7" ht="29.15" customHeight="1" x14ac:dyDescent="0.35">
      <c r="A25" s="18" t="s">
        <v>68</v>
      </c>
      <c r="B25" s="14" t="s">
        <v>69</v>
      </c>
      <c r="C25" s="14" t="s">
        <v>859</v>
      </c>
      <c r="D25" s="22"/>
    </row>
    <row r="26" spans="1:7" ht="101.15" customHeight="1" x14ac:dyDescent="0.35">
      <c r="A26" s="20" t="s">
        <v>70</v>
      </c>
      <c r="B26" s="21" t="s">
        <v>71</v>
      </c>
      <c r="C26" s="21" t="s">
        <v>72</v>
      </c>
      <c r="D26" s="15"/>
    </row>
  </sheetData>
  <mergeCells count="10">
    <mergeCell ref="A22:D22"/>
    <mergeCell ref="A17:C17"/>
    <mergeCell ref="A21:C21"/>
    <mergeCell ref="A2:D2"/>
    <mergeCell ref="A11:D11"/>
    <mergeCell ref="B12:C12"/>
    <mergeCell ref="A16:D16"/>
    <mergeCell ref="B13:C13"/>
    <mergeCell ref="B14:C14"/>
    <mergeCell ref="B15:C15"/>
  </mergeCells>
  <conditionalFormatting sqref="D13:D15">
    <cfRule type="containsText" dxfId="6" priority="3" operator="containsText" text="Yes">
      <formula>NOT(ISERROR(SEARCH("Yes",D13)))</formula>
    </cfRule>
  </conditionalFormatting>
  <conditionalFormatting sqref="D17 D21 D23:D138">
    <cfRule type="containsText" dxfId="5" priority="7" operator="containsText" text="Yes">
      <formula>NOT(ISERROR(SEARCH("Yes",D17)))</formula>
    </cfRule>
  </conditionalFormatting>
  <conditionalFormatting sqref="E3 D3:D10 E6">
    <cfRule type="containsText" dxfId="4" priority="6" operator="containsText" text="Yes">
      <formula>NOT(ISERROR(SEARCH("Yes",D3)))</formula>
    </cfRule>
  </conditionalFormatting>
  <hyperlinks>
    <hyperlink ref="C6" r:id="rId1" xr:uid="{00000000-0004-0000-0200-000000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59999389629810485"/>
  </sheetPr>
  <dimension ref="A1:K81"/>
  <sheetViews>
    <sheetView zoomScale="109" workbookViewId="0">
      <selection activeCell="C30" sqref="C30"/>
    </sheetView>
  </sheetViews>
  <sheetFormatPr defaultColWidth="10.90625" defaultRowHeight="14.5" x14ac:dyDescent="0.35"/>
  <cols>
    <col min="1" max="1" width="15.1796875" customWidth="1"/>
    <col min="2" max="2" width="28.453125" customWidth="1"/>
    <col min="3" max="3" width="25.1796875" customWidth="1"/>
    <col min="4" max="4" width="11.1796875" customWidth="1"/>
    <col min="5" max="5" width="15.1796875" customWidth="1"/>
    <col min="6" max="6" width="12.453125" customWidth="1"/>
    <col min="7" max="7" width="11.81640625" customWidth="1"/>
  </cols>
  <sheetData>
    <row r="1" spans="1:11" x14ac:dyDescent="0.35">
      <c r="A1" s="47" t="s">
        <v>85</v>
      </c>
      <c r="B1" s="47" t="s">
        <v>86</v>
      </c>
      <c r="C1" s="47" t="s">
        <v>87</v>
      </c>
      <c r="D1" s="47" t="s">
        <v>88</v>
      </c>
      <c r="E1" s="47" t="s">
        <v>89</v>
      </c>
      <c r="F1" s="47" t="s">
        <v>90</v>
      </c>
    </row>
    <row r="2" spans="1:11" x14ac:dyDescent="0.35">
      <c r="C2" s="43" t="str">
        <f>'Haver Pivoted'!A1</f>
        <v>name</v>
      </c>
      <c r="D2" s="48" t="s">
        <v>1904</v>
      </c>
      <c r="E2" s="48" t="s">
        <v>1905</v>
      </c>
      <c r="F2" s="48" t="s">
        <v>1921</v>
      </c>
      <c r="G2" s="48" t="s">
        <v>1922</v>
      </c>
      <c r="H2" s="29"/>
    </row>
    <row r="3" spans="1:11" x14ac:dyDescent="0.35">
      <c r="B3" s="43" t="s">
        <v>91</v>
      </c>
      <c r="C3" s="43" t="str">
        <f>'Haver Pivoted'!A2</f>
        <v>gdp</v>
      </c>
      <c r="D3">
        <v>27610.1</v>
      </c>
      <c r="E3" s="43">
        <f>'Haver Pivoted'!HH2</f>
        <v>27967.7</v>
      </c>
      <c r="F3" s="43">
        <f>E3-D3</f>
        <v>357.60000000000218</v>
      </c>
      <c r="G3" s="49">
        <f>F3/D3</f>
        <v>1.2951782137696068E-2</v>
      </c>
      <c r="H3" s="50"/>
    </row>
    <row r="4" spans="1:11" x14ac:dyDescent="0.35">
      <c r="B4" s="43" t="s">
        <v>92</v>
      </c>
      <c r="C4" s="43" t="str">
        <f>'Haver Pivoted'!A3</f>
        <v>gdph</v>
      </c>
      <c r="D4">
        <v>22490.7</v>
      </c>
      <c r="E4" s="43">
        <f>'Haver Pivoted'!HH3</f>
        <v>22780.9</v>
      </c>
      <c r="F4" s="43">
        <f t="shared" ref="F4:F67" si="0">E4-D4</f>
        <v>290.20000000000073</v>
      </c>
      <c r="G4" s="49">
        <f t="shared" ref="G4:G67" si="1">F4/D4</f>
        <v>1.2903111063684133E-2</v>
      </c>
      <c r="H4" s="50"/>
    </row>
    <row r="5" spans="1:11" x14ac:dyDescent="0.35">
      <c r="B5" s="43" t="s">
        <v>93</v>
      </c>
      <c r="C5" s="43" t="str">
        <f>'Haver Pivoted'!A4</f>
        <v>jgdp</v>
      </c>
      <c r="D5">
        <v>122.792</v>
      </c>
      <c r="E5" s="43">
        <f>'Haver Pivoted'!HH4</f>
        <v>122.785</v>
      </c>
      <c r="F5" s="43">
        <f t="shared" si="0"/>
        <v>-7.0000000000050022E-3</v>
      </c>
      <c r="G5" s="49">
        <f t="shared" si="1"/>
        <v>-5.7006971138225632E-5</v>
      </c>
      <c r="H5" s="51"/>
    </row>
    <row r="6" spans="1:11" x14ac:dyDescent="0.35">
      <c r="B6" s="43" t="s">
        <v>94</v>
      </c>
      <c r="C6" s="43" t="str">
        <f>'Haver Pivoted'!A5</f>
        <v>c</v>
      </c>
      <c r="D6">
        <v>18679.5</v>
      </c>
      <c r="E6" s="43">
        <f>'Haver Pivoted'!HH5</f>
        <v>18929</v>
      </c>
      <c r="F6" s="43">
        <f t="shared" si="0"/>
        <v>249.5</v>
      </c>
      <c r="G6" s="49">
        <f t="shared" si="1"/>
        <v>1.3356888567681148E-2</v>
      </c>
    </row>
    <row r="7" spans="1:11" x14ac:dyDescent="0.35">
      <c r="B7" s="43" t="s">
        <v>95</v>
      </c>
      <c r="C7" s="43" t="str">
        <f>'Haver Pivoted'!A6</f>
        <v>ch</v>
      </c>
      <c r="D7">
        <v>15461.4</v>
      </c>
      <c r="E7" s="43">
        <f>'Haver Pivoted'!HH6</f>
        <v>15646.7</v>
      </c>
      <c r="F7" s="43">
        <f t="shared" si="0"/>
        <v>185.30000000000109</v>
      </c>
      <c r="G7" s="49">
        <f t="shared" si="1"/>
        <v>1.198468443996023E-2</v>
      </c>
      <c r="K7" s="51"/>
    </row>
    <row r="8" spans="1:11" x14ac:dyDescent="0.35">
      <c r="B8" s="43" t="s">
        <v>96</v>
      </c>
      <c r="C8" s="43" t="str">
        <f>'Haver Pivoted'!A7</f>
        <v>jc</v>
      </c>
      <c r="D8">
        <v>120.81399999999999</v>
      </c>
      <c r="E8" s="43">
        <f>'Haver Pivoted'!HH7</f>
        <v>120.983</v>
      </c>
      <c r="F8" s="43">
        <f t="shared" si="0"/>
        <v>0.16900000000001114</v>
      </c>
      <c r="G8" s="49">
        <f t="shared" si="1"/>
        <v>1.3988445047760289E-3</v>
      </c>
    </row>
    <row r="9" spans="1:11" x14ac:dyDescent="0.35">
      <c r="B9" s="43" t="s">
        <v>97</v>
      </c>
      <c r="C9" s="43" t="str">
        <f>'Haver Pivoted'!A8</f>
        <v>jgf</v>
      </c>
      <c r="D9">
        <v>120.09699999999999</v>
      </c>
      <c r="E9" s="43">
        <f>'Haver Pivoted'!HH8</f>
        <v>120.759</v>
      </c>
      <c r="F9" s="43">
        <f t="shared" si="0"/>
        <v>0.66200000000000614</v>
      </c>
      <c r="G9" s="49">
        <f t="shared" si="1"/>
        <v>5.5122109628051169E-3</v>
      </c>
    </row>
    <row r="10" spans="1:11" x14ac:dyDescent="0.35">
      <c r="B10" s="43" t="s">
        <v>98</v>
      </c>
      <c r="C10" s="43" t="str">
        <f>'Haver Pivoted'!A9</f>
        <v>jgs</v>
      </c>
      <c r="D10">
        <v>127.717</v>
      </c>
      <c r="E10" s="43">
        <f>'Haver Pivoted'!HH9</f>
        <v>126.041</v>
      </c>
      <c r="F10" s="43">
        <f t="shared" si="0"/>
        <v>-1.6760000000000019</v>
      </c>
      <c r="G10" s="49">
        <f t="shared" si="1"/>
        <v>-1.3122763610169374E-2</v>
      </c>
    </row>
    <row r="11" spans="1:11" x14ac:dyDescent="0.35">
      <c r="B11" s="43" t="s">
        <v>99</v>
      </c>
      <c r="C11" s="43" t="str">
        <f>'Haver Pivoted'!A10</f>
        <v>jgse</v>
      </c>
      <c r="D11">
        <v>127.176</v>
      </c>
      <c r="E11" s="43">
        <f>'Haver Pivoted'!HH10</f>
        <v>124.699</v>
      </c>
      <c r="F11" s="43">
        <f t="shared" si="0"/>
        <v>-2.4770000000000039</v>
      </c>
      <c r="G11" s="49">
        <f t="shared" si="1"/>
        <v>-1.9476945335597941E-2</v>
      </c>
    </row>
    <row r="12" spans="1:11" x14ac:dyDescent="0.35">
      <c r="B12" s="43" t="s">
        <v>100</v>
      </c>
      <c r="C12" s="43" t="str">
        <f>'Haver Pivoted'!A11</f>
        <v>jgsi</v>
      </c>
      <c r="D12">
        <v>130.56700000000001</v>
      </c>
      <c r="E12" s="43">
        <f>'Haver Pivoted'!HH11</f>
        <v>132.66800000000001</v>
      </c>
      <c r="F12" s="43">
        <f t="shared" si="0"/>
        <v>2.1009999999999991</v>
      </c>
      <c r="G12" s="49">
        <f t="shared" si="1"/>
        <v>1.6091355396080167E-2</v>
      </c>
      <c r="I12" s="35"/>
    </row>
    <row r="13" spans="1:11" x14ac:dyDescent="0.35">
      <c r="A13" s="43" t="s">
        <v>55</v>
      </c>
      <c r="B13" s="43" t="s">
        <v>55</v>
      </c>
      <c r="C13" s="43" t="str">
        <f>'Haver Pivoted'!A12</f>
        <v>yptmr</v>
      </c>
      <c r="D13">
        <v>946.3</v>
      </c>
      <c r="E13" s="43">
        <f>'Haver Pivoted'!HH12</f>
        <v>1019.9</v>
      </c>
      <c r="F13" s="43">
        <f t="shared" si="0"/>
        <v>73.600000000000023</v>
      </c>
      <c r="G13" s="49">
        <f t="shared" si="1"/>
        <v>7.7776603614075901E-2</v>
      </c>
      <c r="I13" s="52"/>
    </row>
    <row r="14" spans="1:11" x14ac:dyDescent="0.35">
      <c r="A14" s="43" t="s">
        <v>54</v>
      </c>
      <c r="B14" s="43" t="s">
        <v>101</v>
      </c>
      <c r="C14" s="43" t="str">
        <f>'Haver Pivoted'!A13</f>
        <v>yptmd</v>
      </c>
      <c r="D14">
        <v>880.6</v>
      </c>
      <c r="E14" s="43">
        <f>'Haver Pivoted'!HH13</f>
        <v>867.2</v>
      </c>
      <c r="F14" s="43">
        <f t="shared" si="0"/>
        <v>-13.399999999999977</v>
      </c>
      <c r="G14" s="49">
        <f t="shared" si="1"/>
        <v>-1.521689756983872E-2</v>
      </c>
    </row>
    <row r="15" spans="1:11" x14ac:dyDescent="0.35">
      <c r="A15" s="43" t="s">
        <v>53</v>
      </c>
      <c r="B15" s="43" t="s">
        <v>102</v>
      </c>
      <c r="C15" s="43" t="str">
        <f>'Haver Pivoted'!A14</f>
        <v>yptu</v>
      </c>
      <c r="D15">
        <v>21</v>
      </c>
      <c r="E15" s="43">
        <f>'Haver Pivoted'!HH14</f>
        <v>34.700000000000003</v>
      </c>
      <c r="F15" s="43">
        <f t="shared" si="0"/>
        <v>13.700000000000003</v>
      </c>
      <c r="G15" s="49">
        <f t="shared" si="1"/>
        <v>0.65238095238095251</v>
      </c>
    </row>
    <row r="16" spans="1:11" x14ac:dyDescent="0.35">
      <c r="B16" s="43" t="s">
        <v>57</v>
      </c>
      <c r="C16" s="43" t="str">
        <f>'Haver Pivoted'!A15</f>
        <v>gtfp</v>
      </c>
      <c r="D16">
        <v>3987.8</v>
      </c>
      <c r="E16" s="43">
        <f>'Haver Pivoted'!HH15</f>
        <v>4147.5</v>
      </c>
      <c r="F16" s="43">
        <f t="shared" si="0"/>
        <v>159.69999999999982</v>
      </c>
      <c r="G16" s="49">
        <f t="shared" si="1"/>
        <v>4.0047143788555048E-2</v>
      </c>
    </row>
    <row r="17" spans="1:7" x14ac:dyDescent="0.35">
      <c r="B17" s="43" t="s">
        <v>103</v>
      </c>
      <c r="C17" s="43" t="str">
        <f>'Haver Pivoted'!A16</f>
        <v>ypog</v>
      </c>
      <c r="D17">
        <v>131.19999999999999</v>
      </c>
      <c r="E17" s="43">
        <f>'Haver Pivoted'!HH16</f>
        <v>136</v>
      </c>
      <c r="F17" s="43">
        <f t="shared" si="0"/>
        <v>4.8000000000000114</v>
      </c>
      <c r="G17" s="49">
        <f t="shared" si="1"/>
        <v>3.6585365853658625E-2</v>
      </c>
    </row>
    <row r="18" spans="1:7" x14ac:dyDescent="0.35">
      <c r="B18" s="43" t="s">
        <v>104</v>
      </c>
      <c r="C18" s="43" t="str">
        <f>'Haver Pivoted'!A17</f>
        <v>yptx</v>
      </c>
      <c r="D18">
        <v>2765.3</v>
      </c>
      <c r="E18" s="43">
        <f>'Haver Pivoted'!HH17</f>
        <v>2866</v>
      </c>
      <c r="F18" s="43">
        <f t="shared" si="0"/>
        <v>100.69999999999982</v>
      </c>
      <c r="G18" s="49">
        <f t="shared" si="1"/>
        <v>3.6415578779879151E-2</v>
      </c>
    </row>
    <row r="19" spans="1:7" x14ac:dyDescent="0.35">
      <c r="B19" s="43" t="s">
        <v>105</v>
      </c>
      <c r="C19" s="43" t="str">
        <f>'Haver Pivoted'!A18</f>
        <v>ytpi</v>
      </c>
      <c r="D19">
        <v>1830.7</v>
      </c>
      <c r="E19" s="43">
        <f>'Haver Pivoted'!HH18</f>
        <v>1896.2</v>
      </c>
      <c r="F19" s="43">
        <f t="shared" si="0"/>
        <v>65.5</v>
      </c>
      <c r="G19" s="49">
        <f t="shared" si="1"/>
        <v>3.5778663899055006E-2</v>
      </c>
    </row>
    <row r="20" spans="1:7" x14ac:dyDescent="0.35">
      <c r="B20" s="43" t="s">
        <v>106</v>
      </c>
      <c r="C20" s="43" t="str">
        <f>'Haver Pivoted'!A19</f>
        <v>yctlg</v>
      </c>
      <c r="D20">
        <v>566.70000000000005</v>
      </c>
      <c r="E20" s="43">
        <f>'Haver Pivoted'!HH19</f>
        <v>617.79999999999995</v>
      </c>
      <c r="F20" s="43">
        <f t="shared" si="0"/>
        <v>51.099999999999909</v>
      </c>
      <c r="G20" s="49">
        <f t="shared" si="1"/>
        <v>9.0171166401976185E-2</v>
      </c>
    </row>
    <row r="21" spans="1:7" x14ac:dyDescent="0.35">
      <c r="B21" s="43" t="s">
        <v>107</v>
      </c>
      <c r="C21" s="43" t="str">
        <f>'Haver Pivoted'!A20</f>
        <v>g</v>
      </c>
      <c r="D21">
        <v>4794.8</v>
      </c>
      <c r="E21" s="43">
        <f>'Haver Pivoted'!HH20</f>
        <v>4756.3999999999996</v>
      </c>
      <c r="F21" s="43">
        <f t="shared" si="0"/>
        <v>-38.400000000000546</v>
      </c>
      <c r="G21" s="49">
        <f t="shared" si="1"/>
        <v>-8.0086760657379959E-3</v>
      </c>
    </row>
    <row r="22" spans="1:7" x14ac:dyDescent="0.35">
      <c r="B22" s="43" t="s">
        <v>108</v>
      </c>
      <c r="C22" s="43" t="str">
        <f>'Haver Pivoted'!A21</f>
        <v>grcsi</v>
      </c>
      <c r="D22">
        <v>1823.3</v>
      </c>
      <c r="E22" s="43">
        <f>'Haver Pivoted'!HH21</f>
        <v>1839.3</v>
      </c>
      <c r="F22" s="43">
        <f t="shared" si="0"/>
        <v>16</v>
      </c>
      <c r="G22" s="49">
        <f t="shared" si="1"/>
        <v>8.7752975374321279E-3</v>
      </c>
    </row>
    <row r="23" spans="1:7" x14ac:dyDescent="0.35">
      <c r="B23" s="43" t="s">
        <v>96</v>
      </c>
      <c r="C23" s="43" t="str">
        <f>'Haver Pivoted'!A22</f>
        <v>dc</v>
      </c>
      <c r="D23">
        <v>120.81399999999999</v>
      </c>
      <c r="E23" s="43">
        <f>'Haver Pivoted'!HH22</f>
        <v>120.97799999999999</v>
      </c>
      <c r="F23" s="43">
        <f t="shared" si="0"/>
        <v>0.16400000000000148</v>
      </c>
      <c r="G23" s="49">
        <f t="shared" si="1"/>
        <v>1.3574585726819862E-3</v>
      </c>
    </row>
    <row r="24" spans="1:7" x14ac:dyDescent="0.35">
      <c r="A24" s="43" t="s">
        <v>109</v>
      </c>
      <c r="B24" s="43" t="s">
        <v>110</v>
      </c>
      <c r="C24" s="43" t="str">
        <f>'Haver Pivoted'!A23</f>
        <v>gf</v>
      </c>
      <c r="D24">
        <v>1791.9</v>
      </c>
      <c r="E24" s="43">
        <f>'Haver Pivoted'!HH23</f>
        <v>1780.9</v>
      </c>
      <c r="F24" s="43">
        <f t="shared" si="0"/>
        <v>-11</v>
      </c>
      <c r="G24" s="49">
        <f t="shared" si="1"/>
        <v>-6.1387354205033762E-3</v>
      </c>
    </row>
    <row r="25" spans="1:7" x14ac:dyDescent="0.35">
      <c r="A25" s="43" t="s">
        <v>109</v>
      </c>
      <c r="B25" s="43" t="s">
        <v>111</v>
      </c>
      <c r="C25" s="43" t="str">
        <f>'Haver Pivoted'!A24</f>
        <v>gs</v>
      </c>
      <c r="D25">
        <v>3002.9</v>
      </c>
      <c r="E25" s="43">
        <f>'Haver Pivoted'!HH24</f>
        <v>2975.5</v>
      </c>
      <c r="F25" s="43">
        <f t="shared" si="0"/>
        <v>-27.400000000000091</v>
      </c>
      <c r="G25" s="49">
        <f t="shared" si="1"/>
        <v>-9.1245129707949284E-3</v>
      </c>
    </row>
    <row r="26" spans="1:7" x14ac:dyDescent="0.35">
      <c r="B26" s="43" t="s">
        <v>112</v>
      </c>
      <c r="C26" s="43" t="str">
        <f>'Haver Pivoted'!A25</f>
        <v>gfh</v>
      </c>
      <c r="D26">
        <v>1492.3</v>
      </c>
      <c r="E26" s="43">
        <f>'Haver Pivoted'!HH25</f>
        <v>1474.8</v>
      </c>
      <c r="F26" s="43">
        <f t="shared" si="0"/>
        <v>-17.5</v>
      </c>
      <c r="G26" s="49">
        <f t="shared" si="1"/>
        <v>-1.1726864571466863E-2</v>
      </c>
    </row>
    <row r="27" spans="1:7" x14ac:dyDescent="0.35">
      <c r="B27" s="43" t="s">
        <v>113</v>
      </c>
      <c r="C27" s="43" t="str">
        <f>'Haver Pivoted'!A26</f>
        <v>gsh</v>
      </c>
      <c r="D27">
        <v>2351.4</v>
      </c>
      <c r="E27" s="43">
        <f>'Haver Pivoted'!HH26</f>
        <v>2360.8000000000002</v>
      </c>
      <c r="F27" s="43">
        <f t="shared" si="0"/>
        <v>9.4000000000000909</v>
      </c>
      <c r="G27" s="49">
        <f t="shared" si="1"/>
        <v>3.9976184400782894E-3</v>
      </c>
    </row>
    <row r="28" spans="1:7" x14ac:dyDescent="0.35">
      <c r="A28" s="43" t="s">
        <v>58</v>
      </c>
      <c r="B28" s="43" t="s">
        <v>114</v>
      </c>
      <c r="C28" s="43" t="s">
        <v>115</v>
      </c>
      <c r="D28">
        <v>2188.6999999999998</v>
      </c>
      <c r="E28" s="43">
        <f>'Haver Pivoted'!HH27</f>
        <v>2260.5</v>
      </c>
      <c r="F28" s="43">
        <f t="shared" si="0"/>
        <v>71.800000000000182</v>
      </c>
      <c r="G28" s="49">
        <f t="shared" si="1"/>
        <v>3.2804861333211581E-2</v>
      </c>
    </row>
    <row r="29" spans="1:7" x14ac:dyDescent="0.35">
      <c r="A29" s="43" t="s">
        <v>58</v>
      </c>
      <c r="B29" s="43" t="s">
        <v>116</v>
      </c>
      <c r="C29" s="43" t="s">
        <v>117</v>
      </c>
      <c r="D29">
        <v>171.6</v>
      </c>
      <c r="E29" s="43">
        <f>'Haver Pivoted'!HH28</f>
        <v>172.2</v>
      </c>
      <c r="F29" s="43">
        <f t="shared" si="0"/>
        <v>0.59999999999999432</v>
      </c>
      <c r="G29" s="49">
        <f t="shared" si="1"/>
        <v>3.4965034965034635E-3</v>
      </c>
    </row>
    <row r="30" spans="1:7" x14ac:dyDescent="0.35">
      <c r="A30" s="43" t="s">
        <v>58</v>
      </c>
      <c r="B30" s="43" t="s">
        <v>118</v>
      </c>
      <c r="C30" s="43" t="s">
        <v>119</v>
      </c>
      <c r="D30">
        <v>418</v>
      </c>
      <c r="E30" s="43">
        <f>'Haver Pivoted'!HH29</f>
        <v>451.9</v>
      </c>
      <c r="F30" s="43">
        <f t="shared" si="0"/>
        <v>33.899999999999977</v>
      </c>
      <c r="G30" s="49">
        <f t="shared" si="1"/>
        <v>8.1100478468899465E-2</v>
      </c>
    </row>
    <row r="31" spans="1:7" x14ac:dyDescent="0.35">
      <c r="A31" s="43" t="s">
        <v>58</v>
      </c>
      <c r="B31" s="43" t="s">
        <v>120</v>
      </c>
      <c r="C31" s="43" t="s">
        <v>121</v>
      </c>
      <c r="D31">
        <v>1801.4</v>
      </c>
      <c r="E31" s="43">
        <f>'Haver Pivoted'!HH30</f>
        <v>1818</v>
      </c>
      <c r="F31" s="43">
        <f t="shared" si="0"/>
        <v>16.599999999999909</v>
      </c>
      <c r="G31" s="49">
        <f t="shared" si="1"/>
        <v>9.2150549572554176E-3</v>
      </c>
    </row>
    <row r="32" spans="1:7" x14ac:dyDescent="0.35">
      <c r="A32" s="43" t="s">
        <v>122</v>
      </c>
      <c r="B32" s="43" t="s">
        <v>123</v>
      </c>
      <c r="C32" s="43" t="str">
        <f>'Haver Pivoted'!A31</f>
        <v>gftfp</v>
      </c>
      <c r="D32">
        <v>2930.1</v>
      </c>
      <c r="E32" s="43">
        <f>'Haver Pivoted'!HH31</f>
        <v>3078</v>
      </c>
      <c r="F32" s="43">
        <f t="shared" si="0"/>
        <v>147.90000000000009</v>
      </c>
      <c r="G32" s="49">
        <f t="shared" si="1"/>
        <v>5.0476092966110407E-2</v>
      </c>
    </row>
    <row r="33" spans="1:10" x14ac:dyDescent="0.35">
      <c r="A33" s="43" t="s">
        <v>51</v>
      </c>
      <c r="B33" s="42" t="s">
        <v>124</v>
      </c>
      <c r="C33" s="43" t="str">
        <f>'Haver Pivoted'!A32</f>
        <v>gfeg</v>
      </c>
      <c r="D33">
        <v>918.5</v>
      </c>
      <c r="E33" s="43">
        <f>'Haver Pivoted'!HH32</f>
        <v>915.6</v>
      </c>
      <c r="F33" s="43">
        <f t="shared" si="0"/>
        <v>-2.8999999999999773</v>
      </c>
      <c r="G33" s="49">
        <f t="shared" si="1"/>
        <v>-3.157321720195947E-3</v>
      </c>
    </row>
    <row r="34" spans="1:10" x14ac:dyDescent="0.35">
      <c r="A34" s="43" t="s">
        <v>58</v>
      </c>
      <c r="B34" s="43" t="s">
        <v>125</v>
      </c>
      <c r="C34" s="43" t="str">
        <f>'Haver Pivoted'!A33</f>
        <v>gsrpt</v>
      </c>
      <c r="D34">
        <v>576.6</v>
      </c>
      <c r="E34" s="43">
        <f>'Haver Pivoted'!HH33</f>
        <v>605.5</v>
      </c>
      <c r="F34" s="43">
        <f t="shared" si="0"/>
        <v>28.899999999999977</v>
      </c>
      <c r="G34" s="49">
        <f t="shared" si="1"/>
        <v>5.0121401318071412E-2</v>
      </c>
    </row>
    <row r="35" spans="1:10" x14ac:dyDescent="0.35">
      <c r="A35" s="43" t="s">
        <v>58</v>
      </c>
      <c r="B35" s="43" t="s">
        <v>126</v>
      </c>
      <c r="C35" s="43" t="str">
        <f>'Haver Pivoted'!A34</f>
        <v>gsrpri</v>
      </c>
      <c r="D35">
        <v>1659.2</v>
      </c>
      <c r="E35" s="43">
        <f>'Haver Pivoted'!HH34</f>
        <v>1724</v>
      </c>
      <c r="F35" s="43">
        <f t="shared" si="0"/>
        <v>64.799999999999955</v>
      </c>
      <c r="G35" s="49">
        <f t="shared" si="1"/>
        <v>3.9054966248794572E-2</v>
      </c>
    </row>
    <row r="36" spans="1:10" x14ac:dyDescent="0.35">
      <c r="A36" s="43" t="s">
        <v>58</v>
      </c>
      <c r="B36" s="43" t="s">
        <v>127</v>
      </c>
      <c r="C36" s="43" t="str">
        <f>'Haver Pivoted'!A35</f>
        <v>gsrcp</v>
      </c>
      <c r="D36">
        <v>148.69999999999999</v>
      </c>
      <c r="E36" s="43">
        <f>'Haver Pivoted'!HH35</f>
        <v>165.9</v>
      </c>
      <c r="F36" s="43">
        <f t="shared" si="0"/>
        <v>17.200000000000017</v>
      </c>
      <c r="G36" s="49">
        <f t="shared" si="1"/>
        <v>0.11566913248150651</v>
      </c>
    </row>
    <row r="37" spans="1:10" x14ac:dyDescent="0.35">
      <c r="A37" s="43" t="s">
        <v>58</v>
      </c>
      <c r="B37" s="43" t="s">
        <v>128</v>
      </c>
      <c r="C37" s="43" t="str">
        <f>'Haver Pivoted'!A36</f>
        <v>gsrs</v>
      </c>
      <c r="D37">
        <v>21.9</v>
      </c>
      <c r="E37" s="43">
        <f>'Haver Pivoted'!HH36</f>
        <v>21.2</v>
      </c>
      <c r="F37" s="43">
        <f t="shared" si="0"/>
        <v>-0.69999999999999929</v>
      </c>
      <c r="G37" s="49">
        <f t="shared" si="1"/>
        <v>-3.1963470319634674E-2</v>
      </c>
    </row>
    <row r="38" spans="1:10" x14ac:dyDescent="0.35">
      <c r="A38" s="43" t="s">
        <v>57</v>
      </c>
      <c r="B38" s="43" t="s">
        <v>129</v>
      </c>
      <c r="C38" s="43" t="str">
        <f>'Haver Pivoted'!A37</f>
        <v>gstfp</v>
      </c>
      <c r="D38">
        <v>1057.5999999999999</v>
      </c>
      <c r="E38" s="43">
        <f>'Haver Pivoted'!HH37</f>
        <v>1069.4000000000001</v>
      </c>
      <c r="F38" s="43">
        <f t="shared" si="0"/>
        <v>11.800000000000182</v>
      </c>
      <c r="G38" s="49">
        <f t="shared" si="1"/>
        <v>1.1157337367624984E-2</v>
      </c>
    </row>
    <row r="39" spans="1:10" x14ac:dyDescent="0.35">
      <c r="B39" s="43" t="s">
        <v>130</v>
      </c>
      <c r="C39" s="43" t="str">
        <f>'Haver Pivoted'!A38</f>
        <v>gset</v>
      </c>
      <c r="D39">
        <v>3985.3</v>
      </c>
      <c r="E39" s="43">
        <f>'Haver Pivoted'!HH38</f>
        <v>3944.8</v>
      </c>
      <c r="F39" s="43">
        <f t="shared" si="0"/>
        <v>-40.5</v>
      </c>
      <c r="G39" s="49">
        <f t="shared" si="1"/>
        <v>-1.0162346623842621E-2</v>
      </c>
    </row>
    <row r="40" spans="1:10" x14ac:dyDescent="0.35">
      <c r="B40" s="43" t="s">
        <v>131</v>
      </c>
      <c r="C40" s="43" t="str">
        <f>'Haver Pivoted'!A39</f>
        <v>gfeghhx</v>
      </c>
      <c r="D40">
        <v>622.95699999999999</v>
      </c>
      <c r="E40" s="43">
        <f>'Haver Pivoted'!HH39</f>
        <v>617.13900000000001</v>
      </c>
      <c r="F40" s="43">
        <f t="shared" si="0"/>
        <v>-5.8179999999999836</v>
      </c>
      <c r="G40" s="49">
        <f t="shared" si="1"/>
        <v>-9.3393283966629864E-3</v>
      </c>
    </row>
    <row r="41" spans="1:10" x14ac:dyDescent="0.35">
      <c r="A41" s="43" t="s">
        <v>132</v>
      </c>
      <c r="B41" s="43" t="s">
        <v>133</v>
      </c>
      <c r="C41" s="43" t="str">
        <f>'Haver Pivoted'!A40</f>
        <v>gfeghdx</v>
      </c>
      <c r="D41">
        <v>590.947</v>
      </c>
      <c r="E41" s="43">
        <f>'Haver Pivoted'!HH40</f>
        <v>585.98400000000004</v>
      </c>
      <c r="F41" s="43">
        <f t="shared" si="0"/>
        <v>-4.9629999999999654</v>
      </c>
      <c r="G41" s="49">
        <f t="shared" si="1"/>
        <v>-8.3983842882694483E-3</v>
      </c>
    </row>
    <row r="42" spans="1:10" x14ac:dyDescent="0.35">
      <c r="A42" s="43" t="s">
        <v>51</v>
      </c>
      <c r="B42" s="43" t="s">
        <v>134</v>
      </c>
      <c r="C42" s="43" t="str">
        <f>'Haver Pivoted'!A41</f>
        <v>gfeigx</v>
      </c>
      <c r="D42">
        <v>90.495000000000005</v>
      </c>
      <c r="E42" s="43">
        <f>'Haver Pivoted'!HH41</f>
        <v>92.77</v>
      </c>
      <c r="F42" s="43">
        <f t="shared" si="0"/>
        <v>2.2749999999999915</v>
      </c>
      <c r="G42" s="49">
        <f t="shared" si="1"/>
        <v>2.5139510470191629E-2</v>
      </c>
    </row>
    <row r="43" spans="1:10" x14ac:dyDescent="0.35">
      <c r="B43" s="43" t="s">
        <v>135</v>
      </c>
      <c r="C43" s="43" t="str">
        <f>'Haver Pivoted'!A42</f>
        <v>gfsub</v>
      </c>
      <c r="D43">
        <v>102.4</v>
      </c>
      <c r="E43" s="43">
        <f>'Haver Pivoted'!HH42</f>
        <v>104</v>
      </c>
      <c r="F43" s="43">
        <f t="shared" si="0"/>
        <v>1.5999999999999943</v>
      </c>
      <c r="G43" s="49">
        <f t="shared" si="1"/>
        <v>1.5624999999999944E-2</v>
      </c>
      <c r="I43" s="53"/>
      <c r="J43" s="50"/>
    </row>
    <row r="44" spans="1:10" x14ac:dyDescent="0.35">
      <c r="B44" s="43" t="s">
        <v>136</v>
      </c>
      <c r="C44" s="43" t="str">
        <f>'Haver Pivoted'!A43</f>
        <v>gssub</v>
      </c>
      <c r="D44">
        <v>0.7</v>
      </c>
      <c r="E44" s="43">
        <f>'Haver Pivoted'!HH43</f>
        <v>0.7</v>
      </c>
      <c r="F44" s="43">
        <f t="shared" si="0"/>
        <v>0</v>
      </c>
      <c r="G44" s="49">
        <f t="shared" si="1"/>
        <v>0</v>
      </c>
      <c r="I44" s="44"/>
      <c r="J44" s="50"/>
    </row>
    <row r="45" spans="1:10" x14ac:dyDescent="0.35">
      <c r="B45" s="43" t="s">
        <v>52</v>
      </c>
      <c r="C45" s="43" t="str">
        <f>'Haver Pivoted'!A44</f>
        <v>gsub</v>
      </c>
      <c r="D45">
        <v>103.1</v>
      </c>
      <c r="E45" s="43">
        <f>'Haver Pivoted'!HH44</f>
        <v>104.7</v>
      </c>
      <c r="F45" s="43">
        <f t="shared" si="0"/>
        <v>1.6000000000000085</v>
      </c>
      <c r="G45" s="49">
        <f t="shared" si="1"/>
        <v>1.551891367604276E-2</v>
      </c>
      <c r="I45" s="44"/>
      <c r="J45" s="51"/>
    </row>
    <row r="46" spans="1:10" x14ac:dyDescent="0.35">
      <c r="A46" s="43" t="s">
        <v>56</v>
      </c>
      <c r="B46" s="43" t="s">
        <v>56</v>
      </c>
      <c r="C46" s="43" t="str">
        <f>'Haver Pivoted'!A45</f>
        <v>gftfpe</v>
      </c>
      <c r="D46">
        <v>0</v>
      </c>
      <c r="E46" s="43">
        <f>'Haver Pivoted'!HH45</f>
        <v>0</v>
      </c>
      <c r="F46" s="43">
        <f t="shared" si="0"/>
        <v>0</v>
      </c>
      <c r="G46" s="49" t="e">
        <f t="shared" si="1"/>
        <v>#DIV/0!</v>
      </c>
      <c r="I46" s="44"/>
      <c r="J46" s="51"/>
    </row>
    <row r="47" spans="1:10" x14ac:dyDescent="0.35">
      <c r="B47" s="43" t="s">
        <v>137</v>
      </c>
      <c r="C47" s="43" t="str">
        <f>'Haver Pivoted'!A46</f>
        <v>gftfpr</v>
      </c>
      <c r="D47">
        <v>0</v>
      </c>
      <c r="E47" s="43">
        <f>'Haver Pivoted'!HH46</f>
        <v>0</v>
      </c>
      <c r="F47" s="43">
        <f t="shared" si="0"/>
        <v>0</v>
      </c>
      <c r="G47" s="49" t="e">
        <f t="shared" si="1"/>
        <v>#DIV/0!</v>
      </c>
      <c r="I47" s="44"/>
      <c r="J47" s="51"/>
    </row>
    <row r="48" spans="1:10" x14ac:dyDescent="0.35">
      <c r="A48" s="43" t="s">
        <v>50</v>
      </c>
      <c r="B48" s="43" t="s">
        <v>138</v>
      </c>
      <c r="C48" s="43" t="str">
        <f>'Haver Pivoted'!A47</f>
        <v>gftfpp</v>
      </c>
      <c r="D48">
        <v>0</v>
      </c>
      <c r="E48" s="43">
        <f>'Haver Pivoted'!HH47</f>
        <v>0</v>
      </c>
      <c r="F48" s="43">
        <f t="shared" si="0"/>
        <v>0</v>
      </c>
      <c r="G48" s="49" t="e">
        <f t="shared" si="1"/>
        <v>#DIV/0!</v>
      </c>
      <c r="J48" s="51"/>
    </row>
    <row r="49" spans="1:9" x14ac:dyDescent="0.35">
      <c r="A49" s="43" t="s">
        <v>49</v>
      </c>
      <c r="B49" s="43" t="s">
        <v>139</v>
      </c>
      <c r="C49" s="43" t="str">
        <f>'Haver Pivoted'!A48</f>
        <v>gftfpv</v>
      </c>
      <c r="D49">
        <v>0</v>
      </c>
      <c r="E49" s="43">
        <f>'Haver Pivoted'!HH48</f>
        <v>0</v>
      </c>
      <c r="F49" s="43">
        <f t="shared" si="0"/>
        <v>0</v>
      </c>
      <c r="G49" s="49" t="e">
        <f t="shared" si="1"/>
        <v>#DIV/0!</v>
      </c>
      <c r="H49" s="45"/>
      <c r="I49" s="45"/>
    </row>
    <row r="50" spans="1:9" x14ac:dyDescent="0.35">
      <c r="A50" s="43" t="s">
        <v>140</v>
      </c>
      <c r="B50" s="40" t="s">
        <v>141</v>
      </c>
      <c r="C50" s="43" t="str">
        <f>'Haver Pivoted'!A49</f>
        <v>gfsubp</v>
      </c>
      <c r="D50">
        <v>0</v>
      </c>
      <c r="E50" s="43">
        <f>'Haver Pivoted'!HH49</f>
        <v>0</v>
      </c>
      <c r="F50" s="43">
        <f t="shared" si="0"/>
        <v>0</v>
      </c>
      <c r="G50" s="49" t="e">
        <f t="shared" si="1"/>
        <v>#DIV/0!</v>
      </c>
      <c r="H50" s="36"/>
      <c r="I50" s="37"/>
    </row>
    <row r="51" spans="1:9" x14ac:dyDescent="0.35">
      <c r="A51" s="43" t="s">
        <v>52</v>
      </c>
      <c r="B51" s="40" t="s">
        <v>142</v>
      </c>
      <c r="C51" s="43" t="str">
        <f>'Haver Pivoted'!A50</f>
        <v>gfsubg</v>
      </c>
      <c r="D51">
        <v>0</v>
      </c>
      <c r="E51" s="43">
        <f>'Haver Pivoted'!HH50</f>
        <v>0</v>
      </c>
      <c r="F51" s="43">
        <f t="shared" si="0"/>
        <v>0</v>
      </c>
      <c r="G51" s="49" t="e">
        <f t="shared" si="1"/>
        <v>#DIV/0!</v>
      </c>
      <c r="H51" s="55"/>
      <c r="I51" s="54"/>
    </row>
    <row r="52" spans="1:9" x14ac:dyDescent="0.35">
      <c r="A52" s="43" t="s">
        <v>52</v>
      </c>
      <c r="B52" s="40" t="s">
        <v>143</v>
      </c>
      <c r="C52" s="43" t="str">
        <f>'Haver Pivoted'!A51</f>
        <v>gfsube</v>
      </c>
      <c r="D52">
        <v>0</v>
      </c>
      <c r="E52" s="43">
        <f>'Haver Pivoted'!HH51</f>
        <v>0</v>
      </c>
      <c r="F52" s="43">
        <f t="shared" si="0"/>
        <v>0</v>
      </c>
      <c r="G52" s="49" t="e">
        <f t="shared" si="1"/>
        <v>#DIV/0!</v>
      </c>
      <c r="H52" s="39"/>
      <c r="I52" s="37"/>
    </row>
    <row r="53" spans="1:9" x14ac:dyDescent="0.35">
      <c r="A53" s="43" t="s">
        <v>52</v>
      </c>
      <c r="B53" s="40" t="s">
        <v>144</v>
      </c>
      <c r="C53" s="43" t="str">
        <f>'Haver Pivoted'!A52</f>
        <v>gfsubs</v>
      </c>
      <c r="D53">
        <v>0</v>
      </c>
      <c r="E53" s="43">
        <f>'Haver Pivoted'!HH52</f>
        <v>0</v>
      </c>
      <c r="F53" s="43">
        <f t="shared" si="0"/>
        <v>0</v>
      </c>
      <c r="G53" s="49" t="e">
        <f t="shared" si="1"/>
        <v>#DIV/0!</v>
      </c>
      <c r="H53" s="39"/>
      <c r="I53" s="37"/>
    </row>
    <row r="54" spans="1:9" x14ac:dyDescent="0.35">
      <c r="A54" s="43" t="s">
        <v>52</v>
      </c>
      <c r="B54" s="40" t="s">
        <v>145</v>
      </c>
      <c r="C54" s="43" t="str">
        <f>'Haver Pivoted'!A53</f>
        <v>gfsubf</v>
      </c>
      <c r="D54">
        <v>0</v>
      </c>
      <c r="E54" s="43">
        <f>'Haver Pivoted'!HH53</f>
        <v>0</v>
      </c>
      <c r="F54" s="43">
        <f t="shared" si="0"/>
        <v>0</v>
      </c>
      <c r="G54" s="49" t="e">
        <f t="shared" si="1"/>
        <v>#DIV/0!</v>
      </c>
      <c r="H54" s="36"/>
      <c r="I54" s="37"/>
    </row>
    <row r="55" spans="1:9" x14ac:dyDescent="0.35">
      <c r="A55" s="43" t="s">
        <v>146</v>
      </c>
      <c r="B55" s="40" t="s">
        <v>147</v>
      </c>
      <c r="C55" s="43" t="str">
        <f>'Haver Pivoted'!A54</f>
        <v>gfsubv</v>
      </c>
      <c r="D55">
        <v>0</v>
      </c>
      <c r="E55" s="43">
        <f>'Haver Pivoted'!HH54</f>
        <v>0</v>
      </c>
      <c r="F55" s="43">
        <f t="shared" si="0"/>
        <v>0</v>
      </c>
      <c r="G55" s="49" t="e">
        <f t="shared" si="1"/>
        <v>#DIV/0!</v>
      </c>
    </row>
    <row r="56" spans="1:9" x14ac:dyDescent="0.35">
      <c r="A56" s="43" t="s">
        <v>52</v>
      </c>
      <c r="B56" s="40" t="s">
        <v>148</v>
      </c>
      <c r="C56" s="43" t="str">
        <f>'Haver Pivoted'!A55</f>
        <v>gfsubk</v>
      </c>
      <c r="D56">
        <v>0</v>
      </c>
      <c r="E56" s="43">
        <f>'Haver Pivoted'!HH55</f>
        <v>0</v>
      </c>
      <c r="F56" s="43">
        <f t="shared" si="0"/>
        <v>0</v>
      </c>
      <c r="G56" s="49" t="e">
        <f t="shared" si="1"/>
        <v>#DIV/0!</v>
      </c>
      <c r="H56" s="36"/>
      <c r="I56" s="37"/>
    </row>
    <row r="57" spans="1:9" x14ac:dyDescent="0.35">
      <c r="A57" s="43" t="s">
        <v>51</v>
      </c>
      <c r="B57" s="42" t="s">
        <v>149</v>
      </c>
      <c r="C57" s="43" t="str">
        <f>'Haver Pivoted'!A56</f>
        <v>gfegc</v>
      </c>
      <c r="D57">
        <v>0</v>
      </c>
      <c r="E57" s="43">
        <f>'Haver Pivoted'!HH56</f>
        <v>0</v>
      </c>
      <c r="F57" s="43">
        <f t="shared" si="0"/>
        <v>0</v>
      </c>
      <c r="G57" s="49"/>
      <c r="H57" s="36"/>
      <c r="I57" s="37"/>
    </row>
    <row r="58" spans="1:9" x14ac:dyDescent="0.35">
      <c r="A58" s="43" t="s">
        <v>51</v>
      </c>
      <c r="B58" s="42" t="s">
        <v>150</v>
      </c>
      <c r="C58" s="43" t="str">
        <f>'Haver Pivoted'!A57</f>
        <v>gfege</v>
      </c>
      <c r="D58">
        <v>0</v>
      </c>
      <c r="E58" s="43">
        <f>'Haver Pivoted'!HH57</f>
        <v>0</v>
      </c>
      <c r="F58" s="43">
        <f t="shared" si="0"/>
        <v>0</v>
      </c>
      <c r="G58" s="49" t="e">
        <f t="shared" si="1"/>
        <v>#DIV/0!</v>
      </c>
      <c r="H58" s="36"/>
      <c r="I58" s="37"/>
    </row>
    <row r="59" spans="1:9" x14ac:dyDescent="0.35">
      <c r="A59" s="43" t="s">
        <v>151</v>
      </c>
      <c r="B59" s="42" t="s">
        <v>152</v>
      </c>
      <c r="C59" s="43" t="str">
        <f>'Haver Pivoted'!A58</f>
        <v>gfegv</v>
      </c>
      <c r="D59">
        <v>0</v>
      </c>
      <c r="E59" s="43">
        <f>'Haver Pivoted'!HH58</f>
        <v>0</v>
      </c>
      <c r="F59" s="43">
        <f t="shared" si="0"/>
        <v>0</v>
      </c>
      <c r="G59" s="49" t="e">
        <f t="shared" si="1"/>
        <v>#DIV/0!</v>
      </c>
    </row>
    <row r="60" spans="1:9" x14ac:dyDescent="0.35">
      <c r="A60" s="43" t="s">
        <v>53</v>
      </c>
      <c r="B60" s="43" t="s">
        <v>153</v>
      </c>
      <c r="C60" s="43" t="str">
        <f>'Haver Pivoted'!A59</f>
        <v>yptue</v>
      </c>
      <c r="D60">
        <v>0</v>
      </c>
      <c r="E60" s="43">
        <f>'Haver Pivoted'!HH59</f>
        <v>0</v>
      </c>
      <c r="F60" s="43">
        <f t="shared" si="0"/>
        <v>0</v>
      </c>
      <c r="G60" s="49" t="e">
        <f t="shared" si="1"/>
        <v>#DIV/0!</v>
      </c>
    </row>
    <row r="61" spans="1:9" x14ac:dyDescent="0.35">
      <c r="A61" s="43" t="s">
        <v>53</v>
      </c>
      <c r="B61" s="43" t="s">
        <v>154</v>
      </c>
      <c r="C61" s="43" t="str">
        <f>'Haver Pivoted'!A60</f>
        <v>yptup</v>
      </c>
      <c r="D61">
        <v>0</v>
      </c>
      <c r="E61" s="43">
        <f>'Haver Pivoted'!HH60</f>
        <v>0</v>
      </c>
      <c r="F61" s="43">
        <f t="shared" si="0"/>
        <v>0</v>
      </c>
      <c r="G61" s="49" t="e">
        <f t="shared" si="1"/>
        <v>#DIV/0!</v>
      </c>
    </row>
    <row r="62" spans="1:9" x14ac:dyDescent="0.35">
      <c r="A62" s="43" t="s">
        <v>53</v>
      </c>
      <c r="B62" s="43" t="s">
        <v>155</v>
      </c>
      <c r="C62" s="43" t="str">
        <f>'Haver Pivoted'!A61</f>
        <v>yptuc</v>
      </c>
      <c r="D62">
        <v>0</v>
      </c>
      <c r="E62" s="43">
        <f>'Haver Pivoted'!HH61</f>
        <v>0</v>
      </c>
      <c r="F62" s="43">
        <f t="shared" si="0"/>
        <v>0</v>
      </c>
      <c r="G62" s="49" t="e">
        <f t="shared" si="1"/>
        <v>#DIV/0!</v>
      </c>
    </row>
    <row r="63" spans="1:9" x14ac:dyDescent="0.35">
      <c r="B63" s="43" t="s">
        <v>156</v>
      </c>
      <c r="C63" s="43" t="str">
        <f>'Haver Pivoted'!A62</f>
        <v>gftfpu</v>
      </c>
      <c r="D63">
        <v>0</v>
      </c>
      <c r="E63" s="43">
        <f>'Haver Pivoted'!HH62</f>
        <v>0</v>
      </c>
      <c r="F63" s="43">
        <f t="shared" si="0"/>
        <v>0</v>
      </c>
      <c r="G63" s="49" t="e">
        <f t="shared" si="1"/>
        <v>#DIV/0!</v>
      </c>
      <c r="H63" s="42"/>
      <c r="I63" s="42"/>
    </row>
    <row r="64" spans="1:9" x14ac:dyDescent="0.35">
      <c r="A64" s="43" t="s">
        <v>53</v>
      </c>
      <c r="B64" s="46" t="s">
        <v>157</v>
      </c>
      <c r="C64" s="43" t="str">
        <f>'Haver Pivoted'!A63</f>
        <v>yptub</v>
      </c>
      <c r="D64">
        <v>0</v>
      </c>
      <c r="E64" s="43">
        <f>'Haver Pivoted'!HH63</f>
        <v>0</v>
      </c>
      <c r="F64" s="43">
        <f t="shared" si="0"/>
        <v>0</v>
      </c>
      <c r="G64" s="49" t="e">
        <f t="shared" si="1"/>
        <v>#DIV/0!</v>
      </c>
      <c r="H64" s="42"/>
      <c r="I64" s="42"/>
    </row>
    <row r="65" spans="1:9" x14ac:dyDescent="0.35">
      <c r="A65" s="43" t="s">
        <v>53</v>
      </c>
      <c r="B65" s="43" t="s">
        <v>158</v>
      </c>
      <c r="C65" s="43" t="str">
        <f>'Haver Pivoted'!A64</f>
        <v>yptol</v>
      </c>
      <c r="D65">
        <v>0</v>
      </c>
      <c r="E65" s="43">
        <f>'Haver Pivoted'!HH64</f>
        <v>0</v>
      </c>
      <c r="F65" s="43">
        <f t="shared" si="0"/>
        <v>0</v>
      </c>
      <c r="G65" s="49" t="e">
        <f t="shared" si="1"/>
        <v>#DIV/0!</v>
      </c>
      <c r="H65" s="42"/>
      <c r="I65" s="42"/>
    </row>
    <row r="66" spans="1:9" x14ac:dyDescent="0.35">
      <c r="B66" s="43" t="s">
        <v>159</v>
      </c>
      <c r="C66" s="43" t="str">
        <f>'Haver Pivoted'!A65</f>
        <v>gfctp</v>
      </c>
      <c r="D66">
        <v>561.29999999999995</v>
      </c>
      <c r="E66" s="43">
        <f>'Haver Pivoted'!HH65</f>
        <v>343</v>
      </c>
      <c r="F66" s="43">
        <f t="shared" si="0"/>
        <v>-218.29999999999995</v>
      </c>
      <c r="G66" s="49">
        <f t="shared" si="1"/>
        <v>-0.38891858186353107</v>
      </c>
      <c r="H66" s="42"/>
      <c r="I66" s="42"/>
    </row>
    <row r="67" spans="1:9" x14ac:dyDescent="0.35">
      <c r="A67" s="43" t="s">
        <v>57</v>
      </c>
      <c r="B67" s="41" t="s">
        <v>160</v>
      </c>
      <c r="C67" s="43" t="str">
        <f>'Haver Pivoted'!A66</f>
        <v>gftffx</v>
      </c>
      <c r="D67">
        <v>103.06100000000001</v>
      </c>
      <c r="E67" s="43">
        <f>'Haver Pivoted'!HH66</f>
        <v>106.29600000000001</v>
      </c>
      <c r="F67" s="43">
        <f t="shared" si="0"/>
        <v>3.2349999999999994</v>
      </c>
      <c r="G67" s="49">
        <f t="shared" si="1"/>
        <v>3.1389177283356454E-2</v>
      </c>
      <c r="H67" s="42"/>
      <c r="I67" s="42"/>
    </row>
    <row r="68" spans="1:9" x14ac:dyDescent="0.35">
      <c r="B68" s="43" t="s">
        <v>161</v>
      </c>
      <c r="C68" s="43" t="str">
        <f>'Haver Pivoted'!A67</f>
        <v>cpiu</v>
      </c>
      <c r="D68">
        <v>306.034333333333</v>
      </c>
      <c r="E68" s="43">
        <f>'Haver Pivoted'!HH67</f>
        <v>306.04233333333298</v>
      </c>
      <c r="F68" s="43">
        <f t="shared" ref="F68:F81" si="2">E68-D68</f>
        <v>7.9999999999813554E-3</v>
      </c>
      <c r="G68" s="49">
        <f t="shared" ref="G68:G81" si="3">F68/D68</f>
        <v>2.6140857833972978E-5</v>
      </c>
      <c r="H68" s="42"/>
      <c r="I68" s="42"/>
    </row>
    <row r="69" spans="1:9" x14ac:dyDescent="0.35">
      <c r="C69" s="43" t="str">
        <f>'Haver Pivoted'!A68</f>
        <v>pcw</v>
      </c>
      <c r="D69">
        <v>300.327333333333</v>
      </c>
      <c r="E69" s="43">
        <f>'Haver Pivoted'!HH68</f>
        <v>300.33833333333303</v>
      </c>
      <c r="F69" s="43">
        <f t="shared" si="2"/>
        <v>1.1000000000024102E-2</v>
      </c>
      <c r="G69" s="49">
        <f t="shared" si="3"/>
        <v>3.6626702864288457E-5</v>
      </c>
    </row>
    <row r="70" spans="1:9" x14ac:dyDescent="0.35">
      <c r="B70" s="43" t="s">
        <v>162</v>
      </c>
      <c r="C70" s="43" t="str">
        <f>'Haver Pivoted'!A69</f>
        <v>gdppothq</v>
      </c>
      <c r="D70">
        <v>22369.7</v>
      </c>
      <c r="E70" s="43">
        <f>'Haver Pivoted'!HH69</f>
        <v>22459.7</v>
      </c>
      <c r="F70" s="43">
        <f t="shared" si="2"/>
        <v>90</v>
      </c>
      <c r="G70" s="49">
        <f t="shared" si="3"/>
        <v>4.0232993737063976E-3</v>
      </c>
    </row>
    <row r="71" spans="1:9" x14ac:dyDescent="0.35">
      <c r="B71" s="43" t="s">
        <v>163</v>
      </c>
      <c r="C71" s="43" t="str">
        <f>'Haver Pivoted'!A70</f>
        <v>gdppotq</v>
      </c>
      <c r="D71">
        <v>27476.6</v>
      </c>
      <c r="E71" s="43">
        <f>'Haver Pivoted'!HH70</f>
        <v>27573.4</v>
      </c>
      <c r="F71" s="43">
        <f t="shared" si="2"/>
        <v>96.80000000000291</v>
      </c>
      <c r="G71" s="49">
        <f t="shared" si="3"/>
        <v>3.5229977508135254E-3</v>
      </c>
    </row>
    <row r="72" spans="1:9" x14ac:dyDescent="0.35">
      <c r="B72" s="43" t="s">
        <v>164</v>
      </c>
      <c r="C72" s="43" t="str">
        <f>'Haver Pivoted'!A71</f>
        <v>recessq</v>
      </c>
      <c r="D72">
        <v>-1</v>
      </c>
      <c r="E72" s="43">
        <f>'Haver Pivoted'!HH71</f>
        <v>-1</v>
      </c>
      <c r="F72" s="43">
        <f t="shared" si="2"/>
        <v>0</v>
      </c>
      <c r="G72" s="49">
        <f t="shared" si="3"/>
        <v>0</v>
      </c>
    </row>
    <row r="73" spans="1:9" x14ac:dyDescent="0.35">
      <c r="A73" s="43" t="s">
        <v>165</v>
      </c>
      <c r="B73" s="43" t="s">
        <v>166</v>
      </c>
      <c r="C73" s="43" t="str">
        <f>'Haver Pivoted'!A72</f>
        <v>lasgova</v>
      </c>
      <c r="D73">
        <v>5325.3333333333303</v>
      </c>
      <c r="E73" s="43">
        <f>'Haver Pivoted'!HH72</f>
        <v>5321.3333333333303</v>
      </c>
      <c r="F73" s="43">
        <f t="shared" si="2"/>
        <v>-4</v>
      </c>
      <c r="G73" s="49">
        <f t="shared" si="3"/>
        <v>-7.5112669003505304E-4</v>
      </c>
    </row>
    <row r="74" spans="1:9" x14ac:dyDescent="0.35">
      <c r="A74" s="43" t="s">
        <v>165</v>
      </c>
      <c r="B74" s="43" t="s">
        <v>167</v>
      </c>
      <c r="C74" s="43" t="str">
        <f>'Haver Pivoted'!A73</f>
        <v>lalgova</v>
      </c>
      <c r="D74">
        <v>14587</v>
      </c>
      <c r="E74" s="43">
        <f>'Haver Pivoted'!HH73</f>
        <v>14615</v>
      </c>
      <c r="F74" s="43">
        <f t="shared" si="2"/>
        <v>28</v>
      </c>
      <c r="G74" s="49">
        <f t="shared" si="3"/>
        <v>1.9195173784876945E-3</v>
      </c>
    </row>
    <row r="75" spans="1:9" x14ac:dyDescent="0.35">
      <c r="A75" s="43" t="s">
        <v>165</v>
      </c>
      <c r="B75" s="43" t="s">
        <v>168</v>
      </c>
      <c r="C75" s="43" t="str">
        <f>'Haver Pivoted'!A74</f>
        <v>cpgs</v>
      </c>
      <c r="D75">
        <v>410267.66666666698</v>
      </c>
      <c r="E75" s="43">
        <f>'Haver Pivoted'!HH74</f>
        <v>429322</v>
      </c>
      <c r="F75" s="43">
        <f t="shared" si="2"/>
        <v>19054.333333333023</v>
      </c>
      <c r="G75" s="49">
        <f t="shared" si="3"/>
        <v>4.6443663201990101E-2</v>
      </c>
    </row>
    <row r="76" spans="1:9" x14ac:dyDescent="0.35">
      <c r="B76" s="43" t="s">
        <v>169</v>
      </c>
      <c r="C76" s="43" t="str">
        <f>'Haver Pivoted'!A75</f>
        <v>jgdp_growth</v>
      </c>
      <c r="D76">
        <v>8.2355549351746903E-3</v>
      </c>
      <c r="E76" s="43">
        <f>'Haver Pivoted'!HH75</f>
        <v>8.0125442290799303E-3</v>
      </c>
      <c r="F76" s="38">
        <f t="shared" si="2"/>
        <v>-2.2301070609475997E-4</v>
      </c>
      <c r="G76" s="49">
        <f t="shared" si="3"/>
        <v>-2.7079013843045844E-2</v>
      </c>
    </row>
    <row r="77" spans="1:9" x14ac:dyDescent="0.35">
      <c r="B77" s="43" t="s">
        <v>170</v>
      </c>
      <c r="C77" s="43" t="str">
        <f>'Haver Pivoted'!A76</f>
        <v>jc_growth</v>
      </c>
      <c r="D77">
        <v>6.4143147512578701E-3</v>
      </c>
      <c r="E77" s="43">
        <f>'Haver Pivoted'!HH76</f>
        <v>6.6648915811020597E-3</v>
      </c>
      <c r="F77" s="38">
        <f t="shared" si="2"/>
        <v>2.5057682984418964E-4</v>
      </c>
      <c r="G77" s="49">
        <f t="shared" si="3"/>
        <v>3.9065253197163523E-2</v>
      </c>
    </row>
    <row r="78" spans="1:9" x14ac:dyDescent="0.35">
      <c r="B78" s="43" t="s">
        <v>171</v>
      </c>
      <c r="C78" s="43" t="str">
        <f>'Haver Pivoted'!A77</f>
        <v>jgf_growth</v>
      </c>
      <c r="D78">
        <v>9.7870229456919998E-3</v>
      </c>
      <c r="E78" s="43">
        <f>'Haver Pivoted'!HH77</f>
        <v>9.3952438667612697E-3</v>
      </c>
      <c r="F78" s="38">
        <f t="shared" si="2"/>
        <v>-3.9177907893073009E-4</v>
      </c>
      <c r="G78" s="49">
        <f t="shared" si="3"/>
        <v>-4.0030464943701938E-2</v>
      </c>
    </row>
    <row r="79" spans="1:9" x14ac:dyDescent="0.35">
      <c r="B79" s="43" t="s">
        <v>172</v>
      </c>
      <c r="C79" s="43" t="str">
        <f>'Haver Pivoted'!A78</f>
        <v>jgs_growth</v>
      </c>
      <c r="D79">
        <v>1.4053530453285799E-2</v>
      </c>
      <c r="E79" s="43">
        <f>'Haver Pivoted'!HH78</f>
        <v>9.9439102564102804E-3</v>
      </c>
      <c r="F79" s="38">
        <f>E79/D79-1</f>
        <v>-0.29242617792987846</v>
      </c>
      <c r="G79" s="49">
        <f t="shared" si="3"/>
        <v>-20.808022503804906</v>
      </c>
    </row>
    <row r="80" spans="1:9" x14ac:dyDescent="0.35">
      <c r="B80" s="43" t="s">
        <v>173</v>
      </c>
      <c r="C80" s="43" t="str">
        <f>'Haver Pivoted'!A79</f>
        <v>jgse_growth</v>
      </c>
      <c r="D80">
        <v>1.6627230287139499E-2</v>
      </c>
      <c r="E80" s="43">
        <f>'Haver Pivoted'!HH79</f>
        <v>1.1822268382531999E-2</v>
      </c>
      <c r="F80" s="38">
        <f t="shared" si="2"/>
        <v>-4.8049619046075E-3</v>
      </c>
      <c r="G80" s="49">
        <f t="shared" si="3"/>
        <v>-0.28898149731672068</v>
      </c>
    </row>
    <row r="81" spans="2:7" x14ac:dyDescent="0.35">
      <c r="B81" s="43" t="s">
        <v>174</v>
      </c>
      <c r="C81" s="43" t="str">
        <f>'Haver Pivoted'!A80</f>
        <v>jgsi_growth</v>
      </c>
      <c r="D81">
        <v>2.8033363542803199E-3</v>
      </c>
      <c r="E81" s="43">
        <f>'Haver Pivoted'!HH80</f>
        <v>1.4644383048749701E-3</v>
      </c>
      <c r="F81" s="38">
        <f t="shared" si="2"/>
        <v>-1.3388980494053499E-3</v>
      </c>
      <c r="G81" s="49">
        <f t="shared" si="3"/>
        <v>-0.47760877761280107</v>
      </c>
    </row>
  </sheetData>
  <conditionalFormatting sqref="F3:F81">
    <cfRule type="cellIs" dxfId="3" priority="1" operator="lessThan">
      <formula>0</formula>
    </cfRule>
    <cfRule type="cellIs" dxfId="2" priority="2" operator="greaterThan">
      <formula>0</formula>
    </cfRule>
  </conditionalFormatting>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zoomScale="93" zoomScaleNormal="100" workbookViewId="0">
      <selection activeCell="D2" sqref="D2"/>
    </sheetView>
  </sheetViews>
  <sheetFormatPr defaultColWidth="10.90625" defaultRowHeight="14.5" x14ac:dyDescent="0.35"/>
  <cols>
    <col min="1" max="1" width="23.81640625" customWidth="1"/>
    <col min="2" max="2" width="79.453125" customWidth="1"/>
    <col min="3" max="3" width="33.453125" customWidth="1"/>
  </cols>
  <sheetData>
    <row r="1" spans="1:4" ht="47.9" customHeight="1" x14ac:dyDescent="0.35">
      <c r="A1" s="64" t="s">
        <v>33</v>
      </c>
      <c r="B1" s="65" t="s">
        <v>34</v>
      </c>
      <c r="C1" s="65" t="s">
        <v>35</v>
      </c>
      <c r="D1" s="66" t="s">
        <v>36</v>
      </c>
    </row>
    <row r="2" spans="1:4" ht="116.15" customHeight="1" x14ac:dyDescent="0.35">
      <c r="A2" s="61" t="s">
        <v>1970</v>
      </c>
      <c r="B2" s="62" t="s">
        <v>899</v>
      </c>
      <c r="C2" s="62" t="s">
        <v>900</v>
      </c>
      <c r="D2" s="58" t="s">
        <v>913</v>
      </c>
    </row>
    <row r="3" spans="1:4" ht="63.75" customHeight="1" x14ac:dyDescent="0.35">
      <c r="A3" s="18" t="s">
        <v>79</v>
      </c>
      <c r="B3" s="57" t="s">
        <v>40</v>
      </c>
      <c r="C3" s="57" t="s">
        <v>41</v>
      </c>
      <c r="D3" s="59"/>
    </row>
    <row r="4" spans="1:4" ht="170.25" customHeight="1" x14ac:dyDescent="0.35">
      <c r="A4" s="67" t="s">
        <v>80</v>
      </c>
      <c r="B4" s="57" t="s">
        <v>898</v>
      </c>
      <c r="C4" s="14" t="s">
        <v>1971</v>
      </c>
      <c r="D4" s="59"/>
    </row>
    <row r="5" spans="1:4" ht="29.25" customHeight="1" x14ac:dyDescent="0.35">
      <c r="A5" s="67" t="s">
        <v>81</v>
      </c>
      <c r="B5" s="68" t="s">
        <v>82</v>
      </c>
      <c r="C5" s="56" t="s">
        <v>83</v>
      </c>
      <c r="D5" s="59"/>
    </row>
    <row r="6" spans="1:4" ht="43.4" customHeight="1" x14ac:dyDescent="0.35">
      <c r="A6" s="20" t="s">
        <v>84</v>
      </c>
      <c r="B6" s="63" t="s">
        <v>875</v>
      </c>
      <c r="C6" s="35" t="s">
        <v>874</v>
      </c>
      <c r="D6" s="60"/>
    </row>
    <row r="8" spans="1:4" x14ac:dyDescent="0.35">
      <c r="B8" s="28"/>
    </row>
    <row r="9" spans="1:4" x14ac:dyDescent="0.35">
      <c r="B9" s="28"/>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O89"/>
  <sheetViews>
    <sheetView zoomScaleNormal="100" workbookViewId="0">
      <pane xSplit="1" ySplit="1" topLeftCell="GV14" activePane="bottomRight" state="frozen"/>
      <selection pane="topRight" activeCell="B1" sqref="B1"/>
      <selection pane="bottomLeft" activeCell="A2" sqref="A2"/>
      <selection pane="bottomRight" activeCell="HO37" sqref="HO37"/>
    </sheetView>
  </sheetViews>
  <sheetFormatPr defaultColWidth="10.90625" defaultRowHeight="14.5" x14ac:dyDescent="0.35"/>
  <cols>
    <col min="1" max="223" width="11.7265625" customWidth="1"/>
  </cols>
  <sheetData>
    <row r="1" spans="1:223" x14ac:dyDescent="0.35">
      <c r="A1" s="69" t="s">
        <v>2014</v>
      </c>
      <c r="B1" s="69" t="s">
        <v>2015</v>
      </c>
      <c r="C1" s="69" t="s">
        <v>2016</v>
      </c>
      <c r="D1" s="69" t="s">
        <v>2017</v>
      </c>
      <c r="E1" s="69" t="s">
        <v>2018</v>
      </c>
      <c r="F1" s="69" t="s">
        <v>2019</v>
      </c>
      <c r="G1" s="69" t="s">
        <v>2020</v>
      </c>
      <c r="H1" s="69" t="s">
        <v>2021</v>
      </c>
      <c r="I1" s="69" t="s">
        <v>2022</v>
      </c>
      <c r="J1" s="69" t="s">
        <v>2023</v>
      </c>
      <c r="K1" s="69" t="s">
        <v>2024</v>
      </c>
      <c r="L1" s="69" t="s">
        <v>2025</v>
      </c>
      <c r="M1" s="69" t="s">
        <v>2026</v>
      </c>
      <c r="N1" s="69" t="s">
        <v>2027</v>
      </c>
      <c r="O1" s="69" t="s">
        <v>2028</v>
      </c>
      <c r="P1" s="69" t="s">
        <v>2029</v>
      </c>
      <c r="Q1" s="69" t="s">
        <v>2030</v>
      </c>
      <c r="R1" s="69" t="s">
        <v>2031</v>
      </c>
      <c r="S1" s="69" t="s">
        <v>2032</v>
      </c>
      <c r="T1" s="69" t="s">
        <v>2033</v>
      </c>
      <c r="U1" s="69" t="s">
        <v>2034</v>
      </c>
      <c r="V1" s="69" t="s">
        <v>2035</v>
      </c>
      <c r="W1" s="69" t="s">
        <v>2036</v>
      </c>
      <c r="X1" s="69" t="s">
        <v>2037</v>
      </c>
      <c r="Y1" s="69" t="s">
        <v>2038</v>
      </c>
      <c r="Z1" s="69" t="s">
        <v>2039</v>
      </c>
      <c r="AA1" s="69" t="s">
        <v>2040</v>
      </c>
      <c r="AB1" s="69" t="s">
        <v>2041</v>
      </c>
      <c r="AC1" s="69" t="s">
        <v>2042</v>
      </c>
      <c r="AD1" s="69" t="s">
        <v>2043</v>
      </c>
      <c r="AE1" s="69" t="s">
        <v>2044</v>
      </c>
      <c r="AF1" s="69" t="s">
        <v>2045</v>
      </c>
      <c r="AG1" s="69" t="s">
        <v>2046</v>
      </c>
      <c r="AH1" s="69" t="s">
        <v>2047</v>
      </c>
      <c r="AI1" s="69" t="s">
        <v>2048</v>
      </c>
      <c r="AJ1" s="69" t="s">
        <v>2049</v>
      </c>
      <c r="AK1" s="69" t="s">
        <v>2050</v>
      </c>
      <c r="AL1" s="69" t="s">
        <v>2051</v>
      </c>
      <c r="AM1" s="69" t="s">
        <v>2052</v>
      </c>
      <c r="AN1" s="69" t="s">
        <v>2053</v>
      </c>
      <c r="AO1" s="69" t="s">
        <v>2054</v>
      </c>
      <c r="AP1" s="69" t="s">
        <v>2055</v>
      </c>
      <c r="AQ1" s="69" t="s">
        <v>2056</v>
      </c>
      <c r="AR1" s="69" t="s">
        <v>2057</v>
      </c>
      <c r="AS1" s="69" t="s">
        <v>2058</v>
      </c>
      <c r="AT1" s="69" t="s">
        <v>2059</v>
      </c>
      <c r="AU1" s="69" t="s">
        <v>2060</v>
      </c>
      <c r="AV1" s="69" t="s">
        <v>2061</v>
      </c>
      <c r="AW1" s="69" t="s">
        <v>2062</v>
      </c>
      <c r="AX1" s="69" t="s">
        <v>2063</v>
      </c>
      <c r="AY1" s="69" t="s">
        <v>2064</v>
      </c>
      <c r="AZ1" s="69" t="s">
        <v>2065</v>
      </c>
      <c r="BA1" s="69" t="s">
        <v>2066</v>
      </c>
      <c r="BB1" s="69" t="s">
        <v>2067</v>
      </c>
      <c r="BC1" s="69" t="s">
        <v>2068</v>
      </c>
      <c r="BD1" s="69" t="s">
        <v>2069</v>
      </c>
      <c r="BE1" s="69" t="s">
        <v>2070</v>
      </c>
      <c r="BF1" s="69" t="s">
        <v>2071</v>
      </c>
      <c r="BG1" s="69" t="s">
        <v>2072</v>
      </c>
      <c r="BH1" s="69" t="s">
        <v>2073</v>
      </c>
      <c r="BI1" s="69" t="s">
        <v>2074</v>
      </c>
      <c r="BJ1" s="69" t="s">
        <v>2075</v>
      </c>
      <c r="BK1" s="69" t="s">
        <v>2076</v>
      </c>
      <c r="BL1" s="69" t="s">
        <v>2077</v>
      </c>
      <c r="BM1" s="69" t="s">
        <v>2078</v>
      </c>
      <c r="BN1" s="69" t="s">
        <v>2079</v>
      </c>
      <c r="BO1" s="69" t="s">
        <v>2080</v>
      </c>
      <c r="BP1" s="69" t="s">
        <v>2081</v>
      </c>
      <c r="BQ1" s="69" t="s">
        <v>2082</v>
      </c>
      <c r="BR1" s="69" t="s">
        <v>2083</v>
      </c>
      <c r="BS1" s="69" t="s">
        <v>2084</v>
      </c>
      <c r="BT1" s="69" t="s">
        <v>2085</v>
      </c>
      <c r="BU1" s="69" t="s">
        <v>2086</v>
      </c>
      <c r="BV1" s="69" t="s">
        <v>2087</v>
      </c>
      <c r="BW1" s="69" t="s">
        <v>2088</v>
      </c>
      <c r="BX1" s="69" t="s">
        <v>2089</v>
      </c>
      <c r="BY1" s="69" t="s">
        <v>2090</v>
      </c>
      <c r="BZ1" s="69" t="s">
        <v>2091</v>
      </c>
      <c r="CA1" s="69" t="s">
        <v>2092</v>
      </c>
      <c r="CB1" s="69" t="s">
        <v>2093</v>
      </c>
      <c r="CC1" s="69" t="s">
        <v>2094</v>
      </c>
      <c r="CD1" s="69" t="s">
        <v>2095</v>
      </c>
      <c r="CE1" s="69" t="s">
        <v>2096</v>
      </c>
      <c r="CF1" s="69" t="s">
        <v>2097</v>
      </c>
      <c r="CG1" s="69" t="s">
        <v>2098</v>
      </c>
      <c r="CH1" s="69" t="s">
        <v>2099</v>
      </c>
      <c r="CI1" s="69" t="s">
        <v>2100</v>
      </c>
      <c r="CJ1" s="69" t="s">
        <v>2101</v>
      </c>
      <c r="CK1" s="69" t="s">
        <v>2102</v>
      </c>
      <c r="CL1" s="69" t="s">
        <v>2103</v>
      </c>
      <c r="CM1" s="69" t="s">
        <v>2104</v>
      </c>
      <c r="CN1" s="69" t="s">
        <v>2105</v>
      </c>
      <c r="CO1" s="69" t="s">
        <v>2106</v>
      </c>
      <c r="CP1" s="69" t="s">
        <v>2107</v>
      </c>
      <c r="CQ1" s="69" t="s">
        <v>2108</v>
      </c>
      <c r="CR1" s="69" t="s">
        <v>2109</v>
      </c>
      <c r="CS1" s="69" t="s">
        <v>2110</v>
      </c>
      <c r="CT1" s="69" t="s">
        <v>2111</v>
      </c>
      <c r="CU1" s="69" t="s">
        <v>2112</v>
      </c>
      <c r="CV1" s="69" t="s">
        <v>2113</v>
      </c>
      <c r="CW1" s="69" t="s">
        <v>2114</v>
      </c>
      <c r="CX1" s="69" t="s">
        <v>2115</v>
      </c>
      <c r="CY1" s="69" t="s">
        <v>2116</v>
      </c>
      <c r="CZ1" s="69" t="s">
        <v>2117</v>
      </c>
      <c r="DA1" s="69" t="s">
        <v>2118</v>
      </c>
      <c r="DB1" s="69" t="s">
        <v>2119</v>
      </c>
      <c r="DC1" s="69" t="s">
        <v>2120</v>
      </c>
      <c r="DD1" s="69" t="s">
        <v>2121</v>
      </c>
      <c r="DE1" s="69" t="s">
        <v>2122</v>
      </c>
      <c r="DF1" s="69" t="s">
        <v>2123</v>
      </c>
      <c r="DG1" s="69" t="s">
        <v>2124</v>
      </c>
      <c r="DH1" s="69" t="s">
        <v>2125</v>
      </c>
      <c r="DI1" s="69" t="s">
        <v>2126</v>
      </c>
      <c r="DJ1" s="69" t="s">
        <v>2127</v>
      </c>
      <c r="DK1" s="69" t="s">
        <v>2128</v>
      </c>
      <c r="DL1" s="69" t="s">
        <v>2129</v>
      </c>
      <c r="DM1" s="69" t="s">
        <v>2130</v>
      </c>
      <c r="DN1" s="69" t="s">
        <v>2131</v>
      </c>
      <c r="DO1" s="69" t="s">
        <v>2132</v>
      </c>
      <c r="DP1" s="69" t="s">
        <v>2133</v>
      </c>
      <c r="DQ1" s="69" t="s">
        <v>2134</v>
      </c>
      <c r="DR1" s="69" t="s">
        <v>2135</v>
      </c>
      <c r="DS1" s="69" t="s">
        <v>2136</v>
      </c>
      <c r="DT1" s="69" t="s">
        <v>2137</v>
      </c>
      <c r="DU1" s="69" t="s">
        <v>2138</v>
      </c>
      <c r="DV1" s="69" t="s">
        <v>2139</v>
      </c>
      <c r="DW1" s="69" t="s">
        <v>2140</v>
      </c>
      <c r="DX1" s="69" t="s">
        <v>2141</v>
      </c>
      <c r="DY1" s="69" t="s">
        <v>2142</v>
      </c>
      <c r="DZ1" s="69" t="s">
        <v>2143</v>
      </c>
      <c r="EA1" s="69" t="s">
        <v>2144</v>
      </c>
      <c r="EB1" s="69" t="s">
        <v>2145</v>
      </c>
      <c r="EC1" s="69" t="s">
        <v>2146</v>
      </c>
      <c r="ED1" s="69" t="s">
        <v>2147</v>
      </c>
      <c r="EE1" s="69" t="s">
        <v>2148</v>
      </c>
      <c r="EF1" s="69" t="s">
        <v>2149</v>
      </c>
      <c r="EG1" s="69" t="s">
        <v>2150</v>
      </c>
      <c r="EH1" s="69" t="s">
        <v>2151</v>
      </c>
      <c r="EI1" s="69" t="s">
        <v>2152</v>
      </c>
      <c r="EJ1" s="69" t="s">
        <v>2153</v>
      </c>
      <c r="EK1" s="69" t="s">
        <v>2154</v>
      </c>
      <c r="EL1" s="69" t="s">
        <v>2155</v>
      </c>
      <c r="EM1" s="69" t="s">
        <v>2156</v>
      </c>
      <c r="EN1" s="69" t="s">
        <v>2157</v>
      </c>
      <c r="EO1" s="69" t="s">
        <v>2158</v>
      </c>
      <c r="EP1" s="69" t="s">
        <v>2159</v>
      </c>
      <c r="EQ1" s="69" t="s">
        <v>2160</v>
      </c>
      <c r="ER1" s="69" t="s">
        <v>2161</v>
      </c>
      <c r="ES1" s="69" t="s">
        <v>2162</v>
      </c>
      <c r="ET1" s="69" t="s">
        <v>2163</v>
      </c>
      <c r="EU1" s="69" t="s">
        <v>2164</v>
      </c>
      <c r="EV1" s="69" t="s">
        <v>2165</v>
      </c>
      <c r="EW1" s="69" t="s">
        <v>2166</v>
      </c>
      <c r="EX1" s="69" t="s">
        <v>2167</v>
      </c>
      <c r="EY1" s="69" t="s">
        <v>2168</v>
      </c>
      <c r="EZ1" s="69" t="s">
        <v>2169</v>
      </c>
      <c r="FA1" s="69" t="s">
        <v>2170</v>
      </c>
      <c r="FB1" s="69" t="s">
        <v>2171</v>
      </c>
      <c r="FC1" s="69" t="s">
        <v>2172</v>
      </c>
      <c r="FD1" s="69" t="s">
        <v>2173</v>
      </c>
      <c r="FE1" s="69" t="s">
        <v>2174</v>
      </c>
      <c r="FF1" s="69" t="s">
        <v>2175</v>
      </c>
      <c r="FG1" s="69" t="s">
        <v>2176</v>
      </c>
      <c r="FH1" s="69" t="s">
        <v>2177</v>
      </c>
      <c r="FI1" s="69" t="s">
        <v>2178</v>
      </c>
      <c r="FJ1" s="69" t="s">
        <v>2179</v>
      </c>
      <c r="FK1" s="69" t="s">
        <v>2180</v>
      </c>
      <c r="FL1" s="69" t="s">
        <v>2181</v>
      </c>
      <c r="FM1" s="69" t="s">
        <v>2182</v>
      </c>
      <c r="FN1" s="69" t="s">
        <v>2183</v>
      </c>
      <c r="FO1" s="69" t="s">
        <v>2184</v>
      </c>
      <c r="FP1" s="69" t="s">
        <v>2185</v>
      </c>
      <c r="FQ1" s="69" t="s">
        <v>2186</v>
      </c>
      <c r="FR1" s="69" t="s">
        <v>2187</v>
      </c>
      <c r="FS1" s="69" t="s">
        <v>2188</v>
      </c>
      <c r="FT1" s="69" t="s">
        <v>2189</v>
      </c>
      <c r="FU1" s="69" t="s">
        <v>2190</v>
      </c>
      <c r="FV1" s="69" t="s">
        <v>2191</v>
      </c>
      <c r="FW1" s="69" t="s">
        <v>2192</v>
      </c>
      <c r="FX1" s="69" t="s">
        <v>2193</v>
      </c>
      <c r="FY1" s="69" t="s">
        <v>2194</v>
      </c>
      <c r="FZ1" s="69" t="s">
        <v>2195</v>
      </c>
      <c r="GA1" s="69" t="s">
        <v>2196</v>
      </c>
      <c r="GB1" s="69" t="s">
        <v>2197</v>
      </c>
      <c r="GC1" s="69" t="s">
        <v>2198</v>
      </c>
      <c r="GD1" s="69" t="s">
        <v>2199</v>
      </c>
      <c r="GE1" s="69" t="s">
        <v>2200</v>
      </c>
      <c r="GF1" s="69" t="s">
        <v>2201</v>
      </c>
      <c r="GG1" s="69" t="s">
        <v>2202</v>
      </c>
      <c r="GH1" s="69" t="s">
        <v>2203</v>
      </c>
      <c r="GI1" s="69" t="s">
        <v>2204</v>
      </c>
      <c r="GJ1" s="69" t="s">
        <v>2205</v>
      </c>
      <c r="GK1" s="69" t="s">
        <v>2206</v>
      </c>
      <c r="GL1" s="69" t="s">
        <v>2207</v>
      </c>
      <c r="GM1" s="69" t="s">
        <v>2208</v>
      </c>
      <c r="GN1" s="69" t="s">
        <v>2209</v>
      </c>
      <c r="GO1" s="69" t="s">
        <v>2210</v>
      </c>
      <c r="GP1" s="69" t="s">
        <v>2211</v>
      </c>
      <c r="GQ1" s="69" t="s">
        <v>2212</v>
      </c>
      <c r="GR1" s="69" t="s">
        <v>2213</v>
      </c>
      <c r="GS1" s="69" t="s">
        <v>2214</v>
      </c>
      <c r="GT1" s="69" t="s">
        <v>2215</v>
      </c>
      <c r="GU1" s="69" t="s">
        <v>2216</v>
      </c>
      <c r="GV1" s="69" t="s">
        <v>2217</v>
      </c>
      <c r="GW1" s="69" t="s">
        <v>2218</v>
      </c>
      <c r="GX1" s="69" t="s">
        <v>2219</v>
      </c>
      <c r="GY1" s="69" t="s">
        <v>2220</v>
      </c>
      <c r="GZ1" s="69" t="s">
        <v>2221</v>
      </c>
      <c r="HA1" s="69" t="s">
        <v>2222</v>
      </c>
      <c r="HB1" s="69" t="s">
        <v>2223</v>
      </c>
      <c r="HC1" s="69" t="s">
        <v>2224</v>
      </c>
      <c r="HD1" s="69" t="s">
        <v>2225</v>
      </c>
      <c r="HE1" s="69" t="s">
        <v>2226</v>
      </c>
      <c r="HF1" s="69" t="s">
        <v>2227</v>
      </c>
      <c r="HG1" s="69" t="s">
        <v>2228</v>
      </c>
      <c r="HH1" s="69" t="s">
        <v>2229</v>
      </c>
      <c r="HI1" s="69" t="s">
        <v>2230</v>
      </c>
      <c r="HJ1" s="69" t="s">
        <v>2231</v>
      </c>
      <c r="HK1" s="69" t="s">
        <v>2232</v>
      </c>
      <c r="HL1" s="69" t="s">
        <v>2233</v>
      </c>
      <c r="HM1" s="69" t="s">
        <v>2234</v>
      </c>
      <c r="HN1" s="69" t="s">
        <v>2235</v>
      </c>
      <c r="HO1" s="1228" t="s">
        <v>2236</v>
      </c>
    </row>
    <row r="2" spans="1:223" x14ac:dyDescent="0.35">
      <c r="A2" s="56" t="s">
        <v>2237</v>
      </c>
      <c r="B2" s="56">
        <v>1051.2</v>
      </c>
      <c r="C2" s="56">
        <v>1067.4000000000001</v>
      </c>
      <c r="D2" s="56">
        <v>1086.0999999999999</v>
      </c>
      <c r="E2" s="56">
        <v>1088.5999999999999</v>
      </c>
      <c r="F2" s="56">
        <v>1135.2</v>
      </c>
      <c r="G2" s="56">
        <v>1156.3</v>
      </c>
      <c r="H2" s="56">
        <v>1177.7</v>
      </c>
      <c r="I2" s="56">
        <v>1190.3</v>
      </c>
      <c r="J2" s="56">
        <v>1230.5999999999999</v>
      </c>
      <c r="K2" s="56">
        <v>1266.4000000000001</v>
      </c>
      <c r="L2" s="56">
        <v>1290.5999999999999</v>
      </c>
      <c r="M2" s="56">
        <v>1328.9</v>
      </c>
      <c r="N2" s="56">
        <v>1377.5</v>
      </c>
      <c r="O2" s="56">
        <v>1413.9</v>
      </c>
      <c r="P2" s="56">
        <v>1433.8</v>
      </c>
      <c r="Q2" s="56">
        <v>1476.3</v>
      </c>
      <c r="R2" s="56">
        <v>1491.2</v>
      </c>
      <c r="S2" s="56">
        <v>1530.1</v>
      </c>
      <c r="T2" s="56">
        <v>1560</v>
      </c>
      <c r="U2" s="56">
        <v>1599.7</v>
      </c>
      <c r="V2" s="56">
        <v>1616.1</v>
      </c>
      <c r="W2" s="56">
        <v>1651.9</v>
      </c>
      <c r="X2" s="56">
        <v>1709.8</v>
      </c>
      <c r="Y2" s="56">
        <v>1761.8</v>
      </c>
      <c r="Z2" s="56">
        <v>1820.5</v>
      </c>
      <c r="AA2" s="56">
        <v>1852.3</v>
      </c>
      <c r="AB2" s="56">
        <v>1886.6</v>
      </c>
      <c r="AC2" s="56">
        <v>1934.3</v>
      </c>
      <c r="AD2" s="56">
        <v>1988.6</v>
      </c>
      <c r="AE2" s="56">
        <v>2055.9</v>
      </c>
      <c r="AF2" s="56">
        <v>2118.5</v>
      </c>
      <c r="AG2" s="56">
        <v>2164.3000000000002</v>
      </c>
      <c r="AH2" s="56">
        <v>2202.8000000000002</v>
      </c>
      <c r="AI2" s="56">
        <v>2331.6</v>
      </c>
      <c r="AJ2" s="56">
        <v>2395.1</v>
      </c>
      <c r="AK2" s="56">
        <v>2476.9</v>
      </c>
      <c r="AL2" s="56">
        <v>2526.6</v>
      </c>
      <c r="AM2" s="56">
        <v>2591.1999999999998</v>
      </c>
      <c r="AN2" s="56">
        <v>2667.6</v>
      </c>
      <c r="AO2" s="56">
        <v>2723.9</v>
      </c>
      <c r="AP2" s="56">
        <v>2789.8</v>
      </c>
      <c r="AQ2" s="56">
        <v>2797.4</v>
      </c>
      <c r="AR2" s="56">
        <v>2856.5</v>
      </c>
      <c r="AS2" s="56">
        <v>2985.6</v>
      </c>
      <c r="AT2" s="56">
        <v>3124.2</v>
      </c>
      <c r="AU2" s="56">
        <v>3162.5</v>
      </c>
      <c r="AV2" s="56">
        <v>3260.6</v>
      </c>
      <c r="AW2" s="56">
        <v>3280.8</v>
      </c>
      <c r="AX2" s="56">
        <v>3274.3</v>
      </c>
      <c r="AY2" s="56">
        <v>3332</v>
      </c>
      <c r="AZ2" s="56">
        <v>3366.3</v>
      </c>
      <c r="BA2" s="56">
        <v>3402.6</v>
      </c>
      <c r="BB2" s="56">
        <v>3473.4</v>
      </c>
      <c r="BC2" s="56">
        <v>3578.8</v>
      </c>
      <c r="BD2" s="56">
        <v>3689.2</v>
      </c>
      <c r="BE2" s="56">
        <v>3794.7</v>
      </c>
      <c r="BF2" s="56">
        <v>3908.1</v>
      </c>
      <c r="BG2" s="56">
        <v>4009.6</v>
      </c>
      <c r="BH2" s="56">
        <v>4084.3</v>
      </c>
      <c r="BI2" s="56">
        <v>4148.6000000000004</v>
      </c>
      <c r="BJ2" s="56">
        <v>4230.2</v>
      </c>
      <c r="BK2" s="56">
        <v>4294.8999999999996</v>
      </c>
      <c r="BL2" s="56">
        <v>4386.8</v>
      </c>
      <c r="BM2" s="56">
        <v>4444.1000000000004</v>
      </c>
      <c r="BN2" s="56">
        <v>4507.8999999999996</v>
      </c>
      <c r="BO2" s="56">
        <v>4545.3</v>
      </c>
      <c r="BP2" s="56">
        <v>4607.7</v>
      </c>
      <c r="BQ2" s="56">
        <v>4657.6000000000004</v>
      </c>
      <c r="BR2" s="56">
        <v>4722.2</v>
      </c>
      <c r="BS2" s="56">
        <v>4806.2</v>
      </c>
      <c r="BT2" s="56">
        <v>4884.6000000000004</v>
      </c>
      <c r="BU2" s="56">
        <v>5008</v>
      </c>
      <c r="BV2" s="56">
        <v>5073.3999999999996</v>
      </c>
      <c r="BW2" s="56">
        <v>5190</v>
      </c>
      <c r="BX2" s="56">
        <v>5282.8</v>
      </c>
      <c r="BY2" s="56">
        <v>5399.5</v>
      </c>
      <c r="BZ2" s="56">
        <v>5511.3</v>
      </c>
      <c r="CA2" s="56">
        <v>5612.5</v>
      </c>
      <c r="CB2" s="56">
        <v>5695.4</v>
      </c>
      <c r="CC2" s="56">
        <v>5747.2</v>
      </c>
      <c r="CD2" s="56">
        <v>5872.7</v>
      </c>
      <c r="CE2" s="56">
        <v>5960</v>
      </c>
      <c r="CF2" s="56">
        <v>6015.1</v>
      </c>
      <c r="CG2" s="56">
        <v>6004.7</v>
      </c>
      <c r="CH2" s="56">
        <v>6035.2</v>
      </c>
      <c r="CI2" s="56">
        <v>6126.9</v>
      </c>
      <c r="CJ2" s="56">
        <v>6205.9</v>
      </c>
      <c r="CK2" s="56">
        <v>6264.5</v>
      </c>
      <c r="CL2" s="56">
        <v>6363.1</v>
      </c>
      <c r="CM2" s="56">
        <v>6470.8</v>
      </c>
      <c r="CN2" s="56">
        <v>6566.6</v>
      </c>
      <c r="CO2" s="56">
        <v>6680.8</v>
      </c>
      <c r="CP2" s="56">
        <v>6729.5</v>
      </c>
      <c r="CQ2" s="56">
        <v>6808.9</v>
      </c>
      <c r="CR2" s="56">
        <v>6882.1</v>
      </c>
      <c r="CS2" s="56">
        <v>7013.7</v>
      </c>
      <c r="CT2" s="56">
        <v>7115.7</v>
      </c>
      <c r="CU2" s="56">
        <v>7246.9</v>
      </c>
      <c r="CV2" s="56">
        <v>7331.1</v>
      </c>
      <c r="CW2" s="56">
        <v>7455.3</v>
      </c>
      <c r="CX2" s="56">
        <v>7522.3</v>
      </c>
      <c r="CY2" s="56">
        <v>7581</v>
      </c>
      <c r="CZ2" s="56">
        <v>7683.1</v>
      </c>
      <c r="DA2" s="56">
        <v>7772.6</v>
      </c>
      <c r="DB2" s="56">
        <v>7868.5</v>
      </c>
      <c r="DC2" s="56">
        <v>8032.8</v>
      </c>
      <c r="DD2" s="56">
        <v>8131.4</v>
      </c>
      <c r="DE2" s="56">
        <v>8259.7999999999993</v>
      </c>
      <c r="DF2" s="56">
        <v>8362.7000000000007</v>
      </c>
      <c r="DG2" s="56">
        <v>8518.7999999999993</v>
      </c>
      <c r="DH2" s="56">
        <v>8662.7999999999993</v>
      </c>
      <c r="DI2" s="56">
        <v>8765.9</v>
      </c>
      <c r="DJ2" s="56">
        <v>8866.5</v>
      </c>
      <c r="DK2" s="56">
        <v>8969.7000000000007</v>
      </c>
      <c r="DL2" s="56">
        <v>9121.1</v>
      </c>
      <c r="DM2" s="56">
        <v>9294</v>
      </c>
      <c r="DN2" s="56">
        <v>9411.7000000000007</v>
      </c>
      <c r="DO2" s="56">
        <v>9526.2000000000007</v>
      </c>
      <c r="DP2" s="56">
        <v>9686.6</v>
      </c>
      <c r="DQ2" s="56">
        <v>9900.2000000000007</v>
      </c>
      <c r="DR2" s="56">
        <v>10002.200000000001</v>
      </c>
      <c r="DS2" s="56">
        <v>10247.700000000001</v>
      </c>
      <c r="DT2" s="56">
        <v>10318.200000000001</v>
      </c>
      <c r="DU2" s="56">
        <v>10435.700000000001</v>
      </c>
      <c r="DV2" s="56">
        <v>10470.200000000001</v>
      </c>
      <c r="DW2" s="56">
        <v>10599</v>
      </c>
      <c r="DX2" s="56">
        <v>10598</v>
      </c>
      <c r="DY2" s="56">
        <v>10660.5</v>
      </c>
      <c r="DZ2" s="56">
        <v>10783.5</v>
      </c>
      <c r="EA2" s="56">
        <v>10887.5</v>
      </c>
      <c r="EB2" s="56">
        <v>10984</v>
      </c>
      <c r="EC2" s="56">
        <v>11061.4</v>
      </c>
      <c r="ED2" s="56">
        <v>11174.1</v>
      </c>
      <c r="EE2" s="56">
        <v>11312.8</v>
      </c>
      <c r="EF2" s="56">
        <v>11566.7</v>
      </c>
      <c r="EG2" s="56">
        <v>11772.2</v>
      </c>
      <c r="EH2" s="56">
        <v>11923.4</v>
      </c>
      <c r="EI2" s="56">
        <v>12112.8</v>
      </c>
      <c r="EJ2" s="56">
        <v>12305.3</v>
      </c>
      <c r="EK2" s="56">
        <v>12527.2</v>
      </c>
      <c r="EL2" s="56">
        <v>12767.3</v>
      </c>
      <c r="EM2" s="56">
        <v>12922.7</v>
      </c>
      <c r="EN2" s="56">
        <v>13142.6</v>
      </c>
      <c r="EO2" s="56">
        <v>13324.2</v>
      </c>
      <c r="EP2" s="56">
        <v>13599.2</v>
      </c>
      <c r="EQ2" s="56">
        <v>13753.4</v>
      </c>
      <c r="ER2" s="56">
        <v>13870.2</v>
      </c>
      <c r="ES2" s="56">
        <v>14039.6</v>
      </c>
      <c r="ET2" s="56">
        <v>14215.7</v>
      </c>
      <c r="EU2" s="56">
        <v>14402.1</v>
      </c>
      <c r="EV2" s="56">
        <v>14564.1</v>
      </c>
      <c r="EW2" s="56">
        <v>14715.1</v>
      </c>
      <c r="EX2" s="56">
        <v>14706.5</v>
      </c>
      <c r="EY2" s="56">
        <v>14865.7</v>
      </c>
      <c r="EZ2" s="56">
        <v>14899</v>
      </c>
      <c r="FA2" s="56">
        <v>14608.2</v>
      </c>
      <c r="FB2" s="56">
        <v>14430.9</v>
      </c>
      <c r="FC2" s="56">
        <v>14381.2</v>
      </c>
      <c r="FD2" s="56">
        <v>14448.9</v>
      </c>
      <c r="FE2" s="56">
        <v>14651.2</v>
      </c>
      <c r="FF2" s="56">
        <v>14764.6</v>
      </c>
      <c r="FG2" s="56">
        <v>14980.2</v>
      </c>
      <c r="FH2" s="56">
        <v>15141.6</v>
      </c>
      <c r="FI2" s="56">
        <v>15309.5</v>
      </c>
      <c r="FJ2" s="56">
        <v>15351.4</v>
      </c>
      <c r="FK2" s="56">
        <v>15557.5</v>
      </c>
      <c r="FL2" s="56">
        <v>15647.7</v>
      </c>
      <c r="FM2" s="56">
        <v>15842.3</v>
      </c>
      <c r="FN2" s="56">
        <v>16068.8</v>
      </c>
      <c r="FO2" s="56">
        <v>16207.1</v>
      </c>
      <c r="FP2" s="56">
        <v>16319.5</v>
      </c>
      <c r="FQ2" s="56">
        <v>16420.400000000001</v>
      </c>
      <c r="FR2" s="56">
        <v>16648.2</v>
      </c>
      <c r="FS2" s="56">
        <v>16728.7</v>
      </c>
      <c r="FT2" s="56">
        <v>16953.8</v>
      </c>
      <c r="FU2" s="56">
        <v>17192</v>
      </c>
      <c r="FV2" s="56">
        <v>17197.7</v>
      </c>
      <c r="FW2" s="56">
        <v>17518.5</v>
      </c>
      <c r="FX2" s="56">
        <v>17804.2</v>
      </c>
      <c r="FY2" s="56">
        <v>17912.099999999999</v>
      </c>
      <c r="FZ2" s="56">
        <v>18063.5</v>
      </c>
      <c r="GA2" s="56">
        <v>18279.8</v>
      </c>
      <c r="GB2" s="56">
        <v>18401.599999999999</v>
      </c>
      <c r="GC2" s="56">
        <v>18435.099999999999</v>
      </c>
      <c r="GD2" s="56">
        <v>18525.900000000001</v>
      </c>
      <c r="GE2" s="56">
        <v>18711.7</v>
      </c>
      <c r="GF2" s="56">
        <v>18892.599999999999</v>
      </c>
      <c r="GG2" s="56">
        <v>19089.400000000001</v>
      </c>
      <c r="GH2" s="56">
        <v>19280.099999999999</v>
      </c>
      <c r="GI2" s="56">
        <v>19438.599999999999</v>
      </c>
      <c r="GJ2" s="56">
        <v>19692.599999999999</v>
      </c>
      <c r="GK2" s="56">
        <v>20037.099999999999</v>
      </c>
      <c r="GL2" s="56">
        <v>20328.599999999999</v>
      </c>
      <c r="GM2" s="56">
        <v>20580.900000000001</v>
      </c>
      <c r="GN2" s="56">
        <v>20798.7</v>
      </c>
      <c r="GO2" s="56">
        <v>20917.900000000001</v>
      </c>
      <c r="GP2" s="56">
        <v>21111.599999999999</v>
      </c>
      <c r="GQ2" s="56">
        <v>21397.9</v>
      </c>
      <c r="GR2" s="56">
        <v>21717.200000000001</v>
      </c>
      <c r="GS2" s="56">
        <v>21933.200000000001</v>
      </c>
      <c r="GT2" s="56">
        <v>21727.7</v>
      </c>
      <c r="GU2" s="56">
        <v>19935.400000000001</v>
      </c>
      <c r="GV2" s="56">
        <v>21684.6</v>
      </c>
      <c r="GW2" s="56">
        <v>22068.799999999999</v>
      </c>
      <c r="GX2" s="56">
        <v>22656.799999999999</v>
      </c>
      <c r="GY2" s="56">
        <v>23368.9</v>
      </c>
      <c r="GZ2" s="56">
        <v>23922</v>
      </c>
      <c r="HA2" s="56">
        <v>24777</v>
      </c>
      <c r="HB2" s="56">
        <v>25215.5</v>
      </c>
      <c r="HC2">
        <v>25805.8</v>
      </c>
      <c r="HD2">
        <v>26272</v>
      </c>
      <c r="HE2">
        <v>26734.3</v>
      </c>
      <c r="HF2">
        <v>27164.400000000001</v>
      </c>
      <c r="HG2">
        <v>27453.8</v>
      </c>
      <c r="HH2">
        <v>27967.7</v>
      </c>
      <c r="HI2">
        <v>28297</v>
      </c>
      <c r="HJ2">
        <v>28624.1</v>
      </c>
      <c r="HK2">
        <v>29016.7</v>
      </c>
      <c r="HL2">
        <v>29374.9</v>
      </c>
      <c r="HM2">
        <v>29723.9</v>
      </c>
      <c r="HN2">
        <v>29962</v>
      </c>
      <c r="HO2">
        <v>30331.1</v>
      </c>
    </row>
    <row r="3" spans="1:223" x14ac:dyDescent="0.35">
      <c r="A3" s="56" t="s">
        <v>2238</v>
      </c>
      <c r="B3" s="56">
        <v>5300.7</v>
      </c>
      <c r="C3" s="56">
        <v>5308.2</v>
      </c>
      <c r="D3" s="56">
        <v>5357.1</v>
      </c>
      <c r="E3" s="56">
        <v>5299.7</v>
      </c>
      <c r="F3" s="56">
        <v>5443.6</v>
      </c>
      <c r="G3" s="56">
        <v>5473.1</v>
      </c>
      <c r="H3" s="56">
        <v>5518.1</v>
      </c>
      <c r="I3" s="56">
        <v>5531</v>
      </c>
      <c r="J3" s="56">
        <v>5632.6</v>
      </c>
      <c r="K3" s="56">
        <v>5760.5</v>
      </c>
      <c r="L3" s="56">
        <v>5814.9</v>
      </c>
      <c r="M3" s="56">
        <v>5912.2</v>
      </c>
      <c r="N3" s="56">
        <v>6058.5</v>
      </c>
      <c r="O3" s="56">
        <v>6124.5</v>
      </c>
      <c r="P3" s="56">
        <v>6092.3</v>
      </c>
      <c r="Q3" s="56">
        <v>6150.1</v>
      </c>
      <c r="R3" s="56">
        <v>6097.3</v>
      </c>
      <c r="S3" s="56">
        <v>6111.8</v>
      </c>
      <c r="T3" s="56">
        <v>6054</v>
      </c>
      <c r="U3" s="56">
        <v>6030.5</v>
      </c>
      <c r="V3" s="56">
        <v>5957</v>
      </c>
      <c r="W3" s="56">
        <v>5999.6</v>
      </c>
      <c r="X3" s="56">
        <v>6102.3</v>
      </c>
      <c r="Y3" s="56">
        <v>6184.5</v>
      </c>
      <c r="Z3" s="56">
        <v>6323.6</v>
      </c>
      <c r="AA3" s="56">
        <v>6370</v>
      </c>
      <c r="AB3" s="56">
        <v>6404.9</v>
      </c>
      <c r="AC3" s="56">
        <v>6451.2</v>
      </c>
      <c r="AD3" s="56">
        <v>6527.7</v>
      </c>
      <c r="AE3" s="56">
        <v>6654.5</v>
      </c>
      <c r="AF3" s="56">
        <v>6774.5</v>
      </c>
      <c r="AG3" s="56">
        <v>6774.6</v>
      </c>
      <c r="AH3" s="56">
        <v>6796.3</v>
      </c>
      <c r="AI3" s="56">
        <v>7058.9</v>
      </c>
      <c r="AJ3" s="56">
        <v>7129.9</v>
      </c>
      <c r="AK3" s="56">
        <v>7225.8</v>
      </c>
      <c r="AL3" s="56">
        <v>7238.7</v>
      </c>
      <c r="AM3" s="56">
        <v>7246.5</v>
      </c>
      <c r="AN3" s="56">
        <v>7300.3</v>
      </c>
      <c r="AO3" s="56">
        <v>7318.5</v>
      </c>
      <c r="AP3" s="56">
        <v>7341.6</v>
      </c>
      <c r="AQ3" s="56">
        <v>7190.3</v>
      </c>
      <c r="AR3" s="56">
        <v>7181.7</v>
      </c>
      <c r="AS3" s="56">
        <v>7315.7</v>
      </c>
      <c r="AT3" s="56">
        <v>7459</v>
      </c>
      <c r="AU3" s="56">
        <v>7403.7</v>
      </c>
      <c r="AV3" s="56">
        <v>7492.4</v>
      </c>
      <c r="AW3" s="56">
        <v>7410.8</v>
      </c>
      <c r="AX3" s="56">
        <v>7295.6</v>
      </c>
      <c r="AY3" s="56">
        <v>7328.9</v>
      </c>
      <c r="AZ3" s="56">
        <v>7300.9</v>
      </c>
      <c r="BA3" s="56">
        <v>7303.8</v>
      </c>
      <c r="BB3" s="56">
        <v>7400.1</v>
      </c>
      <c r="BC3" s="56">
        <v>7568.5</v>
      </c>
      <c r="BD3" s="56">
        <v>7719.7</v>
      </c>
      <c r="BE3" s="56">
        <v>7880.8</v>
      </c>
      <c r="BF3" s="56">
        <v>8034.8</v>
      </c>
      <c r="BG3" s="56">
        <v>8173.7</v>
      </c>
      <c r="BH3" s="56">
        <v>8252.5</v>
      </c>
      <c r="BI3" s="56">
        <v>8320.2000000000007</v>
      </c>
      <c r="BJ3" s="56">
        <v>8400.7999999999993</v>
      </c>
      <c r="BK3" s="56">
        <v>8474.7999999999993</v>
      </c>
      <c r="BL3" s="56">
        <v>8604.2000000000007</v>
      </c>
      <c r="BM3" s="56">
        <v>8668.2000000000007</v>
      </c>
      <c r="BN3" s="56">
        <v>8749.1</v>
      </c>
      <c r="BO3" s="56">
        <v>8788.5</v>
      </c>
      <c r="BP3" s="56">
        <v>8872.6</v>
      </c>
      <c r="BQ3" s="56">
        <v>8920.2000000000007</v>
      </c>
      <c r="BR3" s="56">
        <v>8986.4</v>
      </c>
      <c r="BS3" s="56">
        <v>9083.2999999999993</v>
      </c>
      <c r="BT3" s="56">
        <v>9162</v>
      </c>
      <c r="BU3" s="56">
        <v>9319.2999999999993</v>
      </c>
      <c r="BV3" s="56">
        <v>9367.5</v>
      </c>
      <c r="BW3" s="56">
        <v>9490.6</v>
      </c>
      <c r="BX3" s="56">
        <v>9546.2000000000007</v>
      </c>
      <c r="BY3" s="56">
        <v>9673.4</v>
      </c>
      <c r="BZ3" s="56">
        <v>9771.7000000000007</v>
      </c>
      <c r="CA3" s="56">
        <v>9846.2999999999993</v>
      </c>
      <c r="CB3" s="56">
        <v>9919.2000000000007</v>
      </c>
      <c r="CC3" s="56">
        <v>9938.7999999999993</v>
      </c>
      <c r="CD3" s="56">
        <v>10047.4</v>
      </c>
      <c r="CE3" s="56">
        <v>10083.9</v>
      </c>
      <c r="CF3" s="56">
        <v>10090.6</v>
      </c>
      <c r="CG3" s="56">
        <v>9998.7000000000007</v>
      </c>
      <c r="CH3" s="56">
        <v>9951.9</v>
      </c>
      <c r="CI3" s="56">
        <v>10029.5</v>
      </c>
      <c r="CJ3" s="56">
        <v>10080.200000000001</v>
      </c>
      <c r="CK3" s="56">
        <v>10115.299999999999</v>
      </c>
      <c r="CL3" s="56">
        <v>10236.4</v>
      </c>
      <c r="CM3" s="56">
        <v>10347.4</v>
      </c>
      <c r="CN3" s="56">
        <v>10449.700000000001</v>
      </c>
      <c r="CO3" s="56">
        <v>10558.6</v>
      </c>
      <c r="CP3" s="56">
        <v>10576.3</v>
      </c>
      <c r="CQ3" s="56">
        <v>10637.8</v>
      </c>
      <c r="CR3" s="56">
        <v>10688.6</v>
      </c>
      <c r="CS3" s="56">
        <v>10834</v>
      </c>
      <c r="CT3" s="56">
        <v>10939.1</v>
      </c>
      <c r="CU3" s="56">
        <v>11087.4</v>
      </c>
      <c r="CV3" s="56">
        <v>11152.2</v>
      </c>
      <c r="CW3" s="56">
        <v>11279.9</v>
      </c>
      <c r="CX3" s="56">
        <v>11320</v>
      </c>
      <c r="CY3" s="56">
        <v>11353.7</v>
      </c>
      <c r="CZ3" s="56">
        <v>11450.3</v>
      </c>
      <c r="DA3" s="56">
        <v>11528.1</v>
      </c>
      <c r="DB3" s="56">
        <v>11614.4</v>
      </c>
      <c r="DC3" s="56">
        <v>11808.1</v>
      </c>
      <c r="DD3" s="56">
        <v>11914.1</v>
      </c>
      <c r="DE3" s="56">
        <v>12037.8</v>
      </c>
      <c r="DF3" s="56">
        <v>12115.5</v>
      </c>
      <c r="DG3" s="56">
        <v>12317.2</v>
      </c>
      <c r="DH3" s="56">
        <v>12471</v>
      </c>
      <c r="DI3" s="56">
        <v>12577.5</v>
      </c>
      <c r="DJ3" s="56">
        <v>12703.7</v>
      </c>
      <c r="DK3" s="56">
        <v>12821.3</v>
      </c>
      <c r="DL3" s="56">
        <v>12982.8</v>
      </c>
      <c r="DM3" s="56">
        <v>13191.7</v>
      </c>
      <c r="DN3" s="56">
        <v>13315.6</v>
      </c>
      <c r="DO3" s="56">
        <v>13426.7</v>
      </c>
      <c r="DP3" s="56">
        <v>13604.8</v>
      </c>
      <c r="DQ3" s="56">
        <v>13828</v>
      </c>
      <c r="DR3" s="56">
        <v>13878.1</v>
      </c>
      <c r="DS3" s="56">
        <v>14130.9</v>
      </c>
      <c r="DT3" s="56">
        <v>14145.3</v>
      </c>
      <c r="DU3" s="56">
        <v>14229.8</v>
      </c>
      <c r="DV3" s="56">
        <v>14183.1</v>
      </c>
      <c r="DW3" s="56">
        <v>14271.7</v>
      </c>
      <c r="DX3" s="56">
        <v>14214.5</v>
      </c>
      <c r="DY3" s="56">
        <v>14253.6</v>
      </c>
      <c r="DZ3" s="56">
        <v>14372.8</v>
      </c>
      <c r="EA3" s="56">
        <v>14460.8</v>
      </c>
      <c r="EB3" s="56">
        <v>14519.6</v>
      </c>
      <c r="EC3" s="56">
        <v>14537.6</v>
      </c>
      <c r="ED3" s="56">
        <v>14614.1</v>
      </c>
      <c r="EE3" s="56">
        <v>14743.6</v>
      </c>
      <c r="EF3" s="56">
        <v>14988.8</v>
      </c>
      <c r="EG3" s="56">
        <v>15162.8</v>
      </c>
      <c r="EH3" s="56">
        <v>15248.7</v>
      </c>
      <c r="EI3" s="56">
        <v>15366.9</v>
      </c>
      <c r="EJ3" s="56">
        <v>15512.6</v>
      </c>
      <c r="EK3" s="56">
        <v>15670.9</v>
      </c>
      <c r="EL3" s="56">
        <v>15844.7</v>
      </c>
      <c r="EM3" s="56">
        <v>15922.8</v>
      </c>
      <c r="EN3" s="56">
        <v>16047.6</v>
      </c>
      <c r="EO3" s="56">
        <v>16136.7</v>
      </c>
      <c r="EP3" s="56">
        <v>16353.8</v>
      </c>
      <c r="EQ3" s="56">
        <v>16396.2</v>
      </c>
      <c r="ER3" s="56">
        <v>16420.7</v>
      </c>
      <c r="ES3" s="56">
        <v>16561.900000000001</v>
      </c>
      <c r="ET3" s="56">
        <v>16611.7</v>
      </c>
      <c r="EU3" s="56">
        <v>16713.3</v>
      </c>
      <c r="EV3" s="56">
        <v>16809.599999999999</v>
      </c>
      <c r="EW3" s="56">
        <v>16915.2</v>
      </c>
      <c r="EX3" s="56">
        <v>16843</v>
      </c>
      <c r="EY3" s="56">
        <v>16943.3</v>
      </c>
      <c r="EZ3" s="56">
        <v>16854.3</v>
      </c>
      <c r="FA3" s="56">
        <v>16485.400000000001</v>
      </c>
      <c r="FB3" s="56">
        <v>16298.3</v>
      </c>
      <c r="FC3" s="56">
        <v>16269.1</v>
      </c>
      <c r="FD3" s="56">
        <v>16326.3</v>
      </c>
      <c r="FE3" s="56">
        <v>16502.8</v>
      </c>
      <c r="FF3" s="56">
        <v>16582.7</v>
      </c>
      <c r="FG3" s="56">
        <v>16743.2</v>
      </c>
      <c r="FH3" s="56">
        <v>16872.3</v>
      </c>
      <c r="FI3" s="56">
        <v>16960.900000000001</v>
      </c>
      <c r="FJ3" s="56">
        <v>16920.599999999999</v>
      </c>
      <c r="FK3" s="56">
        <v>17035.099999999999</v>
      </c>
      <c r="FL3" s="56">
        <v>17031.3</v>
      </c>
      <c r="FM3" s="56">
        <v>17222.599999999999</v>
      </c>
      <c r="FN3" s="56">
        <v>17367</v>
      </c>
      <c r="FO3" s="56">
        <v>17444.5</v>
      </c>
      <c r="FP3" s="56">
        <v>17469.7</v>
      </c>
      <c r="FQ3" s="56">
        <v>17489.900000000001</v>
      </c>
      <c r="FR3" s="56">
        <v>17662.400000000001</v>
      </c>
      <c r="FS3" s="56">
        <v>17709.7</v>
      </c>
      <c r="FT3" s="56">
        <v>17860.5</v>
      </c>
      <c r="FU3" s="56">
        <v>18016.099999999999</v>
      </c>
      <c r="FV3" s="56">
        <v>17954</v>
      </c>
      <c r="FW3" s="56">
        <v>18185.900000000001</v>
      </c>
      <c r="FX3" s="56">
        <v>18406.900000000001</v>
      </c>
      <c r="FY3" s="56">
        <v>18500</v>
      </c>
      <c r="FZ3" s="56">
        <v>18666.599999999999</v>
      </c>
      <c r="GA3" s="56">
        <v>18782.2</v>
      </c>
      <c r="GB3" s="56">
        <v>18857.400000000001</v>
      </c>
      <c r="GC3" s="56">
        <v>18892.2</v>
      </c>
      <c r="GD3" s="56">
        <v>19001.7</v>
      </c>
      <c r="GE3" s="56">
        <v>19062.7</v>
      </c>
      <c r="GF3" s="56">
        <v>19197.900000000001</v>
      </c>
      <c r="GG3" s="56">
        <v>19304.400000000001</v>
      </c>
      <c r="GH3" s="56">
        <v>19398.3</v>
      </c>
      <c r="GI3" s="56">
        <v>19506.900000000001</v>
      </c>
      <c r="GJ3" s="56">
        <v>19660.8</v>
      </c>
      <c r="GK3" s="56">
        <v>19882.400000000001</v>
      </c>
      <c r="GL3" s="56">
        <v>20044.099999999999</v>
      </c>
      <c r="GM3" s="56">
        <v>20150.5</v>
      </c>
      <c r="GN3" s="56">
        <v>20276.2</v>
      </c>
      <c r="GO3" s="56">
        <v>20304.900000000001</v>
      </c>
      <c r="GP3" s="56">
        <v>20431.599999999999</v>
      </c>
      <c r="GQ3" s="56">
        <v>20602.3</v>
      </c>
      <c r="GR3" s="56">
        <v>20843.3</v>
      </c>
      <c r="GS3" s="56">
        <v>20985.4</v>
      </c>
      <c r="GT3" s="56">
        <v>20693.2</v>
      </c>
      <c r="GU3" s="56">
        <v>19056.599999999999</v>
      </c>
      <c r="GV3" s="56">
        <v>20548.8</v>
      </c>
      <c r="GW3" s="56">
        <v>20771.7</v>
      </c>
      <c r="GX3" s="56">
        <v>21058.400000000001</v>
      </c>
      <c r="GY3" s="56">
        <v>21389</v>
      </c>
      <c r="GZ3" s="56">
        <v>21571.4</v>
      </c>
      <c r="HA3" s="56">
        <v>21960.400000000001</v>
      </c>
      <c r="HB3" s="56">
        <v>21903.9</v>
      </c>
      <c r="HC3">
        <v>21919.200000000001</v>
      </c>
      <c r="HD3">
        <v>22066.799999999999</v>
      </c>
      <c r="HE3">
        <v>22249.5</v>
      </c>
      <c r="HF3">
        <v>22403.4</v>
      </c>
      <c r="HG3">
        <v>22539.4</v>
      </c>
      <c r="HH3">
        <v>22780.9</v>
      </c>
      <c r="HI3">
        <v>22960.6</v>
      </c>
      <c r="HJ3">
        <v>23053.5</v>
      </c>
      <c r="HK3">
        <v>23223.9</v>
      </c>
      <c r="HL3">
        <v>23400.3</v>
      </c>
      <c r="HM3">
        <v>23542.3</v>
      </c>
      <c r="HN3">
        <v>23512.7</v>
      </c>
      <c r="HO3">
        <v>23685.3</v>
      </c>
    </row>
    <row r="4" spans="1:223" x14ac:dyDescent="0.35">
      <c r="A4" s="56" t="s">
        <v>2239</v>
      </c>
      <c r="B4" s="56">
        <v>19.823</v>
      </c>
      <c r="C4" s="56">
        <v>20.109000000000002</v>
      </c>
      <c r="D4" s="56">
        <v>20.274000000000001</v>
      </c>
      <c r="E4" s="56">
        <v>20.539000000000001</v>
      </c>
      <c r="F4" s="56">
        <v>20.85</v>
      </c>
      <c r="G4" s="56">
        <v>21.13</v>
      </c>
      <c r="H4" s="56">
        <v>21.343</v>
      </c>
      <c r="I4" s="56">
        <v>21.52</v>
      </c>
      <c r="J4" s="56">
        <v>21.864999999999998</v>
      </c>
      <c r="K4" s="56">
        <v>21.998999999999999</v>
      </c>
      <c r="L4" s="56">
        <v>22.198</v>
      </c>
      <c r="M4" s="56">
        <v>22.45</v>
      </c>
      <c r="N4" s="56">
        <v>22.734999999999999</v>
      </c>
      <c r="O4" s="56">
        <v>23.111000000000001</v>
      </c>
      <c r="P4" s="56">
        <v>23.553000000000001</v>
      </c>
      <c r="Q4" s="56">
        <v>23.960999999999999</v>
      </c>
      <c r="R4" s="56">
        <v>24.446000000000002</v>
      </c>
      <c r="S4" s="56">
        <v>24.989000000000001</v>
      </c>
      <c r="T4" s="56">
        <v>25.759</v>
      </c>
      <c r="U4" s="56">
        <v>26.541</v>
      </c>
      <c r="V4" s="56">
        <v>27.140999999999998</v>
      </c>
      <c r="W4" s="56">
        <v>27.533999999999999</v>
      </c>
      <c r="X4" s="56">
        <v>28.021000000000001</v>
      </c>
      <c r="Y4" s="56">
        <v>28.489000000000001</v>
      </c>
      <c r="Z4" s="56">
        <v>28.8</v>
      </c>
      <c r="AA4" s="56">
        <v>29.088000000000001</v>
      </c>
      <c r="AB4" s="56">
        <v>29.459</v>
      </c>
      <c r="AC4" s="56">
        <v>29.96</v>
      </c>
      <c r="AD4" s="56">
        <v>30.443000000000001</v>
      </c>
      <c r="AE4" s="56">
        <v>30.925000000000001</v>
      </c>
      <c r="AF4" s="56">
        <v>31.350999999999999</v>
      </c>
      <c r="AG4" s="56">
        <v>31.875</v>
      </c>
      <c r="AH4" s="56">
        <v>32.396999999999998</v>
      </c>
      <c r="AI4" s="56">
        <v>33.042999999999999</v>
      </c>
      <c r="AJ4" s="56">
        <v>33.625999999999998</v>
      </c>
      <c r="AK4" s="56">
        <v>34.290999999999997</v>
      </c>
      <c r="AL4" s="56">
        <v>34.930999999999997</v>
      </c>
      <c r="AM4" s="56">
        <v>35.774999999999999</v>
      </c>
      <c r="AN4" s="56">
        <v>36.521999999999998</v>
      </c>
      <c r="AO4" s="56">
        <v>37.188000000000002</v>
      </c>
      <c r="AP4" s="56">
        <v>38.000999999999998</v>
      </c>
      <c r="AQ4" s="56">
        <v>38.902999999999999</v>
      </c>
      <c r="AR4" s="56">
        <v>39.770000000000003</v>
      </c>
      <c r="AS4" s="56">
        <v>40.825000000000003</v>
      </c>
      <c r="AT4" s="56">
        <v>41.906999999999996</v>
      </c>
      <c r="AU4" s="56">
        <v>42.694000000000003</v>
      </c>
      <c r="AV4" s="56">
        <v>43.524000000000001</v>
      </c>
      <c r="AW4" s="56">
        <v>44.243000000000002</v>
      </c>
      <c r="AX4" s="56">
        <v>44.877000000000002</v>
      </c>
      <c r="AY4" s="56">
        <v>45.472999999999999</v>
      </c>
      <c r="AZ4" s="56">
        <v>46.103999999999999</v>
      </c>
      <c r="BA4" s="56">
        <v>46.570999999999998</v>
      </c>
      <c r="BB4" s="56">
        <v>46.942999999999998</v>
      </c>
      <c r="BC4" s="56">
        <v>47.290999999999997</v>
      </c>
      <c r="BD4" s="56">
        <v>47.793999999999997</v>
      </c>
      <c r="BE4" s="56">
        <v>48.151000000000003</v>
      </c>
      <c r="BF4" s="56">
        <v>48.625999999999998</v>
      </c>
      <c r="BG4" s="56">
        <v>49.063000000000002</v>
      </c>
      <c r="BH4" s="56">
        <v>49.506</v>
      </c>
      <c r="BI4" s="56">
        <v>49.851999999999997</v>
      </c>
      <c r="BJ4" s="56">
        <v>50.363</v>
      </c>
      <c r="BK4" s="56">
        <v>50.66</v>
      </c>
      <c r="BL4" s="56">
        <v>50.997</v>
      </c>
      <c r="BM4" s="56">
        <v>51.262</v>
      </c>
      <c r="BN4" s="56">
        <v>51.515000000000001</v>
      </c>
      <c r="BO4" s="56">
        <v>51.695</v>
      </c>
      <c r="BP4" s="56">
        <v>51.941000000000003</v>
      </c>
      <c r="BQ4" s="56">
        <v>52.25</v>
      </c>
      <c r="BR4" s="56">
        <v>52.554000000000002</v>
      </c>
      <c r="BS4" s="56">
        <v>52.911000000000001</v>
      </c>
      <c r="BT4" s="56">
        <v>53.32</v>
      </c>
      <c r="BU4" s="56">
        <v>53.72</v>
      </c>
      <c r="BV4" s="56">
        <v>54.134999999999998</v>
      </c>
      <c r="BW4" s="56">
        <v>54.676000000000002</v>
      </c>
      <c r="BX4" s="56">
        <v>55.344999999999999</v>
      </c>
      <c r="BY4" s="56">
        <v>55.853999999999999</v>
      </c>
      <c r="BZ4" s="56">
        <v>56.392000000000003</v>
      </c>
      <c r="CA4" s="56">
        <v>57.002000000000002</v>
      </c>
      <c r="CB4" s="56">
        <v>57.424999999999997</v>
      </c>
      <c r="CC4" s="56">
        <v>57.817</v>
      </c>
      <c r="CD4" s="56">
        <v>58.447000000000003</v>
      </c>
      <c r="CE4" s="56">
        <v>59.100999999999999</v>
      </c>
      <c r="CF4" s="56">
        <v>59.612000000000002</v>
      </c>
      <c r="CG4" s="56">
        <v>60.067</v>
      </c>
      <c r="CH4" s="56">
        <v>60.651000000000003</v>
      </c>
      <c r="CI4" s="56">
        <v>61.088000000000001</v>
      </c>
      <c r="CJ4" s="56">
        <v>61.557000000000002</v>
      </c>
      <c r="CK4" s="56">
        <v>61.914999999999999</v>
      </c>
      <c r="CL4" s="56">
        <v>62.161999999999999</v>
      </c>
      <c r="CM4" s="56">
        <v>62.533000000000001</v>
      </c>
      <c r="CN4" s="56">
        <v>62.832999999999998</v>
      </c>
      <c r="CO4" s="56">
        <v>63.274999999999999</v>
      </c>
      <c r="CP4" s="56">
        <v>63.652000000000001</v>
      </c>
      <c r="CQ4" s="56">
        <v>64.027000000000001</v>
      </c>
      <c r="CR4" s="56">
        <v>64.349000000000004</v>
      </c>
      <c r="CS4" s="56">
        <v>64.727000000000004</v>
      </c>
      <c r="CT4" s="56">
        <v>65.058000000000007</v>
      </c>
      <c r="CU4" s="56">
        <v>65.369</v>
      </c>
      <c r="CV4" s="56">
        <v>65.716999999999999</v>
      </c>
      <c r="CW4" s="56">
        <v>66.082999999999998</v>
      </c>
      <c r="CX4" s="56">
        <v>66.459999999999994</v>
      </c>
      <c r="CY4" s="56">
        <v>66.784999999999997</v>
      </c>
      <c r="CZ4" s="56">
        <v>67.084000000000003</v>
      </c>
      <c r="DA4" s="56">
        <v>67.400999999999996</v>
      </c>
      <c r="DB4" s="56">
        <v>67.712000000000003</v>
      </c>
      <c r="DC4" s="56">
        <v>67.988</v>
      </c>
      <c r="DD4" s="56">
        <v>68.317999999999998</v>
      </c>
      <c r="DE4" s="56">
        <v>68.606999999999999</v>
      </c>
      <c r="DF4" s="56">
        <v>68.915000000000006</v>
      </c>
      <c r="DG4" s="56">
        <v>69.257999999999996</v>
      </c>
      <c r="DH4" s="56">
        <v>69.463999999999999</v>
      </c>
      <c r="DI4" s="56">
        <v>69.712999999999994</v>
      </c>
      <c r="DJ4" s="56">
        <v>69.783000000000001</v>
      </c>
      <c r="DK4" s="56">
        <v>69.963999999999999</v>
      </c>
      <c r="DL4" s="56">
        <v>70.234999999999999</v>
      </c>
      <c r="DM4" s="56">
        <v>70.424000000000007</v>
      </c>
      <c r="DN4" s="56">
        <v>70.614999999999995</v>
      </c>
      <c r="DO4" s="56">
        <v>70.933999999999997</v>
      </c>
      <c r="DP4" s="56">
        <v>71.206999999999994</v>
      </c>
      <c r="DQ4" s="56">
        <v>71.581000000000003</v>
      </c>
      <c r="DR4" s="56">
        <v>72.058000000000007</v>
      </c>
      <c r="DS4" s="56">
        <v>72.491</v>
      </c>
      <c r="DT4" s="56">
        <v>72.944999999999993</v>
      </c>
      <c r="DU4" s="56">
        <v>73.340999999999994</v>
      </c>
      <c r="DV4" s="56">
        <v>73.843000000000004</v>
      </c>
      <c r="DW4" s="56">
        <v>74.334999999999994</v>
      </c>
      <c r="DX4" s="56">
        <v>74.56</v>
      </c>
      <c r="DY4" s="56">
        <v>74.801000000000002</v>
      </c>
      <c r="DZ4" s="56">
        <v>74.998000000000005</v>
      </c>
      <c r="EA4" s="56">
        <v>75.295000000000002</v>
      </c>
      <c r="EB4" s="56">
        <v>75.632999999999996</v>
      </c>
      <c r="EC4" s="56">
        <v>76.072999999999993</v>
      </c>
      <c r="ED4" s="56">
        <v>76.481999999999999</v>
      </c>
      <c r="EE4" s="56">
        <v>76.745999999999995</v>
      </c>
      <c r="EF4" s="56">
        <v>77.185000000000002</v>
      </c>
      <c r="EG4" s="56">
        <v>77.632999999999996</v>
      </c>
      <c r="EH4" s="56">
        <v>78.191000000000003</v>
      </c>
      <c r="EI4" s="56">
        <v>78.825000000000003</v>
      </c>
      <c r="EJ4" s="56">
        <v>79.322999999999993</v>
      </c>
      <c r="EK4" s="56">
        <v>79.936000000000007</v>
      </c>
      <c r="EL4" s="56">
        <v>80.55</v>
      </c>
      <c r="EM4" s="56">
        <v>81.137</v>
      </c>
      <c r="EN4" s="56">
        <v>81.905000000000001</v>
      </c>
      <c r="EO4" s="56">
        <v>82.557000000000002</v>
      </c>
      <c r="EP4" s="56">
        <v>83.135000000000005</v>
      </c>
      <c r="EQ4" s="56">
        <v>83.870999999999995</v>
      </c>
      <c r="ER4" s="56">
        <v>84.486000000000004</v>
      </c>
      <c r="ES4" s="56">
        <v>84.805999999999997</v>
      </c>
      <c r="ET4" s="56">
        <v>85.655000000000001</v>
      </c>
      <c r="EU4" s="56">
        <v>86.200999999999993</v>
      </c>
      <c r="EV4" s="56">
        <v>86.567999999999998</v>
      </c>
      <c r="EW4" s="56">
        <v>86.981999999999999</v>
      </c>
      <c r="EX4" s="56">
        <v>87.358999999999995</v>
      </c>
      <c r="EY4" s="56">
        <v>87.677999999999997</v>
      </c>
      <c r="EZ4" s="56">
        <v>88.361000000000004</v>
      </c>
      <c r="FA4" s="56">
        <v>88.510999999999996</v>
      </c>
      <c r="FB4" s="56">
        <v>88.536000000000001</v>
      </c>
      <c r="FC4" s="56">
        <v>88.418000000000006</v>
      </c>
      <c r="FD4" s="56">
        <v>88.474000000000004</v>
      </c>
      <c r="FE4" s="56">
        <v>88.798000000000002</v>
      </c>
      <c r="FF4" s="56">
        <v>89.018000000000001</v>
      </c>
      <c r="FG4" s="56">
        <v>89.430999999999997</v>
      </c>
      <c r="FH4" s="56">
        <v>89.754999999999995</v>
      </c>
      <c r="FI4" s="56">
        <v>90.27</v>
      </c>
      <c r="FJ4" s="56">
        <v>90.71</v>
      </c>
      <c r="FK4" s="56">
        <v>91.363</v>
      </c>
      <c r="FL4" s="56">
        <v>91.84</v>
      </c>
      <c r="FM4" s="56">
        <v>91.950999999999993</v>
      </c>
      <c r="FN4" s="56">
        <v>92.495000000000005</v>
      </c>
      <c r="FO4" s="56">
        <v>92.881</v>
      </c>
      <c r="FP4" s="56">
        <v>93.459000000000003</v>
      </c>
      <c r="FQ4" s="56">
        <v>93.869</v>
      </c>
      <c r="FR4" s="56">
        <v>94.203999999999994</v>
      </c>
      <c r="FS4" s="56">
        <v>94.474000000000004</v>
      </c>
      <c r="FT4" s="56">
        <v>94.989000000000004</v>
      </c>
      <c r="FU4" s="56">
        <v>95.477000000000004</v>
      </c>
      <c r="FV4" s="56">
        <v>95.84</v>
      </c>
      <c r="FW4" s="56">
        <v>96.343000000000004</v>
      </c>
      <c r="FX4" s="56">
        <v>96.762</v>
      </c>
      <c r="FY4" s="56">
        <v>96.8</v>
      </c>
      <c r="FZ4" s="56">
        <v>96.742000000000004</v>
      </c>
      <c r="GA4" s="56">
        <v>97.302000000000007</v>
      </c>
      <c r="GB4" s="56">
        <v>97.536000000000001</v>
      </c>
      <c r="GC4" s="56">
        <v>97.527000000000001</v>
      </c>
      <c r="GD4" s="56">
        <v>97.468000000000004</v>
      </c>
      <c r="GE4" s="56">
        <v>98.108000000000004</v>
      </c>
      <c r="GF4" s="56">
        <v>98.372</v>
      </c>
      <c r="GG4" s="56">
        <v>98.884</v>
      </c>
      <c r="GH4" s="56">
        <v>99.388999999999996</v>
      </c>
      <c r="GI4" s="56">
        <v>99.656000000000006</v>
      </c>
      <c r="GJ4" s="56">
        <v>100.17400000000001</v>
      </c>
      <c r="GK4" s="56">
        <v>100.78</v>
      </c>
      <c r="GL4" s="56">
        <v>101.428</v>
      </c>
      <c r="GM4" s="56">
        <v>102.14</v>
      </c>
      <c r="GN4" s="56">
        <v>102.586</v>
      </c>
      <c r="GO4" s="56">
        <v>103.005</v>
      </c>
      <c r="GP4" s="56">
        <v>103.33199999999999</v>
      </c>
      <c r="GQ4" s="56">
        <v>103.855</v>
      </c>
      <c r="GR4" s="56">
        <v>104.196</v>
      </c>
      <c r="GS4" s="56">
        <v>104.54300000000001</v>
      </c>
      <c r="GT4" s="56">
        <v>105.001</v>
      </c>
      <c r="GU4" s="56">
        <v>104.651</v>
      </c>
      <c r="GV4" s="56">
        <v>105.574</v>
      </c>
      <c r="GW4" s="56">
        <v>106.29300000000001</v>
      </c>
      <c r="GX4" s="56">
        <v>107.645</v>
      </c>
      <c r="GY4" s="56">
        <v>109.27800000000001</v>
      </c>
      <c r="GZ4" s="56">
        <v>110.931</v>
      </c>
      <c r="HA4" s="56">
        <v>112.836</v>
      </c>
      <c r="HB4" s="56">
        <v>115.16</v>
      </c>
      <c r="HC4">
        <v>117.76</v>
      </c>
      <c r="HD4">
        <v>119.07299999999999</v>
      </c>
      <c r="HE4">
        <v>120.173</v>
      </c>
      <c r="HF4">
        <v>121.247</v>
      </c>
      <c r="HG4">
        <v>121.809</v>
      </c>
      <c r="HH4">
        <v>122.785</v>
      </c>
      <c r="HI4">
        <v>123.247</v>
      </c>
      <c r="HJ4">
        <v>124.16800000000001</v>
      </c>
      <c r="HK4">
        <v>124.94199999999999</v>
      </c>
      <c r="HL4">
        <v>125.54300000000001</v>
      </c>
      <c r="HM4">
        <v>126.27</v>
      </c>
      <c r="HN4">
        <v>127.441</v>
      </c>
      <c r="HO4">
        <v>128.06700000000001</v>
      </c>
    </row>
    <row r="5" spans="1:223" x14ac:dyDescent="0.35">
      <c r="A5" s="56" t="s">
        <v>2240</v>
      </c>
      <c r="B5" s="56">
        <v>631.70000000000005</v>
      </c>
      <c r="C5" s="56">
        <v>641.6</v>
      </c>
      <c r="D5" s="56">
        <v>653.5</v>
      </c>
      <c r="E5" s="56">
        <v>660.2</v>
      </c>
      <c r="F5" s="56">
        <v>679.2</v>
      </c>
      <c r="G5" s="56">
        <v>693.2</v>
      </c>
      <c r="H5" s="56">
        <v>705.6</v>
      </c>
      <c r="I5" s="56">
        <v>721.7</v>
      </c>
      <c r="J5" s="56">
        <v>738.9</v>
      </c>
      <c r="K5" s="56">
        <v>757.4</v>
      </c>
      <c r="L5" s="56">
        <v>775.8</v>
      </c>
      <c r="M5" s="56">
        <v>800.5</v>
      </c>
      <c r="N5" s="56">
        <v>825</v>
      </c>
      <c r="O5" s="56">
        <v>840.5</v>
      </c>
      <c r="P5" s="56">
        <v>858.9</v>
      </c>
      <c r="Q5" s="56">
        <v>873.9</v>
      </c>
      <c r="R5" s="56">
        <v>891.9</v>
      </c>
      <c r="S5" s="56">
        <v>920.4</v>
      </c>
      <c r="T5" s="56">
        <v>949.3</v>
      </c>
      <c r="U5" s="56">
        <v>959.1</v>
      </c>
      <c r="V5" s="56">
        <v>985.2</v>
      </c>
      <c r="W5" s="56">
        <v>1013.6</v>
      </c>
      <c r="X5" s="56">
        <v>1047.2</v>
      </c>
      <c r="Y5" s="56">
        <v>1076.2</v>
      </c>
      <c r="Z5" s="56">
        <v>1109.9000000000001</v>
      </c>
      <c r="AA5" s="56">
        <v>1129.5</v>
      </c>
      <c r="AB5" s="56">
        <v>1158.8</v>
      </c>
      <c r="AC5" s="56">
        <v>1192.4000000000001</v>
      </c>
      <c r="AD5" s="56">
        <v>1228.2</v>
      </c>
      <c r="AE5" s="56">
        <v>1256</v>
      </c>
      <c r="AF5" s="56">
        <v>1286.9000000000001</v>
      </c>
      <c r="AG5" s="56">
        <v>1324.8</v>
      </c>
      <c r="AH5" s="56">
        <v>1354.1</v>
      </c>
      <c r="AI5" s="56">
        <v>1411.4</v>
      </c>
      <c r="AJ5" s="56">
        <v>1442.2</v>
      </c>
      <c r="AK5" s="56">
        <v>1481.4</v>
      </c>
      <c r="AL5" s="56">
        <v>1517.1</v>
      </c>
      <c r="AM5" s="56">
        <v>1557.6</v>
      </c>
      <c r="AN5" s="56">
        <v>1611.9</v>
      </c>
      <c r="AO5" s="56">
        <v>1655</v>
      </c>
      <c r="AP5" s="56">
        <v>1702.3</v>
      </c>
      <c r="AQ5" s="56">
        <v>1704.7</v>
      </c>
      <c r="AR5" s="56">
        <v>1763.8</v>
      </c>
      <c r="AS5" s="56">
        <v>1831.9</v>
      </c>
      <c r="AT5" s="56">
        <v>1885.7</v>
      </c>
      <c r="AU5" s="56">
        <v>1917.5</v>
      </c>
      <c r="AV5" s="56">
        <v>1958.1</v>
      </c>
      <c r="AW5" s="56">
        <v>1974.4</v>
      </c>
      <c r="AX5" s="56">
        <v>2014.2</v>
      </c>
      <c r="AY5" s="56">
        <v>2039.6</v>
      </c>
      <c r="AZ5" s="56">
        <v>2085.6999999999998</v>
      </c>
      <c r="BA5" s="56">
        <v>2145.6</v>
      </c>
      <c r="BB5" s="56">
        <v>2184.6</v>
      </c>
      <c r="BC5" s="56">
        <v>2249.4</v>
      </c>
      <c r="BD5" s="56">
        <v>2319.9</v>
      </c>
      <c r="BE5" s="56">
        <v>2372.5</v>
      </c>
      <c r="BF5" s="56">
        <v>2418.1999999999998</v>
      </c>
      <c r="BG5" s="56">
        <v>2475.9</v>
      </c>
      <c r="BH5" s="56">
        <v>2513.5</v>
      </c>
      <c r="BI5" s="56">
        <v>2561.8000000000002</v>
      </c>
      <c r="BJ5" s="56">
        <v>2636</v>
      </c>
      <c r="BK5" s="56">
        <v>2681.8</v>
      </c>
      <c r="BL5" s="56">
        <v>2754.1</v>
      </c>
      <c r="BM5" s="56">
        <v>2779.4</v>
      </c>
      <c r="BN5" s="56">
        <v>2823.6</v>
      </c>
      <c r="BO5" s="56">
        <v>2851.5</v>
      </c>
      <c r="BP5" s="56">
        <v>2917.2</v>
      </c>
      <c r="BQ5" s="56">
        <v>2952.8</v>
      </c>
      <c r="BR5" s="56">
        <v>2983.5</v>
      </c>
      <c r="BS5" s="56">
        <v>3053.3</v>
      </c>
      <c r="BT5" s="56">
        <v>3117.4</v>
      </c>
      <c r="BU5" s="56">
        <v>3150.9</v>
      </c>
      <c r="BV5" s="56">
        <v>3231.9</v>
      </c>
      <c r="BW5" s="56">
        <v>3291.7</v>
      </c>
      <c r="BX5" s="56">
        <v>3361.9</v>
      </c>
      <c r="BY5" s="56">
        <v>3434.5</v>
      </c>
      <c r="BZ5" s="56">
        <v>3490.2</v>
      </c>
      <c r="CA5" s="56">
        <v>3553.8</v>
      </c>
      <c r="CB5" s="56">
        <v>3609.4</v>
      </c>
      <c r="CC5" s="56">
        <v>3653.7</v>
      </c>
      <c r="CD5" s="56">
        <v>3737.9</v>
      </c>
      <c r="CE5" s="56">
        <v>3783.4</v>
      </c>
      <c r="CF5" s="56">
        <v>3846.7</v>
      </c>
      <c r="CG5" s="56">
        <v>3867.9</v>
      </c>
      <c r="CH5" s="56">
        <v>3873.6</v>
      </c>
      <c r="CI5" s="56">
        <v>3926.9</v>
      </c>
      <c r="CJ5" s="56">
        <v>3973.3</v>
      </c>
      <c r="CK5" s="56">
        <v>4000</v>
      </c>
      <c r="CL5" s="56">
        <v>4100.3999999999996</v>
      </c>
      <c r="CM5" s="56">
        <v>4155.7</v>
      </c>
      <c r="CN5" s="56">
        <v>4227</v>
      </c>
      <c r="CO5" s="56">
        <v>4307.2</v>
      </c>
      <c r="CP5" s="56">
        <v>4349.5</v>
      </c>
      <c r="CQ5" s="56">
        <v>4418.6000000000004</v>
      </c>
      <c r="CR5" s="56">
        <v>4487.2</v>
      </c>
      <c r="CS5" s="56">
        <v>4552.7</v>
      </c>
      <c r="CT5" s="56">
        <v>4621.2</v>
      </c>
      <c r="CU5" s="56">
        <v>4683.2</v>
      </c>
      <c r="CV5" s="56">
        <v>4752.8</v>
      </c>
      <c r="CW5" s="56">
        <v>4826.7</v>
      </c>
      <c r="CX5" s="56">
        <v>4862.3999999999996</v>
      </c>
      <c r="CY5" s="56">
        <v>4933.6000000000004</v>
      </c>
      <c r="CZ5" s="56">
        <v>4998.7</v>
      </c>
      <c r="DA5" s="56">
        <v>5055.7</v>
      </c>
      <c r="DB5" s="56">
        <v>5130.6000000000004</v>
      </c>
      <c r="DC5" s="56">
        <v>5220.5</v>
      </c>
      <c r="DD5" s="56">
        <v>5274.5</v>
      </c>
      <c r="DE5" s="56">
        <v>5352.8</v>
      </c>
      <c r="DF5" s="56">
        <v>5433.1</v>
      </c>
      <c r="DG5" s="56">
        <v>5471.3</v>
      </c>
      <c r="DH5" s="56">
        <v>5579.2</v>
      </c>
      <c r="DI5" s="56">
        <v>5663.6</v>
      </c>
      <c r="DJ5" s="56">
        <v>5721.3</v>
      </c>
      <c r="DK5" s="56">
        <v>5832.6</v>
      </c>
      <c r="DL5" s="56">
        <v>5926.8</v>
      </c>
      <c r="DM5" s="56">
        <v>6028.2</v>
      </c>
      <c r="DN5" s="56">
        <v>6102</v>
      </c>
      <c r="DO5" s="56">
        <v>6230.6</v>
      </c>
      <c r="DP5" s="56">
        <v>6335.3</v>
      </c>
      <c r="DQ5" s="56">
        <v>6467</v>
      </c>
      <c r="DR5" s="56">
        <v>6618.2</v>
      </c>
      <c r="DS5" s="56">
        <v>6711.9</v>
      </c>
      <c r="DT5" s="56">
        <v>6820</v>
      </c>
      <c r="DU5" s="56">
        <v>6918.6</v>
      </c>
      <c r="DV5" s="56">
        <v>6995.3</v>
      </c>
      <c r="DW5" s="56">
        <v>7042.3</v>
      </c>
      <c r="DX5" s="56">
        <v>7070.3</v>
      </c>
      <c r="DY5" s="56">
        <v>7187.3</v>
      </c>
      <c r="DZ5" s="56">
        <v>7217.7</v>
      </c>
      <c r="EA5" s="56">
        <v>7308</v>
      </c>
      <c r="EB5" s="56">
        <v>7397.1</v>
      </c>
      <c r="EC5" s="56">
        <v>7473</v>
      </c>
      <c r="ED5" s="56">
        <v>7567.2</v>
      </c>
      <c r="EE5" s="56">
        <v>7661.5</v>
      </c>
      <c r="EF5" s="56">
        <v>7820.9</v>
      </c>
      <c r="EG5" s="56">
        <v>7913.5</v>
      </c>
      <c r="EH5" s="56">
        <v>8048.8</v>
      </c>
      <c r="EI5" s="56">
        <v>8147.1</v>
      </c>
      <c r="EJ5" s="56">
        <v>8283.2999999999993</v>
      </c>
      <c r="EK5" s="56">
        <v>8448.6</v>
      </c>
      <c r="EL5" s="56">
        <v>8551.7000000000007</v>
      </c>
      <c r="EM5" s="56">
        <v>8701.1</v>
      </c>
      <c r="EN5" s="56">
        <v>8868.1</v>
      </c>
      <c r="EO5" s="56">
        <v>8955.2999999999993</v>
      </c>
      <c r="EP5" s="56">
        <v>9100.2000000000007</v>
      </c>
      <c r="EQ5" s="56">
        <v>9227.6</v>
      </c>
      <c r="ER5" s="56">
        <v>9353.7999999999993</v>
      </c>
      <c r="ES5" s="56">
        <v>9427.4</v>
      </c>
      <c r="ET5" s="56">
        <v>9572.1</v>
      </c>
      <c r="EU5" s="56">
        <v>9678.7000000000007</v>
      </c>
      <c r="EV5" s="56">
        <v>9798.4</v>
      </c>
      <c r="EW5" s="56">
        <v>9937.1</v>
      </c>
      <c r="EX5" s="56">
        <v>10004.4</v>
      </c>
      <c r="EY5" s="56">
        <v>10129.9</v>
      </c>
      <c r="EZ5" s="56">
        <v>10159.1</v>
      </c>
      <c r="FA5" s="56">
        <v>9906.9</v>
      </c>
      <c r="FB5" s="56">
        <v>9815</v>
      </c>
      <c r="FC5" s="56">
        <v>9805.5</v>
      </c>
      <c r="FD5" s="56">
        <v>9939.4</v>
      </c>
      <c r="FE5" s="56">
        <v>10005</v>
      </c>
      <c r="FF5" s="56">
        <v>10101.799999999999</v>
      </c>
      <c r="FG5" s="56">
        <v>10208.1</v>
      </c>
      <c r="FH5" s="56">
        <v>10300.799999999999</v>
      </c>
      <c r="FI5" s="56">
        <v>10430.299999999999</v>
      </c>
      <c r="FJ5" s="56">
        <v>10558.2</v>
      </c>
      <c r="FK5" s="56">
        <v>10673</v>
      </c>
      <c r="FL5" s="56">
        <v>10755</v>
      </c>
      <c r="FM5" s="56">
        <v>10809.2</v>
      </c>
      <c r="FN5" s="56">
        <v>10959.3</v>
      </c>
      <c r="FO5" s="56">
        <v>11005.1</v>
      </c>
      <c r="FP5" s="56">
        <v>11059.4</v>
      </c>
      <c r="FQ5" s="56">
        <v>11165.7</v>
      </c>
      <c r="FR5" s="56">
        <v>11277.7</v>
      </c>
      <c r="FS5" s="56">
        <v>11315.7</v>
      </c>
      <c r="FT5" s="56">
        <v>11408.4</v>
      </c>
      <c r="FU5" s="56">
        <v>11551.2</v>
      </c>
      <c r="FV5" s="56">
        <v>11646</v>
      </c>
      <c r="FW5" s="56">
        <v>11810.5</v>
      </c>
      <c r="FX5" s="56">
        <v>11959.8</v>
      </c>
      <c r="FY5" s="56">
        <v>12081.6</v>
      </c>
      <c r="FZ5" s="56">
        <v>12119.8</v>
      </c>
      <c r="GA5" s="56">
        <v>12264.1</v>
      </c>
      <c r="GB5" s="56">
        <v>12382.5</v>
      </c>
      <c r="GC5" s="56">
        <v>12423.4</v>
      </c>
      <c r="GD5" s="56">
        <v>12523.2</v>
      </c>
      <c r="GE5" s="56">
        <v>12665.1</v>
      </c>
      <c r="GF5" s="56">
        <v>12797.1</v>
      </c>
      <c r="GG5" s="56">
        <v>12922</v>
      </c>
      <c r="GH5" s="56">
        <v>13097.3</v>
      </c>
      <c r="GI5" s="56">
        <v>13188.7</v>
      </c>
      <c r="GJ5" s="56">
        <v>13325.1</v>
      </c>
      <c r="GK5" s="56">
        <v>13551.4</v>
      </c>
      <c r="GL5" s="56">
        <v>13745.1</v>
      </c>
      <c r="GM5" s="56">
        <v>13891.3</v>
      </c>
      <c r="GN5" s="56">
        <v>14002.2</v>
      </c>
      <c r="GO5" s="56">
        <v>14099.2</v>
      </c>
      <c r="GP5" s="56">
        <v>14150.2</v>
      </c>
      <c r="GQ5" s="56">
        <v>14350.7</v>
      </c>
      <c r="GR5" s="56">
        <v>14548.3</v>
      </c>
      <c r="GS5" s="56">
        <v>14701</v>
      </c>
      <c r="GT5" s="56">
        <v>14496.2</v>
      </c>
      <c r="GU5" s="56">
        <v>13175.6</v>
      </c>
      <c r="GV5" s="56">
        <v>14478</v>
      </c>
      <c r="GW5" s="56">
        <v>14752.7</v>
      </c>
      <c r="GX5" s="56">
        <v>15259.4</v>
      </c>
      <c r="GY5" s="56">
        <v>16016.3</v>
      </c>
      <c r="GZ5" s="56">
        <v>16363.9</v>
      </c>
      <c r="HA5" s="56">
        <v>16816.099999999999</v>
      </c>
      <c r="HB5" s="56">
        <v>17175.099999999999</v>
      </c>
      <c r="HC5">
        <v>17603.8</v>
      </c>
      <c r="HD5">
        <v>17876.2</v>
      </c>
      <c r="HE5">
        <v>18108.3</v>
      </c>
      <c r="HF5">
        <v>18506.2</v>
      </c>
      <c r="HG5">
        <v>18685.7</v>
      </c>
      <c r="HH5">
        <v>18929</v>
      </c>
      <c r="HI5">
        <v>19170.2</v>
      </c>
      <c r="HJ5">
        <v>19424.8</v>
      </c>
      <c r="HK5">
        <v>19682.7</v>
      </c>
      <c r="HL5">
        <v>19938.400000000001</v>
      </c>
      <c r="HM5">
        <v>20255.5</v>
      </c>
      <c r="HN5">
        <v>20461.599999999999</v>
      </c>
      <c r="HO5">
        <v>20640.900000000001</v>
      </c>
    </row>
    <row r="6" spans="1:223" x14ac:dyDescent="0.35">
      <c r="A6" s="56" t="s">
        <v>2241</v>
      </c>
      <c r="B6" s="56">
        <v>3248.9</v>
      </c>
      <c r="C6" s="56">
        <v>3263.6</v>
      </c>
      <c r="D6" s="56">
        <v>3292.2</v>
      </c>
      <c r="E6" s="56">
        <v>3283.2</v>
      </c>
      <c r="F6" s="56">
        <v>3346.3</v>
      </c>
      <c r="G6" s="56">
        <v>3377</v>
      </c>
      <c r="H6" s="56">
        <v>3403.9</v>
      </c>
      <c r="I6" s="56">
        <v>3460.4</v>
      </c>
      <c r="J6" s="56">
        <v>3506.1</v>
      </c>
      <c r="K6" s="56">
        <v>3572.8</v>
      </c>
      <c r="L6" s="56">
        <v>3627.9</v>
      </c>
      <c r="M6" s="56">
        <v>3713</v>
      </c>
      <c r="N6" s="56">
        <v>3780.8</v>
      </c>
      <c r="O6" s="56">
        <v>3779.1</v>
      </c>
      <c r="P6" s="56">
        <v>3792.4</v>
      </c>
      <c r="Q6" s="56">
        <v>3781.1</v>
      </c>
      <c r="R6" s="56">
        <v>3747.3</v>
      </c>
      <c r="S6" s="56">
        <v>3760.8</v>
      </c>
      <c r="T6" s="56">
        <v>3776.9</v>
      </c>
      <c r="U6" s="56">
        <v>3721.7</v>
      </c>
      <c r="V6" s="56">
        <v>3752.9</v>
      </c>
      <c r="W6" s="56">
        <v>3814.7</v>
      </c>
      <c r="X6" s="56">
        <v>3868.9</v>
      </c>
      <c r="Y6" s="56">
        <v>3910.5</v>
      </c>
      <c r="Z6" s="56">
        <v>3988.7</v>
      </c>
      <c r="AA6" s="56">
        <v>4025.4</v>
      </c>
      <c r="AB6" s="56">
        <v>4067.8</v>
      </c>
      <c r="AC6" s="56">
        <v>4120.5</v>
      </c>
      <c r="AD6" s="56">
        <v>4169.1000000000004</v>
      </c>
      <c r="AE6" s="56">
        <v>4191.7</v>
      </c>
      <c r="AF6" s="56">
        <v>4231.3</v>
      </c>
      <c r="AG6" s="56">
        <v>4295</v>
      </c>
      <c r="AH6" s="56">
        <v>4319.1000000000004</v>
      </c>
      <c r="AI6" s="56">
        <v>4411.3999999999996</v>
      </c>
      <c r="AJ6" s="56">
        <v>4430</v>
      </c>
      <c r="AK6" s="56">
        <v>4465.7</v>
      </c>
      <c r="AL6" s="56">
        <v>4488.8</v>
      </c>
      <c r="AM6" s="56">
        <v>4485.8999999999996</v>
      </c>
      <c r="AN6" s="56">
        <v>4529.6000000000004</v>
      </c>
      <c r="AO6" s="56">
        <v>4540.8</v>
      </c>
      <c r="AP6" s="56">
        <v>4534.3</v>
      </c>
      <c r="AQ6" s="56">
        <v>4432.2</v>
      </c>
      <c r="AR6" s="56">
        <v>4480.8</v>
      </c>
      <c r="AS6" s="56">
        <v>4541.3999999999996</v>
      </c>
      <c r="AT6" s="56">
        <v>4556.6000000000004</v>
      </c>
      <c r="AU6" s="56">
        <v>4556.8999999999996</v>
      </c>
      <c r="AV6" s="56">
        <v>4578</v>
      </c>
      <c r="AW6" s="56">
        <v>4546.7</v>
      </c>
      <c r="AX6" s="56">
        <v>4580.2</v>
      </c>
      <c r="AY6" s="56">
        <v>4594.1000000000004</v>
      </c>
      <c r="AZ6" s="56">
        <v>4624.8999999999996</v>
      </c>
      <c r="BA6" s="56">
        <v>4706</v>
      </c>
      <c r="BB6" s="56">
        <v>4752.5</v>
      </c>
      <c r="BC6" s="56">
        <v>4849.3</v>
      </c>
      <c r="BD6" s="56">
        <v>4936.2</v>
      </c>
      <c r="BE6" s="56">
        <v>5014.8999999999996</v>
      </c>
      <c r="BF6" s="56">
        <v>5056.5</v>
      </c>
      <c r="BG6" s="56">
        <v>5127.3</v>
      </c>
      <c r="BH6" s="56">
        <v>5165.3999999999996</v>
      </c>
      <c r="BI6" s="56">
        <v>5232.3</v>
      </c>
      <c r="BJ6" s="56">
        <v>5321.2</v>
      </c>
      <c r="BK6" s="56">
        <v>5370</v>
      </c>
      <c r="BL6" s="56">
        <v>5472</v>
      </c>
      <c r="BM6" s="56">
        <v>5483.9</v>
      </c>
      <c r="BN6" s="56">
        <v>5531.8</v>
      </c>
      <c r="BO6" s="56">
        <v>5592.1</v>
      </c>
      <c r="BP6" s="56">
        <v>5691</v>
      </c>
      <c r="BQ6" s="56">
        <v>5725.8</v>
      </c>
      <c r="BR6" s="56">
        <v>5731.2</v>
      </c>
      <c r="BS6" s="56">
        <v>5809.4</v>
      </c>
      <c r="BT6" s="56">
        <v>5875.6</v>
      </c>
      <c r="BU6" s="56">
        <v>5888.1</v>
      </c>
      <c r="BV6" s="56">
        <v>5992.1</v>
      </c>
      <c r="BW6" s="56">
        <v>6036.4</v>
      </c>
      <c r="BX6" s="56">
        <v>6090</v>
      </c>
      <c r="BY6" s="56">
        <v>6159.2</v>
      </c>
      <c r="BZ6" s="56">
        <v>6187.8</v>
      </c>
      <c r="CA6" s="56">
        <v>6216.7</v>
      </c>
      <c r="CB6" s="56">
        <v>6276.9</v>
      </c>
      <c r="CC6" s="56">
        <v>6304.2</v>
      </c>
      <c r="CD6" s="56">
        <v>6357.2</v>
      </c>
      <c r="CE6" s="56">
        <v>6376.6</v>
      </c>
      <c r="CF6" s="56">
        <v>6401.8</v>
      </c>
      <c r="CG6" s="56">
        <v>6353.1</v>
      </c>
      <c r="CH6" s="56">
        <v>6329.2</v>
      </c>
      <c r="CI6" s="56">
        <v>6381.7</v>
      </c>
      <c r="CJ6" s="56">
        <v>6413.5</v>
      </c>
      <c r="CK6" s="56">
        <v>6410.3</v>
      </c>
      <c r="CL6" s="56">
        <v>6530.3</v>
      </c>
      <c r="CM6" s="56">
        <v>6574.7</v>
      </c>
      <c r="CN6" s="56">
        <v>6645.1</v>
      </c>
      <c r="CO6" s="56">
        <v>6724.3</v>
      </c>
      <c r="CP6" s="56">
        <v>6750.1</v>
      </c>
      <c r="CQ6" s="56">
        <v>6811.5</v>
      </c>
      <c r="CR6" s="56">
        <v>6887.3</v>
      </c>
      <c r="CS6" s="56">
        <v>6947.8</v>
      </c>
      <c r="CT6" s="56">
        <v>7027.3</v>
      </c>
      <c r="CU6" s="56">
        <v>7081.9</v>
      </c>
      <c r="CV6" s="56">
        <v>7135.9</v>
      </c>
      <c r="CW6" s="56">
        <v>7213.1</v>
      </c>
      <c r="CX6" s="56">
        <v>7231</v>
      </c>
      <c r="CY6" s="56">
        <v>7294.4</v>
      </c>
      <c r="CZ6" s="56">
        <v>7360.5</v>
      </c>
      <c r="DA6" s="56">
        <v>7411.9</v>
      </c>
      <c r="DB6" s="56">
        <v>7480.2</v>
      </c>
      <c r="DC6" s="56">
        <v>7560.7</v>
      </c>
      <c r="DD6" s="56">
        <v>7606.5</v>
      </c>
      <c r="DE6" s="56">
        <v>7667.1</v>
      </c>
      <c r="DF6" s="56">
        <v>7747.9</v>
      </c>
      <c r="DG6" s="56">
        <v>7782.8</v>
      </c>
      <c r="DH6" s="56">
        <v>7915.4</v>
      </c>
      <c r="DI6" s="56">
        <v>8010</v>
      </c>
      <c r="DJ6" s="56">
        <v>8091</v>
      </c>
      <c r="DK6" s="56">
        <v>8233.5</v>
      </c>
      <c r="DL6" s="56">
        <v>8340.7999999999993</v>
      </c>
      <c r="DM6" s="56">
        <v>8461.2999999999993</v>
      </c>
      <c r="DN6" s="56">
        <v>8548.2000000000007</v>
      </c>
      <c r="DO6" s="56">
        <v>8679.1</v>
      </c>
      <c r="DP6" s="56">
        <v>8776.7000000000007</v>
      </c>
      <c r="DQ6" s="56">
        <v>8905.1</v>
      </c>
      <c r="DR6" s="56">
        <v>9039.7000000000007</v>
      </c>
      <c r="DS6" s="56">
        <v>9124.2000000000007</v>
      </c>
      <c r="DT6" s="56">
        <v>9211.6</v>
      </c>
      <c r="DU6" s="56">
        <v>9292.1</v>
      </c>
      <c r="DV6" s="56">
        <v>9325.7999999999993</v>
      </c>
      <c r="DW6" s="56">
        <v>9344.5</v>
      </c>
      <c r="DX6" s="56">
        <v>9377</v>
      </c>
      <c r="DY6" s="56">
        <v>9528.2999999999993</v>
      </c>
      <c r="DZ6" s="56">
        <v>9549.5</v>
      </c>
      <c r="EA6" s="56">
        <v>9597.7999999999993</v>
      </c>
      <c r="EB6" s="56">
        <v>9665</v>
      </c>
      <c r="EC6" s="56">
        <v>9718.7000000000007</v>
      </c>
      <c r="ED6" s="56">
        <v>9766.6</v>
      </c>
      <c r="EE6" s="56">
        <v>9878.4</v>
      </c>
      <c r="EF6" s="56">
        <v>10018.1</v>
      </c>
      <c r="EG6" s="56">
        <v>10087.1</v>
      </c>
      <c r="EH6" s="56">
        <v>10181.1</v>
      </c>
      <c r="EI6" s="56">
        <v>10236.700000000001</v>
      </c>
      <c r="EJ6" s="56">
        <v>10356.9</v>
      </c>
      <c r="EK6" s="56">
        <v>10474.1</v>
      </c>
      <c r="EL6" s="56">
        <v>10540.6</v>
      </c>
      <c r="EM6" s="56">
        <v>10657.4</v>
      </c>
      <c r="EN6" s="56">
        <v>10745.9</v>
      </c>
      <c r="EO6" s="56">
        <v>10765.7</v>
      </c>
      <c r="EP6" s="56">
        <v>10883.1</v>
      </c>
      <c r="EQ6" s="56">
        <v>10939.5</v>
      </c>
      <c r="ER6" s="56">
        <v>11009.7</v>
      </c>
      <c r="ES6" s="56">
        <v>11114.8</v>
      </c>
      <c r="ET6" s="56">
        <v>11183.3</v>
      </c>
      <c r="EU6" s="56">
        <v>11212.7</v>
      </c>
      <c r="EV6" s="56">
        <v>11287.5</v>
      </c>
      <c r="EW6" s="56">
        <v>11331.9</v>
      </c>
      <c r="EX6" s="56">
        <v>11316.4</v>
      </c>
      <c r="EY6" s="56">
        <v>11347.6</v>
      </c>
      <c r="EZ6" s="56">
        <v>11260.1</v>
      </c>
      <c r="FA6" s="56">
        <v>11158.8</v>
      </c>
      <c r="FB6" s="56">
        <v>11130.5</v>
      </c>
      <c r="FC6" s="56">
        <v>11075.7</v>
      </c>
      <c r="FD6" s="56">
        <v>11150.2</v>
      </c>
      <c r="FE6" s="56">
        <v>11137.9</v>
      </c>
      <c r="FF6" s="56">
        <v>11202.5</v>
      </c>
      <c r="FG6" s="56">
        <v>11303</v>
      </c>
      <c r="FH6" s="56">
        <v>11383.6</v>
      </c>
      <c r="FI6" s="56">
        <v>11453.4</v>
      </c>
      <c r="FJ6" s="56">
        <v>11497.1</v>
      </c>
      <c r="FK6" s="56">
        <v>11509</v>
      </c>
      <c r="FL6" s="56">
        <v>11544</v>
      </c>
      <c r="FM6" s="56">
        <v>11563.9</v>
      </c>
      <c r="FN6" s="56">
        <v>11647.3</v>
      </c>
      <c r="FO6" s="56">
        <v>11667.8</v>
      </c>
      <c r="FP6" s="56">
        <v>11691.4</v>
      </c>
      <c r="FQ6" s="56">
        <v>11738</v>
      </c>
      <c r="FR6" s="56">
        <v>11814.3</v>
      </c>
      <c r="FS6" s="56">
        <v>11848.1</v>
      </c>
      <c r="FT6" s="56">
        <v>11896.3</v>
      </c>
      <c r="FU6" s="56">
        <v>12001</v>
      </c>
      <c r="FV6" s="56">
        <v>12044.2</v>
      </c>
      <c r="FW6" s="56">
        <v>12159.9</v>
      </c>
      <c r="FX6" s="56">
        <v>12280.1</v>
      </c>
      <c r="FY6" s="56">
        <v>12421.6</v>
      </c>
      <c r="FZ6" s="56">
        <v>12516.9</v>
      </c>
      <c r="GA6" s="56">
        <v>12603.1</v>
      </c>
      <c r="GB6" s="56">
        <v>12691.8</v>
      </c>
      <c r="GC6" s="56">
        <v>12743.4</v>
      </c>
      <c r="GD6" s="56">
        <v>12839.6</v>
      </c>
      <c r="GE6" s="56">
        <v>12903.3</v>
      </c>
      <c r="GF6" s="56">
        <v>12993.1</v>
      </c>
      <c r="GG6" s="56">
        <v>13060.1</v>
      </c>
      <c r="GH6" s="56">
        <v>13160.5</v>
      </c>
      <c r="GI6" s="56">
        <v>13225.7</v>
      </c>
      <c r="GJ6" s="56">
        <v>13315.4</v>
      </c>
      <c r="GK6" s="56">
        <v>13460.9</v>
      </c>
      <c r="GL6" s="56">
        <v>13558.4</v>
      </c>
      <c r="GM6" s="56">
        <v>13631</v>
      </c>
      <c r="GN6" s="56">
        <v>13693.8</v>
      </c>
      <c r="GO6" s="56">
        <v>13736.6</v>
      </c>
      <c r="GP6" s="56">
        <v>13758.3</v>
      </c>
      <c r="GQ6" s="56">
        <v>13875.7</v>
      </c>
      <c r="GR6" s="56">
        <v>14033.2</v>
      </c>
      <c r="GS6" s="56">
        <v>14125.3</v>
      </c>
      <c r="GT6" s="56">
        <v>13885.9</v>
      </c>
      <c r="GU6" s="56">
        <v>12671.9</v>
      </c>
      <c r="GV6" s="56">
        <v>13813</v>
      </c>
      <c r="GW6" s="56">
        <v>14008.1</v>
      </c>
      <c r="GX6" s="56">
        <v>14328.6</v>
      </c>
      <c r="GY6" s="56">
        <v>14809.1</v>
      </c>
      <c r="GZ6" s="56">
        <v>14924.3</v>
      </c>
      <c r="HA6" s="56">
        <v>15086.9</v>
      </c>
      <c r="HB6" s="56">
        <v>15123.4</v>
      </c>
      <c r="HC6">
        <v>15219.9</v>
      </c>
      <c r="HD6">
        <v>15277.6</v>
      </c>
      <c r="HE6">
        <v>15324</v>
      </c>
      <c r="HF6">
        <v>15510.2</v>
      </c>
      <c r="HG6">
        <v>15548.5</v>
      </c>
      <c r="HH6">
        <v>15646.7</v>
      </c>
      <c r="HI6">
        <v>15781.4</v>
      </c>
      <c r="HJ6">
        <v>15856.9</v>
      </c>
      <c r="HK6">
        <v>15967.3</v>
      </c>
      <c r="HL6">
        <v>16113</v>
      </c>
      <c r="HM6">
        <v>16273.2</v>
      </c>
      <c r="HN6">
        <v>16291.8</v>
      </c>
      <c r="HO6">
        <v>16350.2</v>
      </c>
    </row>
    <row r="7" spans="1:223" x14ac:dyDescent="0.35">
      <c r="A7" s="56" t="s">
        <v>2242</v>
      </c>
      <c r="B7" s="56">
        <v>19.443999999999999</v>
      </c>
      <c r="C7" s="56">
        <v>19.658999999999999</v>
      </c>
      <c r="D7" s="56">
        <v>19.850999999999999</v>
      </c>
      <c r="E7" s="56">
        <v>20.108000000000001</v>
      </c>
      <c r="F7" s="56">
        <v>20.298999999999999</v>
      </c>
      <c r="G7" s="56">
        <v>20.53</v>
      </c>
      <c r="H7" s="56">
        <v>20.731999999999999</v>
      </c>
      <c r="I7" s="56">
        <v>20.86</v>
      </c>
      <c r="J7" s="56">
        <v>21.08</v>
      </c>
      <c r="K7" s="56">
        <v>21.202000000000002</v>
      </c>
      <c r="L7" s="56">
        <v>21.388000000000002</v>
      </c>
      <c r="M7" s="56">
        <v>21.562000000000001</v>
      </c>
      <c r="N7" s="56">
        <v>21.823</v>
      </c>
      <c r="O7" s="56">
        <v>22.242000000000001</v>
      </c>
      <c r="P7" s="56">
        <v>22.646999999999998</v>
      </c>
      <c r="Q7" s="56">
        <v>23.11</v>
      </c>
      <c r="R7" s="56">
        <v>23.797999999999998</v>
      </c>
      <c r="S7" s="56">
        <v>24.472000000000001</v>
      </c>
      <c r="T7" s="56">
        <v>25.132000000000001</v>
      </c>
      <c r="U7" s="56">
        <v>25.771000000000001</v>
      </c>
      <c r="V7" s="56">
        <v>26.256</v>
      </c>
      <c r="W7" s="56">
        <v>26.577999999999999</v>
      </c>
      <c r="X7" s="56">
        <v>27.076000000000001</v>
      </c>
      <c r="Y7" s="56">
        <v>27.53</v>
      </c>
      <c r="Z7" s="56">
        <v>27.832999999999998</v>
      </c>
      <c r="AA7" s="56">
        <v>28.065999999999999</v>
      </c>
      <c r="AB7" s="56">
        <v>28.492000000000001</v>
      </c>
      <c r="AC7" s="56">
        <v>28.942</v>
      </c>
      <c r="AD7" s="56">
        <v>29.465</v>
      </c>
      <c r="AE7" s="56">
        <v>29.969000000000001</v>
      </c>
      <c r="AF7" s="56">
        <v>30.42</v>
      </c>
      <c r="AG7" s="56">
        <v>30.852</v>
      </c>
      <c r="AH7" s="56">
        <v>31.358000000000001</v>
      </c>
      <c r="AI7" s="56">
        <v>32.002000000000002</v>
      </c>
      <c r="AJ7" s="56">
        <v>32.564</v>
      </c>
      <c r="AK7" s="56">
        <v>33.179000000000002</v>
      </c>
      <c r="AL7" s="56">
        <v>33.804000000000002</v>
      </c>
      <c r="AM7" s="56">
        <v>34.728000000000002</v>
      </c>
      <c r="AN7" s="56">
        <v>35.590000000000003</v>
      </c>
      <c r="AO7" s="56">
        <v>36.451000000000001</v>
      </c>
      <c r="AP7" s="56">
        <v>37.545000000000002</v>
      </c>
      <c r="AQ7" s="56">
        <v>38.463999999999999</v>
      </c>
      <c r="AR7" s="56">
        <v>39.363999999999997</v>
      </c>
      <c r="AS7" s="56">
        <v>40.338000000000001</v>
      </c>
      <c r="AT7" s="56">
        <v>41.384</v>
      </c>
      <c r="AU7" s="56">
        <v>42.078000000000003</v>
      </c>
      <c r="AV7" s="56">
        <v>42.771999999999998</v>
      </c>
      <c r="AW7" s="56">
        <v>43.427</v>
      </c>
      <c r="AX7" s="56">
        <v>43.978999999999999</v>
      </c>
      <c r="AY7" s="56">
        <v>44.402000000000001</v>
      </c>
      <c r="AZ7" s="56">
        <v>45.103000000000002</v>
      </c>
      <c r="BA7" s="56">
        <v>45.600999999999999</v>
      </c>
      <c r="BB7" s="56">
        <v>45.978000000000002</v>
      </c>
      <c r="BC7" s="56">
        <v>46.398000000000003</v>
      </c>
      <c r="BD7" s="56">
        <v>47.008000000000003</v>
      </c>
      <c r="BE7" s="56">
        <v>47.317999999999998</v>
      </c>
      <c r="BF7" s="56">
        <v>47.83</v>
      </c>
      <c r="BG7" s="56">
        <v>48.292999999999999</v>
      </c>
      <c r="BH7" s="56">
        <v>48.665999999999997</v>
      </c>
      <c r="BI7" s="56">
        <v>48.966000000000001</v>
      </c>
      <c r="BJ7" s="56">
        <v>49.543999999999997</v>
      </c>
      <c r="BK7" s="56">
        <v>49.945</v>
      </c>
      <c r="BL7" s="56">
        <v>50.337000000000003</v>
      </c>
      <c r="BM7" s="56">
        <v>50.688000000000002</v>
      </c>
      <c r="BN7" s="56">
        <v>51.046999999999997</v>
      </c>
      <c r="BO7" s="56">
        <v>50.993000000000002</v>
      </c>
      <c r="BP7" s="56">
        <v>51.262999999999998</v>
      </c>
      <c r="BQ7" s="56">
        <v>51.573</v>
      </c>
      <c r="BR7" s="56">
        <v>52.061</v>
      </c>
      <c r="BS7" s="56">
        <v>52.564</v>
      </c>
      <c r="BT7" s="56">
        <v>53.061999999999998</v>
      </c>
      <c r="BU7" s="56">
        <v>53.52</v>
      </c>
      <c r="BV7" s="56">
        <v>53.942999999999998</v>
      </c>
      <c r="BW7" s="56">
        <v>54.539000000000001</v>
      </c>
      <c r="BX7" s="56">
        <v>55.210999999999999</v>
      </c>
      <c r="BY7" s="56">
        <v>55.768999999999998</v>
      </c>
      <c r="BZ7" s="56">
        <v>56.41</v>
      </c>
      <c r="CA7" s="56">
        <v>57.17</v>
      </c>
      <c r="CB7" s="56">
        <v>57.506999999999998</v>
      </c>
      <c r="CC7" s="56">
        <v>57.959000000000003</v>
      </c>
      <c r="CD7" s="56">
        <v>58.798999999999999</v>
      </c>
      <c r="CE7" s="56">
        <v>59.332999999999998</v>
      </c>
      <c r="CF7" s="56">
        <v>60.087000000000003</v>
      </c>
      <c r="CG7" s="56">
        <v>60.881999999999998</v>
      </c>
      <c r="CH7" s="56">
        <v>61.201999999999998</v>
      </c>
      <c r="CI7" s="56">
        <v>61.536000000000001</v>
      </c>
      <c r="CJ7" s="56">
        <v>61.954000000000001</v>
      </c>
      <c r="CK7" s="56">
        <v>62.404000000000003</v>
      </c>
      <c r="CL7" s="56">
        <v>62.795000000000002</v>
      </c>
      <c r="CM7" s="56">
        <v>63.212000000000003</v>
      </c>
      <c r="CN7" s="56">
        <v>63.615000000000002</v>
      </c>
      <c r="CO7" s="56">
        <v>64.058999999999997</v>
      </c>
      <c r="CP7" s="56">
        <v>64.441000000000003</v>
      </c>
      <c r="CQ7" s="56">
        <v>64.873999999999995</v>
      </c>
      <c r="CR7" s="56">
        <v>65.155000000000001</v>
      </c>
      <c r="CS7" s="56">
        <v>65.531000000000006</v>
      </c>
      <c r="CT7" s="56">
        <v>65.766000000000005</v>
      </c>
      <c r="CU7" s="56">
        <v>66.132999999999996</v>
      </c>
      <c r="CV7" s="56">
        <v>66.606999999999999</v>
      </c>
      <c r="CW7" s="56">
        <v>66.92</v>
      </c>
      <c r="CX7" s="56">
        <v>67.247</v>
      </c>
      <c r="CY7" s="56">
        <v>67.638999999999996</v>
      </c>
      <c r="CZ7" s="56">
        <v>67.915000000000006</v>
      </c>
      <c r="DA7" s="56">
        <v>68.213999999999999</v>
      </c>
      <c r="DB7" s="56">
        <v>68.593000000000004</v>
      </c>
      <c r="DC7" s="56">
        <v>69.052000000000007</v>
      </c>
      <c r="DD7" s="56">
        <v>69.346000000000004</v>
      </c>
      <c r="DE7" s="56">
        <v>69.819000000000003</v>
      </c>
      <c r="DF7" s="56">
        <v>70.126999999999995</v>
      </c>
      <c r="DG7" s="56">
        <v>70.302999999999997</v>
      </c>
      <c r="DH7" s="56">
        <v>70.488</v>
      </c>
      <c r="DI7" s="56">
        <v>70.709999999999994</v>
      </c>
      <c r="DJ7" s="56">
        <v>70.715000000000003</v>
      </c>
      <c r="DK7" s="56">
        <v>70.843000000000004</v>
      </c>
      <c r="DL7" s="56">
        <v>71.061999999999998</v>
      </c>
      <c r="DM7" s="56">
        <v>71.248999999999995</v>
      </c>
      <c r="DN7" s="56">
        <v>71.39</v>
      </c>
      <c r="DO7" s="56">
        <v>71.796000000000006</v>
      </c>
      <c r="DP7" s="56">
        <v>72.191000000000003</v>
      </c>
      <c r="DQ7" s="56">
        <v>72.629000000000005</v>
      </c>
      <c r="DR7" s="56">
        <v>73.218999999999994</v>
      </c>
      <c r="DS7" s="56">
        <v>73.567999999999998</v>
      </c>
      <c r="DT7" s="56">
        <v>74.042000000000002</v>
      </c>
      <c r="DU7" s="56">
        <v>74.459999999999994</v>
      </c>
      <c r="DV7" s="56">
        <v>75.012</v>
      </c>
      <c r="DW7" s="56">
        <v>75.363</v>
      </c>
      <c r="DX7" s="56">
        <v>75.400999999999996</v>
      </c>
      <c r="DY7" s="56">
        <v>75.432000000000002</v>
      </c>
      <c r="DZ7" s="56">
        <v>75.584000000000003</v>
      </c>
      <c r="EA7" s="56">
        <v>76.144999999999996</v>
      </c>
      <c r="EB7" s="56">
        <v>76.539000000000001</v>
      </c>
      <c r="EC7" s="56">
        <v>76.896000000000001</v>
      </c>
      <c r="ED7" s="56">
        <v>77.483999999999995</v>
      </c>
      <c r="EE7" s="56">
        <v>77.561999999999998</v>
      </c>
      <c r="EF7" s="56">
        <v>78.072999999999993</v>
      </c>
      <c r="EG7" s="56">
        <v>78.456999999999994</v>
      </c>
      <c r="EH7" s="56">
        <v>79.061999999999998</v>
      </c>
      <c r="EI7" s="56">
        <v>79.593999999999994</v>
      </c>
      <c r="EJ7" s="56">
        <v>79.984999999999999</v>
      </c>
      <c r="EK7" s="56">
        <v>80.668999999999997</v>
      </c>
      <c r="EL7" s="56">
        <v>81.138000000000005</v>
      </c>
      <c r="EM7" s="56">
        <v>81.650000000000006</v>
      </c>
      <c r="EN7" s="56">
        <v>82.531999999999996</v>
      </c>
      <c r="EO7" s="56">
        <v>83.188999999999993</v>
      </c>
      <c r="EP7" s="56">
        <v>83.620999999999995</v>
      </c>
      <c r="EQ7" s="56">
        <v>84.355000000000004</v>
      </c>
      <c r="ER7" s="56">
        <v>84.962000000000003</v>
      </c>
      <c r="ES7" s="56">
        <v>84.822000000000003</v>
      </c>
      <c r="ET7" s="56">
        <v>85.596999999999994</v>
      </c>
      <c r="EU7" s="56">
        <v>86.323999999999998</v>
      </c>
      <c r="EV7" s="56">
        <v>86.811999999999998</v>
      </c>
      <c r="EW7" s="56">
        <v>87.694000000000003</v>
      </c>
      <c r="EX7" s="56">
        <v>88.408000000000001</v>
      </c>
      <c r="EY7" s="56">
        <v>89.269000000000005</v>
      </c>
      <c r="EZ7" s="56">
        <v>90.221000000000004</v>
      </c>
      <c r="FA7" s="56">
        <v>88.781000000000006</v>
      </c>
      <c r="FB7" s="56">
        <v>88.180999999999997</v>
      </c>
      <c r="FC7" s="56">
        <v>88.531999999999996</v>
      </c>
      <c r="FD7" s="56">
        <v>89.141999999999996</v>
      </c>
      <c r="FE7" s="56">
        <v>89.83</v>
      </c>
      <c r="FF7" s="56">
        <v>90.177000000000007</v>
      </c>
      <c r="FG7" s="56">
        <v>90.316999999999993</v>
      </c>
      <c r="FH7" s="56">
        <v>90.49</v>
      </c>
      <c r="FI7" s="56">
        <v>91.07</v>
      </c>
      <c r="FJ7" s="56">
        <v>91.834999999999994</v>
      </c>
      <c r="FK7" s="56">
        <v>92.738</v>
      </c>
      <c r="FL7" s="56">
        <v>93.167000000000002</v>
      </c>
      <c r="FM7" s="56">
        <v>93.474999999999994</v>
      </c>
      <c r="FN7" s="56">
        <v>94.093999999999994</v>
      </c>
      <c r="FO7" s="56">
        <v>94.320999999999998</v>
      </c>
      <c r="FP7" s="56">
        <v>94.594999999999999</v>
      </c>
      <c r="FQ7" s="56">
        <v>95.126000000000005</v>
      </c>
      <c r="FR7" s="56">
        <v>95.459000000000003</v>
      </c>
      <c r="FS7" s="56">
        <v>95.507999999999996</v>
      </c>
      <c r="FT7" s="56">
        <v>95.900999999999996</v>
      </c>
      <c r="FU7" s="56">
        <v>96.254000000000005</v>
      </c>
      <c r="FV7" s="56">
        <v>96.695999999999998</v>
      </c>
      <c r="FW7" s="56">
        <v>97.129000000000005</v>
      </c>
      <c r="FX7" s="56">
        <v>97.394000000000005</v>
      </c>
      <c r="FY7" s="56">
        <v>97.265000000000001</v>
      </c>
      <c r="FZ7" s="56">
        <v>96.828999999999994</v>
      </c>
      <c r="GA7" s="56">
        <v>97.311999999999998</v>
      </c>
      <c r="GB7" s="56">
        <v>97.564999999999998</v>
      </c>
      <c r="GC7" s="56">
        <v>97.49</v>
      </c>
      <c r="GD7" s="56">
        <v>97.537999999999997</v>
      </c>
      <c r="GE7" s="56">
        <v>98.156999999999996</v>
      </c>
      <c r="GF7" s="56">
        <v>98.495999999999995</v>
      </c>
      <c r="GG7" s="56">
        <v>98.947000000000003</v>
      </c>
      <c r="GH7" s="56">
        <v>99.524000000000001</v>
      </c>
      <c r="GI7" s="56">
        <v>99.724000000000004</v>
      </c>
      <c r="GJ7" s="56">
        <v>100.07599999999999</v>
      </c>
      <c r="GK7" s="56">
        <v>100.676</v>
      </c>
      <c r="GL7" s="56">
        <v>101.38</v>
      </c>
      <c r="GM7" s="56">
        <v>101.91200000000001</v>
      </c>
      <c r="GN7" s="56">
        <v>102.254</v>
      </c>
      <c r="GO7" s="56">
        <v>102.642</v>
      </c>
      <c r="GP7" s="56">
        <v>102.851</v>
      </c>
      <c r="GQ7" s="56">
        <v>103.426</v>
      </c>
      <c r="GR7" s="56">
        <v>103.675</v>
      </c>
      <c r="GS7" s="56">
        <v>104.083</v>
      </c>
      <c r="GT7" s="56">
        <v>104.404</v>
      </c>
      <c r="GU7" s="56">
        <v>103.988</v>
      </c>
      <c r="GV7" s="56">
        <v>104.83199999999999</v>
      </c>
      <c r="GW7" s="56">
        <v>105.34</v>
      </c>
      <c r="GX7" s="56">
        <v>106.529</v>
      </c>
      <c r="GY7" s="56">
        <v>108.188</v>
      </c>
      <c r="GZ7" s="56">
        <v>109.681</v>
      </c>
      <c r="HA7" s="56">
        <v>111.491</v>
      </c>
      <c r="HB7" s="56">
        <v>113.58499999999999</v>
      </c>
      <c r="HC7">
        <v>115.672</v>
      </c>
      <c r="HD7">
        <v>117.014</v>
      </c>
      <c r="HE7">
        <v>118.172</v>
      </c>
      <c r="HF7">
        <v>119.32</v>
      </c>
      <c r="HG7">
        <v>120.182</v>
      </c>
      <c r="HH7">
        <v>120.983</v>
      </c>
      <c r="HI7">
        <v>121.48</v>
      </c>
      <c r="HJ7">
        <v>122.50700000000001</v>
      </c>
      <c r="HK7">
        <v>123.27500000000001</v>
      </c>
      <c r="HL7">
        <v>123.747</v>
      </c>
      <c r="HM7">
        <v>124.47799999999999</v>
      </c>
      <c r="HN7">
        <v>125.601</v>
      </c>
      <c r="HO7">
        <v>126.249</v>
      </c>
    </row>
    <row r="8" spans="1:223" x14ac:dyDescent="0.35">
      <c r="A8" s="56" t="s">
        <v>2243</v>
      </c>
      <c r="B8" s="56">
        <v>17.722000000000001</v>
      </c>
      <c r="C8" s="56">
        <v>17.956</v>
      </c>
      <c r="D8" s="56">
        <v>18.263000000000002</v>
      </c>
      <c r="E8" s="56">
        <v>18.495000000000001</v>
      </c>
      <c r="F8" s="56">
        <v>19.081</v>
      </c>
      <c r="G8" s="56">
        <v>19.437000000000001</v>
      </c>
      <c r="H8" s="56">
        <v>19.719000000000001</v>
      </c>
      <c r="I8" s="56">
        <v>20.122</v>
      </c>
      <c r="J8" s="56">
        <v>20.952999999999999</v>
      </c>
      <c r="K8" s="56">
        <v>21.166</v>
      </c>
      <c r="L8" s="56">
        <v>21.34</v>
      </c>
      <c r="M8" s="56">
        <v>21.803999999999998</v>
      </c>
      <c r="N8" s="56">
        <v>22.155000000000001</v>
      </c>
      <c r="O8" s="56">
        <v>22.54</v>
      </c>
      <c r="P8" s="56">
        <v>23.006</v>
      </c>
      <c r="Q8" s="56">
        <v>23.498000000000001</v>
      </c>
      <c r="R8" s="56">
        <v>23.739000000000001</v>
      </c>
      <c r="S8" s="56">
        <v>24.167999999999999</v>
      </c>
      <c r="T8" s="56">
        <v>24.873999999999999</v>
      </c>
      <c r="U8" s="56">
        <v>25.7</v>
      </c>
      <c r="V8" s="56">
        <v>26.167000000000002</v>
      </c>
      <c r="W8" s="56">
        <v>26.545999999999999</v>
      </c>
      <c r="X8" s="56">
        <v>26.904</v>
      </c>
      <c r="Y8" s="56">
        <v>27.521999999999998</v>
      </c>
      <c r="Z8" s="56">
        <v>27.923999999999999</v>
      </c>
      <c r="AA8" s="56">
        <v>28.158000000000001</v>
      </c>
      <c r="AB8" s="56">
        <v>28.481000000000002</v>
      </c>
      <c r="AC8" s="56">
        <v>29.242000000000001</v>
      </c>
      <c r="AD8" s="56">
        <v>29.655999999999999</v>
      </c>
      <c r="AE8" s="56">
        <v>29.992999999999999</v>
      </c>
      <c r="AF8" s="56">
        <v>30.140999999999998</v>
      </c>
      <c r="AG8" s="56">
        <v>31.013999999999999</v>
      </c>
      <c r="AH8" s="56">
        <v>31.369</v>
      </c>
      <c r="AI8" s="56">
        <v>31.984999999999999</v>
      </c>
      <c r="AJ8" s="56">
        <v>32.520000000000003</v>
      </c>
      <c r="AK8" s="56">
        <v>33.081000000000003</v>
      </c>
      <c r="AL8" s="56">
        <v>33.691000000000003</v>
      </c>
      <c r="AM8" s="56">
        <v>34.200000000000003</v>
      </c>
      <c r="AN8" s="56">
        <v>34.997999999999998</v>
      </c>
      <c r="AO8" s="56">
        <v>35.768000000000001</v>
      </c>
      <c r="AP8" s="56">
        <v>36.475000000000001</v>
      </c>
      <c r="AQ8" s="56">
        <v>37.884999999999998</v>
      </c>
      <c r="AR8" s="56">
        <v>38.268999999999998</v>
      </c>
      <c r="AS8" s="56">
        <v>39.420999999999999</v>
      </c>
      <c r="AT8" s="56">
        <v>40.209000000000003</v>
      </c>
      <c r="AU8" s="56">
        <v>41.143999999999998</v>
      </c>
      <c r="AV8" s="56">
        <v>42.045999999999999</v>
      </c>
      <c r="AW8" s="56">
        <v>42.851999999999997</v>
      </c>
      <c r="AX8" s="56">
        <v>43.536000000000001</v>
      </c>
      <c r="AY8" s="56">
        <v>44.399000000000001</v>
      </c>
      <c r="AZ8" s="56">
        <v>44.771000000000001</v>
      </c>
      <c r="BA8" s="56">
        <v>45.3</v>
      </c>
      <c r="BB8" s="56">
        <v>45.384999999999998</v>
      </c>
      <c r="BC8" s="56">
        <v>45.734999999999999</v>
      </c>
      <c r="BD8" s="56">
        <v>46.241999999999997</v>
      </c>
      <c r="BE8" s="56">
        <v>46.543999999999997</v>
      </c>
      <c r="BF8" s="56">
        <v>47.146999999999998</v>
      </c>
      <c r="BG8" s="56">
        <v>47.616999999999997</v>
      </c>
      <c r="BH8" s="56">
        <v>48.325000000000003</v>
      </c>
      <c r="BI8" s="56">
        <v>48.92</v>
      </c>
      <c r="BJ8" s="56">
        <v>48.725000000000001</v>
      </c>
      <c r="BK8" s="56">
        <v>48.84</v>
      </c>
      <c r="BL8" s="56">
        <v>49.100999999999999</v>
      </c>
      <c r="BM8" s="56">
        <v>49.423000000000002</v>
      </c>
      <c r="BN8" s="56">
        <v>49.298000000000002</v>
      </c>
      <c r="BO8" s="56">
        <v>49.174999999999997</v>
      </c>
      <c r="BP8" s="56">
        <v>49.244999999999997</v>
      </c>
      <c r="BQ8" s="56">
        <v>49.3</v>
      </c>
      <c r="BR8" s="56">
        <v>49.216999999999999</v>
      </c>
      <c r="BS8" s="56">
        <v>49.45</v>
      </c>
      <c r="BT8" s="56">
        <v>49.808</v>
      </c>
      <c r="BU8" s="56">
        <v>49.911999999999999</v>
      </c>
      <c r="BV8" s="56">
        <v>50.593000000000004</v>
      </c>
      <c r="BW8" s="56">
        <v>51.09</v>
      </c>
      <c r="BX8" s="56">
        <v>51.381999999999998</v>
      </c>
      <c r="BY8" s="56">
        <v>51.795999999999999</v>
      </c>
      <c r="BZ8" s="56">
        <v>52.18</v>
      </c>
      <c r="CA8" s="56">
        <v>52.563000000000002</v>
      </c>
      <c r="CB8" s="56">
        <v>52.825000000000003</v>
      </c>
      <c r="CC8" s="56">
        <v>53.014000000000003</v>
      </c>
      <c r="CD8" s="56">
        <v>53.386000000000003</v>
      </c>
      <c r="CE8" s="56">
        <v>54.302999999999997</v>
      </c>
      <c r="CF8" s="56">
        <v>54.375999999999998</v>
      </c>
      <c r="CG8" s="56">
        <v>55.023000000000003</v>
      </c>
      <c r="CH8" s="56">
        <v>55.517000000000003</v>
      </c>
      <c r="CI8" s="56">
        <v>55.79</v>
      </c>
      <c r="CJ8" s="56">
        <v>56.508000000000003</v>
      </c>
      <c r="CK8" s="56">
        <v>57.079000000000001</v>
      </c>
      <c r="CL8" s="56">
        <v>57.162999999999997</v>
      </c>
      <c r="CM8" s="56">
        <v>57.371000000000002</v>
      </c>
      <c r="CN8" s="56">
        <v>57.872</v>
      </c>
      <c r="CO8" s="56">
        <v>58.234999999999999</v>
      </c>
      <c r="CP8" s="56">
        <v>58.381</v>
      </c>
      <c r="CQ8" s="56">
        <v>58.637</v>
      </c>
      <c r="CR8" s="56">
        <v>59.061999999999998</v>
      </c>
      <c r="CS8" s="56">
        <v>59.591000000000001</v>
      </c>
      <c r="CT8" s="56">
        <v>59.865000000000002</v>
      </c>
      <c r="CU8" s="56">
        <v>60.366999999999997</v>
      </c>
      <c r="CV8" s="56">
        <v>60.713000000000001</v>
      </c>
      <c r="CW8" s="56">
        <v>61.212000000000003</v>
      </c>
      <c r="CX8" s="56">
        <v>61.728000000000002</v>
      </c>
      <c r="CY8" s="56">
        <v>62.139000000000003</v>
      </c>
      <c r="CZ8" s="56">
        <v>62.460999999999999</v>
      </c>
      <c r="DA8" s="56">
        <v>63.323</v>
      </c>
      <c r="DB8" s="56">
        <v>63.472000000000001</v>
      </c>
      <c r="DC8" s="56">
        <v>63.131999999999998</v>
      </c>
      <c r="DD8" s="56">
        <v>63.499000000000002</v>
      </c>
      <c r="DE8" s="56">
        <v>63.716000000000001</v>
      </c>
      <c r="DF8" s="56">
        <v>63.933999999999997</v>
      </c>
      <c r="DG8" s="56">
        <v>64.353999999999999</v>
      </c>
      <c r="DH8" s="56">
        <v>64.503</v>
      </c>
      <c r="DI8" s="56">
        <v>64.953999999999994</v>
      </c>
      <c r="DJ8" s="56">
        <v>64.682000000000002</v>
      </c>
      <c r="DK8" s="56">
        <v>65.099000000000004</v>
      </c>
      <c r="DL8" s="56">
        <v>65.524000000000001</v>
      </c>
      <c r="DM8" s="56">
        <v>65.734999999999999</v>
      </c>
      <c r="DN8" s="56">
        <v>65.947000000000003</v>
      </c>
      <c r="DO8" s="56">
        <v>66.503</v>
      </c>
      <c r="DP8" s="56">
        <v>67.105999999999995</v>
      </c>
      <c r="DQ8" s="56">
        <v>67.930999999999997</v>
      </c>
      <c r="DR8" s="56">
        <v>68.593000000000004</v>
      </c>
      <c r="DS8" s="56">
        <v>68.855999999999995</v>
      </c>
      <c r="DT8" s="56">
        <v>69.349000000000004</v>
      </c>
      <c r="DU8" s="56">
        <v>69.662000000000006</v>
      </c>
      <c r="DV8" s="56">
        <v>69.781999999999996</v>
      </c>
      <c r="DW8" s="56">
        <v>70.147999999999996</v>
      </c>
      <c r="DX8" s="56">
        <v>70.596999999999994</v>
      </c>
      <c r="DY8" s="56">
        <v>71.055000000000007</v>
      </c>
      <c r="DZ8" s="56">
        <v>71.515000000000001</v>
      </c>
      <c r="EA8" s="56">
        <v>72.191000000000003</v>
      </c>
      <c r="EB8" s="56">
        <v>72.811000000000007</v>
      </c>
      <c r="EC8" s="56">
        <v>74.161000000000001</v>
      </c>
      <c r="ED8" s="56">
        <v>74.965000000000003</v>
      </c>
      <c r="EE8" s="56">
        <v>75.498999999999995</v>
      </c>
      <c r="EF8" s="56">
        <v>76.182000000000002</v>
      </c>
      <c r="EG8" s="56">
        <v>76.751999999999995</v>
      </c>
      <c r="EH8" s="56">
        <v>77.405000000000001</v>
      </c>
      <c r="EI8" s="56">
        <v>78.076999999999998</v>
      </c>
      <c r="EJ8" s="56">
        <v>78.792000000000002</v>
      </c>
      <c r="EK8" s="56">
        <v>79.558999999999997</v>
      </c>
      <c r="EL8" s="56">
        <v>80.605999999999995</v>
      </c>
      <c r="EM8" s="56">
        <v>81.332999999999998</v>
      </c>
      <c r="EN8" s="56">
        <v>82.182000000000002</v>
      </c>
      <c r="EO8" s="56">
        <v>82.772000000000006</v>
      </c>
      <c r="EP8" s="56">
        <v>83.468999999999994</v>
      </c>
      <c r="EQ8" s="56">
        <v>84.051000000000002</v>
      </c>
      <c r="ER8" s="56">
        <v>84.673000000000002</v>
      </c>
      <c r="ES8" s="56">
        <v>85.114000000000004</v>
      </c>
      <c r="ET8" s="56">
        <v>85.841999999999999</v>
      </c>
      <c r="EU8" s="56">
        <v>86.528000000000006</v>
      </c>
      <c r="EV8" s="56">
        <v>87.123999999999995</v>
      </c>
      <c r="EW8" s="56">
        <v>87.822000000000003</v>
      </c>
      <c r="EX8" s="56">
        <v>88.563000000000002</v>
      </c>
      <c r="EY8" s="56">
        <v>89.47</v>
      </c>
      <c r="EZ8" s="56">
        <v>90.141000000000005</v>
      </c>
      <c r="FA8" s="56">
        <v>89.712000000000003</v>
      </c>
      <c r="FB8" s="56">
        <v>88.959000000000003</v>
      </c>
      <c r="FC8" s="56">
        <v>88.974999999999994</v>
      </c>
      <c r="FD8" s="56">
        <v>89.247</v>
      </c>
      <c r="FE8" s="56">
        <v>89.933000000000007</v>
      </c>
      <c r="FF8" s="56">
        <v>90.506</v>
      </c>
      <c r="FG8" s="56">
        <v>91.2</v>
      </c>
      <c r="FH8" s="56">
        <v>91.561999999999998</v>
      </c>
      <c r="FI8" s="56">
        <v>92.307000000000002</v>
      </c>
      <c r="FJ8" s="56">
        <v>93.135999999999996</v>
      </c>
      <c r="FK8" s="56">
        <v>93.978999999999999</v>
      </c>
      <c r="FL8" s="56">
        <v>94.305999999999997</v>
      </c>
      <c r="FM8" s="56">
        <v>94.18</v>
      </c>
      <c r="FN8" s="56">
        <v>94.506</v>
      </c>
      <c r="FO8" s="56">
        <v>94.715000000000003</v>
      </c>
      <c r="FP8" s="56">
        <v>94.897000000000006</v>
      </c>
      <c r="FQ8" s="56">
        <v>95.013000000000005</v>
      </c>
      <c r="FR8" s="56">
        <v>94.947000000000003</v>
      </c>
      <c r="FS8" s="56">
        <v>95.102000000000004</v>
      </c>
      <c r="FT8" s="56">
        <v>95.436000000000007</v>
      </c>
      <c r="FU8" s="56">
        <v>96.903999999999996</v>
      </c>
      <c r="FV8" s="56">
        <v>96.649000000000001</v>
      </c>
      <c r="FW8" s="56">
        <v>97.057000000000002</v>
      </c>
      <c r="FX8" s="56">
        <v>97.513000000000005</v>
      </c>
      <c r="FY8" s="56">
        <v>97.641999999999996</v>
      </c>
      <c r="FZ8" s="56">
        <v>97.451999999999998</v>
      </c>
      <c r="GA8" s="56">
        <v>97.641000000000005</v>
      </c>
      <c r="GB8" s="56">
        <v>97.73</v>
      </c>
      <c r="GC8" s="56">
        <v>97.611000000000004</v>
      </c>
      <c r="GD8" s="56">
        <v>97.503</v>
      </c>
      <c r="GE8" s="56">
        <v>98.022000000000006</v>
      </c>
      <c r="GF8" s="56">
        <v>98.403999999999996</v>
      </c>
      <c r="GG8" s="56">
        <v>98.891000000000005</v>
      </c>
      <c r="GH8" s="56">
        <v>99.36</v>
      </c>
      <c r="GI8" s="56">
        <v>99.682000000000002</v>
      </c>
      <c r="GJ8" s="56">
        <v>100.12</v>
      </c>
      <c r="GK8" s="56">
        <v>100.83799999999999</v>
      </c>
      <c r="GL8" s="56">
        <v>101.798</v>
      </c>
      <c r="GM8" s="56">
        <v>102.497</v>
      </c>
      <c r="GN8" s="56">
        <v>103.027</v>
      </c>
      <c r="GO8" s="56">
        <v>103.77800000000001</v>
      </c>
      <c r="GP8" s="56">
        <v>104.73099999999999</v>
      </c>
      <c r="GQ8" s="56">
        <v>104.03400000000001</v>
      </c>
      <c r="GR8" s="56">
        <v>104.131</v>
      </c>
      <c r="GS8" s="56">
        <v>104.51</v>
      </c>
      <c r="GT8" s="56">
        <v>104.82599999999999</v>
      </c>
      <c r="GU8" s="56">
        <v>104.893</v>
      </c>
      <c r="GV8" s="56">
        <v>105.46599999999999</v>
      </c>
      <c r="GW8" s="56">
        <v>106.253</v>
      </c>
      <c r="GX8" s="56">
        <v>107.069</v>
      </c>
      <c r="GY8" s="56">
        <v>108.223</v>
      </c>
      <c r="GZ8" s="56">
        <v>109.501</v>
      </c>
      <c r="HA8" s="56">
        <v>110.85599999999999</v>
      </c>
      <c r="HB8" s="56">
        <v>112.633</v>
      </c>
      <c r="HC8">
        <v>114.685</v>
      </c>
      <c r="HD8">
        <v>116.184</v>
      </c>
      <c r="HE8">
        <v>117.371</v>
      </c>
      <c r="HF8">
        <v>118.61</v>
      </c>
      <c r="HG8">
        <v>119.63500000000001</v>
      </c>
      <c r="HH8">
        <v>120.759</v>
      </c>
      <c r="HI8">
        <v>121.899</v>
      </c>
      <c r="HJ8">
        <v>122.967</v>
      </c>
      <c r="HK8">
        <v>123.825</v>
      </c>
      <c r="HL8">
        <v>124.57599999999999</v>
      </c>
      <c r="HM8">
        <v>125.398</v>
      </c>
      <c r="HN8">
        <v>127.14100000000001</v>
      </c>
      <c r="HO8">
        <v>129.03800000000001</v>
      </c>
    </row>
    <row r="9" spans="1:223" x14ac:dyDescent="0.35">
      <c r="A9" s="56" t="s">
        <v>2244</v>
      </c>
      <c r="B9" s="56">
        <v>12.676</v>
      </c>
      <c r="C9" s="56">
        <v>12.944000000000001</v>
      </c>
      <c r="D9" s="56">
        <v>13.178000000000001</v>
      </c>
      <c r="E9" s="56">
        <v>13.428000000000001</v>
      </c>
      <c r="F9" s="56">
        <v>13.733000000000001</v>
      </c>
      <c r="G9" s="56">
        <v>13.981</v>
      </c>
      <c r="H9" s="56">
        <v>14.178000000000001</v>
      </c>
      <c r="I9" s="56">
        <v>14.333</v>
      </c>
      <c r="J9" s="56">
        <v>14.654</v>
      </c>
      <c r="K9" s="56">
        <v>14.827</v>
      </c>
      <c r="L9" s="56">
        <v>15.052</v>
      </c>
      <c r="M9" s="56">
        <v>15.259</v>
      </c>
      <c r="N9" s="56">
        <v>15.558999999999999</v>
      </c>
      <c r="O9" s="56">
        <v>15.836</v>
      </c>
      <c r="P9" s="56">
        <v>16.048999999999999</v>
      </c>
      <c r="Q9" s="56">
        <v>16.353000000000002</v>
      </c>
      <c r="R9" s="56">
        <v>16.827999999999999</v>
      </c>
      <c r="S9" s="56">
        <v>17.413</v>
      </c>
      <c r="T9" s="56">
        <v>18.047999999999998</v>
      </c>
      <c r="U9" s="56">
        <v>18.579000000000001</v>
      </c>
      <c r="V9" s="56">
        <v>18.952999999999999</v>
      </c>
      <c r="W9" s="56">
        <v>19.329000000000001</v>
      </c>
      <c r="X9" s="56">
        <v>19.576000000000001</v>
      </c>
      <c r="Y9" s="56">
        <v>19.826000000000001</v>
      </c>
      <c r="Z9" s="56">
        <v>20.05</v>
      </c>
      <c r="AA9" s="56">
        <v>20.292999999999999</v>
      </c>
      <c r="AB9" s="56">
        <v>20.443999999999999</v>
      </c>
      <c r="AC9" s="56">
        <v>20.689</v>
      </c>
      <c r="AD9" s="56">
        <v>21.079000000000001</v>
      </c>
      <c r="AE9" s="56">
        <v>21.456</v>
      </c>
      <c r="AF9" s="56">
        <v>21.821000000000002</v>
      </c>
      <c r="AG9" s="56">
        <v>22.189</v>
      </c>
      <c r="AH9" s="56">
        <v>22.503</v>
      </c>
      <c r="AI9" s="56">
        <v>22.879000000000001</v>
      </c>
      <c r="AJ9" s="56">
        <v>23.227</v>
      </c>
      <c r="AK9" s="56">
        <v>23.56</v>
      </c>
      <c r="AL9" s="56">
        <v>24.120999999999999</v>
      </c>
      <c r="AM9" s="56">
        <v>24.672999999999998</v>
      </c>
      <c r="AN9" s="56">
        <v>25.509</v>
      </c>
      <c r="AO9" s="56">
        <v>26.007000000000001</v>
      </c>
      <c r="AP9" s="56">
        <v>26.684000000000001</v>
      </c>
      <c r="AQ9" s="56">
        <v>27.417000000000002</v>
      </c>
      <c r="AR9" s="56">
        <v>28.207999999999998</v>
      </c>
      <c r="AS9" s="56">
        <v>28.975999999999999</v>
      </c>
      <c r="AT9" s="56">
        <v>29.917000000000002</v>
      </c>
      <c r="AU9" s="56">
        <v>30.562000000000001</v>
      </c>
      <c r="AV9" s="56">
        <v>30.977</v>
      </c>
      <c r="AW9" s="56">
        <v>31.466000000000001</v>
      </c>
      <c r="AX9" s="56">
        <v>31.997</v>
      </c>
      <c r="AY9" s="56">
        <v>32.511000000000003</v>
      </c>
      <c r="AZ9" s="56">
        <v>33.021000000000001</v>
      </c>
      <c r="BA9" s="56">
        <v>33.441000000000003</v>
      </c>
      <c r="BB9" s="56">
        <v>33.680999999999997</v>
      </c>
      <c r="BC9" s="56">
        <v>34.051000000000002</v>
      </c>
      <c r="BD9" s="56">
        <v>34.381</v>
      </c>
      <c r="BE9" s="56">
        <v>34.642000000000003</v>
      </c>
      <c r="BF9" s="56">
        <v>35.145000000000003</v>
      </c>
      <c r="BG9" s="56">
        <v>35.478999999999999</v>
      </c>
      <c r="BH9" s="56">
        <v>35.81</v>
      </c>
      <c r="BI9" s="56">
        <v>36.165999999999997</v>
      </c>
      <c r="BJ9" s="56">
        <v>36.593000000000004</v>
      </c>
      <c r="BK9" s="56">
        <v>36.953000000000003</v>
      </c>
      <c r="BL9" s="56">
        <v>37.259</v>
      </c>
      <c r="BM9" s="56">
        <v>37.603999999999999</v>
      </c>
      <c r="BN9" s="56">
        <v>37.76</v>
      </c>
      <c r="BO9" s="56">
        <v>37.927</v>
      </c>
      <c r="BP9" s="56">
        <v>38.255000000000003</v>
      </c>
      <c r="BQ9" s="56">
        <v>38.741</v>
      </c>
      <c r="BR9" s="56">
        <v>39.295000000000002</v>
      </c>
      <c r="BS9" s="56">
        <v>39.776000000000003</v>
      </c>
      <c r="BT9" s="56">
        <v>40.252000000000002</v>
      </c>
      <c r="BU9" s="56">
        <v>40.491</v>
      </c>
      <c r="BV9" s="56">
        <v>40.698999999999998</v>
      </c>
      <c r="BW9" s="56">
        <v>41.095999999999997</v>
      </c>
      <c r="BX9" s="56">
        <v>41.442999999999998</v>
      </c>
      <c r="BY9" s="56">
        <v>41.917999999999999</v>
      </c>
      <c r="BZ9" s="56">
        <v>42.469000000000001</v>
      </c>
      <c r="CA9" s="56">
        <v>43.045999999999999</v>
      </c>
      <c r="CB9" s="56">
        <v>43.45</v>
      </c>
      <c r="CC9" s="56">
        <v>44.011000000000003</v>
      </c>
      <c r="CD9" s="56">
        <v>44.634</v>
      </c>
      <c r="CE9" s="56">
        <v>45.094000000000001</v>
      </c>
      <c r="CF9" s="56">
        <v>45.707000000000001</v>
      </c>
      <c r="CG9" s="56">
        <v>46.427</v>
      </c>
      <c r="CH9" s="56">
        <v>46.622</v>
      </c>
      <c r="CI9" s="56">
        <v>46.904000000000003</v>
      </c>
      <c r="CJ9" s="56">
        <v>47.29</v>
      </c>
      <c r="CK9" s="56">
        <v>47.703000000000003</v>
      </c>
      <c r="CL9" s="56">
        <v>48.042999999999999</v>
      </c>
      <c r="CM9" s="56">
        <v>48.616999999999997</v>
      </c>
      <c r="CN9" s="56">
        <v>48.975000000000001</v>
      </c>
      <c r="CO9" s="56">
        <v>49.31</v>
      </c>
      <c r="CP9" s="56">
        <v>49.597000000000001</v>
      </c>
      <c r="CQ9" s="56">
        <v>49.889000000000003</v>
      </c>
      <c r="CR9" s="56">
        <v>50.030999999999999</v>
      </c>
      <c r="CS9" s="56">
        <v>50.283000000000001</v>
      </c>
      <c r="CT9" s="56">
        <v>50.694000000000003</v>
      </c>
      <c r="CU9" s="56">
        <v>50.975000000000001</v>
      </c>
      <c r="CV9" s="56">
        <v>51.420999999999999</v>
      </c>
      <c r="CW9" s="56">
        <v>51.856999999999999</v>
      </c>
      <c r="CX9" s="56">
        <v>52.146000000000001</v>
      </c>
      <c r="CY9" s="56">
        <v>52.542000000000002</v>
      </c>
      <c r="CZ9" s="56">
        <v>52.758000000000003</v>
      </c>
      <c r="DA9" s="56">
        <v>52.96</v>
      </c>
      <c r="DB9" s="56">
        <v>53.488999999999997</v>
      </c>
      <c r="DC9" s="56">
        <v>53.561</v>
      </c>
      <c r="DD9" s="56">
        <v>53.899000000000001</v>
      </c>
      <c r="DE9" s="56">
        <v>54.286000000000001</v>
      </c>
      <c r="DF9" s="56">
        <v>54.646000000000001</v>
      </c>
      <c r="DG9" s="56">
        <v>54.823</v>
      </c>
      <c r="DH9" s="56">
        <v>55.061</v>
      </c>
      <c r="DI9" s="56">
        <v>55.493000000000002</v>
      </c>
      <c r="DJ9" s="56">
        <v>55.567</v>
      </c>
      <c r="DK9" s="56">
        <v>55.813000000000002</v>
      </c>
      <c r="DL9" s="56">
        <v>56.231000000000002</v>
      </c>
      <c r="DM9" s="56">
        <v>56.701000000000001</v>
      </c>
      <c r="DN9" s="56">
        <v>57.134999999999998</v>
      </c>
      <c r="DO9" s="56">
        <v>57.908999999999999</v>
      </c>
      <c r="DP9" s="56">
        <v>58.603999999999999</v>
      </c>
      <c r="DQ9" s="56">
        <v>59.277000000000001</v>
      </c>
      <c r="DR9" s="56">
        <v>60.033999999999999</v>
      </c>
      <c r="DS9" s="56">
        <v>60.671999999999997</v>
      </c>
      <c r="DT9" s="56">
        <v>61.323999999999998</v>
      </c>
      <c r="DU9" s="56">
        <v>62.09</v>
      </c>
      <c r="DV9" s="56">
        <v>62.832000000000001</v>
      </c>
      <c r="DW9" s="56">
        <v>63.076999999999998</v>
      </c>
      <c r="DX9" s="56">
        <v>63.241</v>
      </c>
      <c r="DY9" s="56">
        <v>63.363</v>
      </c>
      <c r="DZ9" s="56">
        <v>63.735999999999997</v>
      </c>
      <c r="EA9" s="56">
        <v>64.311000000000007</v>
      </c>
      <c r="EB9" s="56">
        <v>64.778000000000006</v>
      </c>
      <c r="EC9" s="56">
        <v>65.325000000000003</v>
      </c>
      <c r="ED9" s="56">
        <v>66.256</v>
      </c>
      <c r="EE9" s="56">
        <v>66.307000000000002</v>
      </c>
      <c r="EF9" s="56">
        <v>66.747</v>
      </c>
      <c r="EG9" s="56">
        <v>67.272999999999996</v>
      </c>
      <c r="EH9" s="56">
        <v>68.131</v>
      </c>
      <c r="EI9" s="56">
        <v>69.108000000000004</v>
      </c>
      <c r="EJ9" s="56">
        <v>70.224000000000004</v>
      </c>
      <c r="EK9" s="56">
        <v>71.438999999999993</v>
      </c>
      <c r="EL9" s="56">
        <v>72.085999999999999</v>
      </c>
      <c r="EM9" s="56">
        <v>73.010000000000005</v>
      </c>
      <c r="EN9" s="56">
        <v>74.180000000000007</v>
      </c>
      <c r="EO9" s="56">
        <v>75.391000000000005</v>
      </c>
      <c r="EP9" s="56">
        <v>75.930000000000007</v>
      </c>
      <c r="EQ9" s="56">
        <v>77.102999999999994</v>
      </c>
      <c r="ER9" s="56">
        <v>77.885999999999996</v>
      </c>
      <c r="ES9" s="56">
        <v>78.707999999999998</v>
      </c>
      <c r="ET9" s="56">
        <v>80.213999999999999</v>
      </c>
      <c r="EU9" s="56">
        <v>81.082999999999998</v>
      </c>
      <c r="EV9" s="56">
        <v>81.971000000000004</v>
      </c>
      <c r="EW9" s="56">
        <v>83.146000000000001</v>
      </c>
      <c r="EX9" s="56">
        <v>84.486000000000004</v>
      </c>
      <c r="EY9" s="56">
        <v>85.668999999999997</v>
      </c>
      <c r="EZ9" s="56">
        <v>86.826999999999998</v>
      </c>
      <c r="FA9" s="56">
        <v>85.784000000000006</v>
      </c>
      <c r="FB9" s="56">
        <v>84.68</v>
      </c>
      <c r="FC9" s="56">
        <v>84.875</v>
      </c>
      <c r="FD9" s="56">
        <v>85.316999999999993</v>
      </c>
      <c r="FE9" s="56">
        <v>85.932000000000002</v>
      </c>
      <c r="FF9" s="56">
        <v>86.789000000000001</v>
      </c>
      <c r="FG9" s="56">
        <v>87.373000000000005</v>
      </c>
      <c r="FH9" s="56">
        <v>87.834000000000003</v>
      </c>
      <c r="FI9" s="56">
        <v>88.572999999999993</v>
      </c>
      <c r="FJ9" s="56">
        <v>89.474000000000004</v>
      </c>
      <c r="FK9" s="56">
        <v>90.561999999999998</v>
      </c>
      <c r="FL9" s="56">
        <v>91.025000000000006</v>
      </c>
      <c r="FM9" s="56">
        <v>90.912999999999997</v>
      </c>
      <c r="FN9" s="56">
        <v>92.015000000000001</v>
      </c>
      <c r="FO9" s="56">
        <v>92.024000000000001</v>
      </c>
      <c r="FP9" s="56">
        <v>92.572000000000003</v>
      </c>
      <c r="FQ9" s="56">
        <v>93.706000000000003</v>
      </c>
      <c r="FR9" s="56">
        <v>94.775000000000006</v>
      </c>
      <c r="FS9" s="56">
        <v>95.259</v>
      </c>
      <c r="FT9" s="56">
        <v>96.013000000000005</v>
      </c>
      <c r="FU9" s="56">
        <v>96.567999999999998</v>
      </c>
      <c r="FV9" s="56">
        <v>97.34</v>
      </c>
      <c r="FW9" s="56">
        <v>97.641999999999996</v>
      </c>
      <c r="FX9" s="56">
        <v>98.161000000000001</v>
      </c>
      <c r="FY9" s="56">
        <v>98.075000000000003</v>
      </c>
      <c r="FZ9" s="56">
        <v>97.174000000000007</v>
      </c>
      <c r="GA9" s="56">
        <v>97.783000000000001</v>
      </c>
      <c r="GB9" s="56">
        <v>97.844999999999999</v>
      </c>
      <c r="GC9" s="56">
        <v>97.466999999999999</v>
      </c>
      <c r="GD9" s="56">
        <v>96.685000000000002</v>
      </c>
      <c r="GE9" s="56">
        <v>97.415999999999997</v>
      </c>
      <c r="GF9" s="56">
        <v>97.721999999999994</v>
      </c>
      <c r="GG9" s="56">
        <v>98.197999999999993</v>
      </c>
      <c r="GH9" s="56">
        <v>99.103999999999999</v>
      </c>
      <c r="GI9" s="56">
        <v>99.283000000000001</v>
      </c>
      <c r="GJ9" s="56">
        <v>100.164</v>
      </c>
      <c r="GK9" s="56">
        <v>101.44799999999999</v>
      </c>
      <c r="GL9" s="56">
        <v>102.759</v>
      </c>
      <c r="GM9" s="56">
        <v>103.807</v>
      </c>
      <c r="GN9" s="56">
        <v>104.739</v>
      </c>
      <c r="GO9" s="56">
        <v>105.197</v>
      </c>
      <c r="GP9" s="56">
        <v>104.68600000000001</v>
      </c>
      <c r="GQ9" s="56">
        <v>105.473</v>
      </c>
      <c r="GR9" s="56">
        <v>105.887</v>
      </c>
      <c r="GS9" s="56">
        <v>106.506</v>
      </c>
      <c r="GT9" s="56">
        <v>107.881</v>
      </c>
      <c r="GU9" s="56">
        <v>107.74</v>
      </c>
      <c r="GV9" s="56">
        <v>109.033</v>
      </c>
      <c r="GW9" s="56">
        <v>110.37</v>
      </c>
      <c r="GX9" s="56">
        <v>112.819</v>
      </c>
      <c r="GY9" s="56">
        <v>115.044</v>
      </c>
      <c r="GZ9" s="56">
        <v>116.893</v>
      </c>
      <c r="HA9" s="56">
        <v>119.203</v>
      </c>
      <c r="HB9" s="56">
        <v>121.961</v>
      </c>
      <c r="HC9">
        <v>126.102</v>
      </c>
      <c r="HD9">
        <v>126.283</v>
      </c>
      <c r="HE9">
        <v>126.64</v>
      </c>
      <c r="HF9">
        <v>125.974</v>
      </c>
      <c r="HG9">
        <v>124.8</v>
      </c>
      <c r="HH9">
        <v>126.041</v>
      </c>
      <c r="HI9">
        <v>126.006</v>
      </c>
      <c r="HJ9">
        <v>127.205</v>
      </c>
      <c r="HK9">
        <v>127.72</v>
      </c>
      <c r="HL9">
        <v>128.476</v>
      </c>
      <c r="HM9">
        <v>129.04400000000001</v>
      </c>
      <c r="HN9">
        <v>130.29300000000001</v>
      </c>
      <c r="HO9">
        <v>130.50899999999999</v>
      </c>
    </row>
    <row r="10" spans="1:223" x14ac:dyDescent="0.35">
      <c r="A10" s="56" t="s">
        <v>2245</v>
      </c>
      <c r="B10" s="56">
        <v>12.117000000000001</v>
      </c>
      <c r="C10" s="56">
        <v>12.358000000000001</v>
      </c>
      <c r="D10" s="56">
        <v>12.576000000000001</v>
      </c>
      <c r="E10" s="56">
        <v>12.788</v>
      </c>
      <c r="F10" s="56">
        <v>13.102</v>
      </c>
      <c r="G10" s="56">
        <v>13.348000000000001</v>
      </c>
      <c r="H10" s="56">
        <v>13.548999999999999</v>
      </c>
      <c r="I10" s="56">
        <v>13.672000000000001</v>
      </c>
      <c r="J10" s="56">
        <v>14.016999999999999</v>
      </c>
      <c r="K10" s="56">
        <v>14.201000000000001</v>
      </c>
      <c r="L10" s="56">
        <v>14.422000000000001</v>
      </c>
      <c r="M10" s="56">
        <v>14.601000000000001</v>
      </c>
      <c r="N10" s="56">
        <v>14.888999999999999</v>
      </c>
      <c r="O10" s="56">
        <v>15.141</v>
      </c>
      <c r="P10" s="56">
        <v>15.316000000000001</v>
      </c>
      <c r="Q10" s="56">
        <v>15.573</v>
      </c>
      <c r="R10" s="56">
        <v>15.951000000000001</v>
      </c>
      <c r="S10" s="56">
        <v>16.38</v>
      </c>
      <c r="T10" s="56">
        <v>16.850999999999999</v>
      </c>
      <c r="U10" s="56">
        <v>17.292000000000002</v>
      </c>
      <c r="V10" s="56">
        <v>17.637</v>
      </c>
      <c r="W10" s="56">
        <v>18.062000000000001</v>
      </c>
      <c r="X10" s="56">
        <v>18.34</v>
      </c>
      <c r="Y10" s="56">
        <v>18.606999999999999</v>
      </c>
      <c r="Z10" s="56">
        <v>18.849</v>
      </c>
      <c r="AA10" s="56">
        <v>19.094999999999999</v>
      </c>
      <c r="AB10" s="56">
        <v>19.262</v>
      </c>
      <c r="AC10" s="56">
        <v>19.516999999999999</v>
      </c>
      <c r="AD10" s="56">
        <v>19.913</v>
      </c>
      <c r="AE10" s="56">
        <v>20.309000000000001</v>
      </c>
      <c r="AF10" s="56">
        <v>20.672000000000001</v>
      </c>
      <c r="AG10" s="56">
        <v>21.050999999999998</v>
      </c>
      <c r="AH10" s="56">
        <v>21.356999999999999</v>
      </c>
      <c r="AI10" s="56">
        <v>21.7</v>
      </c>
      <c r="AJ10" s="56">
        <v>22.01</v>
      </c>
      <c r="AK10" s="56">
        <v>22.305</v>
      </c>
      <c r="AL10" s="56">
        <v>22.853000000000002</v>
      </c>
      <c r="AM10" s="56">
        <v>23.352</v>
      </c>
      <c r="AN10" s="56">
        <v>24.172999999999998</v>
      </c>
      <c r="AO10" s="56">
        <v>24.588000000000001</v>
      </c>
      <c r="AP10" s="56">
        <v>25.22</v>
      </c>
      <c r="AQ10" s="56">
        <v>25.905000000000001</v>
      </c>
      <c r="AR10" s="56">
        <v>26.625</v>
      </c>
      <c r="AS10" s="56">
        <v>27.332999999999998</v>
      </c>
      <c r="AT10" s="56">
        <v>28.25</v>
      </c>
      <c r="AU10" s="56">
        <v>28.84</v>
      </c>
      <c r="AV10" s="56">
        <v>29.184999999999999</v>
      </c>
      <c r="AW10" s="56">
        <v>29.632999999999999</v>
      </c>
      <c r="AX10" s="56">
        <v>30.152000000000001</v>
      </c>
      <c r="AY10" s="56">
        <v>30.632999999999999</v>
      </c>
      <c r="AZ10" s="56">
        <v>31.141999999999999</v>
      </c>
      <c r="BA10" s="56">
        <v>31.609000000000002</v>
      </c>
      <c r="BB10" s="56">
        <v>31.881</v>
      </c>
      <c r="BC10" s="56">
        <v>32.316000000000003</v>
      </c>
      <c r="BD10" s="56">
        <v>32.694000000000003</v>
      </c>
      <c r="BE10" s="56">
        <v>33.000999999999998</v>
      </c>
      <c r="BF10" s="56">
        <v>33.579000000000001</v>
      </c>
      <c r="BG10" s="56">
        <v>33.945</v>
      </c>
      <c r="BH10" s="56">
        <v>34.31</v>
      </c>
      <c r="BI10" s="56">
        <v>34.715000000000003</v>
      </c>
      <c r="BJ10" s="56">
        <v>35.173999999999999</v>
      </c>
      <c r="BK10" s="56">
        <v>35.576000000000001</v>
      </c>
      <c r="BL10" s="56">
        <v>35.905999999999999</v>
      </c>
      <c r="BM10" s="56">
        <v>36.268000000000001</v>
      </c>
      <c r="BN10" s="56">
        <v>36.4</v>
      </c>
      <c r="BO10" s="56">
        <v>36.51</v>
      </c>
      <c r="BP10" s="56">
        <v>36.822000000000003</v>
      </c>
      <c r="BQ10" s="56">
        <v>37.307000000000002</v>
      </c>
      <c r="BR10" s="56">
        <v>37.911999999999999</v>
      </c>
      <c r="BS10" s="56">
        <v>38.409999999999997</v>
      </c>
      <c r="BT10" s="56">
        <v>38.898000000000003</v>
      </c>
      <c r="BU10" s="56">
        <v>39.136000000000003</v>
      </c>
      <c r="BV10" s="56">
        <v>39.308999999999997</v>
      </c>
      <c r="BW10" s="56">
        <v>39.732999999999997</v>
      </c>
      <c r="BX10" s="56">
        <v>40.087000000000003</v>
      </c>
      <c r="BY10" s="56">
        <v>40.606000000000002</v>
      </c>
      <c r="BZ10" s="56">
        <v>41.222000000000001</v>
      </c>
      <c r="CA10" s="56">
        <v>41.835999999999999</v>
      </c>
      <c r="CB10" s="56">
        <v>42.247999999999998</v>
      </c>
      <c r="CC10" s="56">
        <v>42.869</v>
      </c>
      <c r="CD10" s="56">
        <v>43.548000000000002</v>
      </c>
      <c r="CE10" s="56">
        <v>44.012999999999998</v>
      </c>
      <c r="CF10" s="56">
        <v>44.652000000000001</v>
      </c>
      <c r="CG10" s="56">
        <v>45.497999999999998</v>
      </c>
      <c r="CH10" s="56">
        <v>45.713999999999999</v>
      </c>
      <c r="CI10" s="56">
        <v>46.000999999999998</v>
      </c>
      <c r="CJ10" s="56">
        <v>46.44</v>
      </c>
      <c r="CK10" s="56">
        <v>46.969000000000001</v>
      </c>
      <c r="CL10" s="56">
        <v>47.411000000000001</v>
      </c>
      <c r="CM10" s="56">
        <v>48.055999999999997</v>
      </c>
      <c r="CN10" s="56">
        <v>48.466999999999999</v>
      </c>
      <c r="CO10" s="56">
        <v>48.822000000000003</v>
      </c>
      <c r="CP10" s="56">
        <v>49.088999999999999</v>
      </c>
      <c r="CQ10" s="56">
        <v>49.378999999999998</v>
      </c>
      <c r="CR10" s="56">
        <v>49.54</v>
      </c>
      <c r="CS10" s="56">
        <v>49.792999999999999</v>
      </c>
      <c r="CT10" s="56">
        <v>50.21</v>
      </c>
      <c r="CU10" s="56">
        <v>50.502000000000002</v>
      </c>
      <c r="CV10" s="56">
        <v>50.942999999999998</v>
      </c>
      <c r="CW10" s="56">
        <v>51.378</v>
      </c>
      <c r="CX10" s="56">
        <v>51.613999999999997</v>
      </c>
      <c r="CY10" s="56">
        <v>52.011000000000003</v>
      </c>
      <c r="CZ10" s="56">
        <v>52.207999999999998</v>
      </c>
      <c r="DA10" s="56">
        <v>52.384999999999998</v>
      </c>
      <c r="DB10" s="56">
        <v>52.962000000000003</v>
      </c>
      <c r="DC10" s="56">
        <v>53.036999999999999</v>
      </c>
      <c r="DD10" s="56">
        <v>53.387999999999998</v>
      </c>
      <c r="DE10" s="56">
        <v>53.820999999999998</v>
      </c>
      <c r="DF10" s="56">
        <v>54.19</v>
      </c>
      <c r="DG10" s="56">
        <v>54.32</v>
      </c>
      <c r="DH10" s="56">
        <v>54.579000000000001</v>
      </c>
      <c r="DI10" s="56">
        <v>55.024999999999999</v>
      </c>
      <c r="DJ10" s="56">
        <v>55.112000000000002</v>
      </c>
      <c r="DK10" s="56">
        <v>55.405000000000001</v>
      </c>
      <c r="DL10" s="56">
        <v>55.837000000000003</v>
      </c>
      <c r="DM10" s="56">
        <v>56.34</v>
      </c>
      <c r="DN10" s="56">
        <v>56.820999999999998</v>
      </c>
      <c r="DO10" s="56">
        <v>57.673000000000002</v>
      </c>
      <c r="DP10" s="56">
        <v>58.472000000000001</v>
      </c>
      <c r="DQ10" s="56">
        <v>59.185000000000002</v>
      </c>
      <c r="DR10" s="56">
        <v>60.011000000000003</v>
      </c>
      <c r="DS10" s="56">
        <v>60.637999999999998</v>
      </c>
      <c r="DT10" s="56">
        <v>61.35</v>
      </c>
      <c r="DU10" s="56">
        <v>62.213999999999999</v>
      </c>
      <c r="DV10" s="56">
        <v>63.045000000000002</v>
      </c>
      <c r="DW10" s="56">
        <v>63.311</v>
      </c>
      <c r="DX10" s="56">
        <v>63.468000000000004</v>
      </c>
      <c r="DY10" s="56">
        <v>63.537999999999997</v>
      </c>
      <c r="DZ10" s="56">
        <v>63.935000000000002</v>
      </c>
      <c r="EA10" s="56">
        <v>64.566999999999993</v>
      </c>
      <c r="EB10" s="56">
        <v>65.099999999999994</v>
      </c>
      <c r="EC10" s="56">
        <v>65.754999999999995</v>
      </c>
      <c r="ED10" s="56">
        <v>66.789000000000001</v>
      </c>
      <c r="EE10" s="56">
        <v>66.835999999999999</v>
      </c>
      <c r="EF10" s="56">
        <v>67.364999999999995</v>
      </c>
      <c r="EG10" s="56">
        <v>67.98</v>
      </c>
      <c r="EH10" s="56">
        <v>68.947000000000003</v>
      </c>
      <c r="EI10" s="56">
        <v>69.87</v>
      </c>
      <c r="EJ10" s="56">
        <v>70.819000000000003</v>
      </c>
      <c r="EK10" s="56">
        <v>71.933000000000007</v>
      </c>
      <c r="EL10" s="56">
        <v>72.594999999999999</v>
      </c>
      <c r="EM10" s="56">
        <v>73.424000000000007</v>
      </c>
      <c r="EN10" s="56">
        <v>74.492000000000004</v>
      </c>
      <c r="EO10" s="56">
        <v>75.751000000000005</v>
      </c>
      <c r="EP10" s="56">
        <v>76.31</v>
      </c>
      <c r="EQ10" s="56">
        <v>77.367000000000004</v>
      </c>
      <c r="ER10" s="56">
        <v>78.082999999999998</v>
      </c>
      <c r="ES10" s="56">
        <v>78.665999999999997</v>
      </c>
      <c r="ET10" s="56">
        <v>80.055000000000007</v>
      </c>
      <c r="EU10" s="56">
        <v>80.929000000000002</v>
      </c>
      <c r="EV10" s="56">
        <v>81.84</v>
      </c>
      <c r="EW10" s="56">
        <v>83.063999999999993</v>
      </c>
      <c r="EX10" s="56">
        <v>84.537000000000006</v>
      </c>
      <c r="EY10" s="56">
        <v>85.850999999999999</v>
      </c>
      <c r="EZ10" s="56">
        <v>87.024000000000001</v>
      </c>
      <c r="FA10" s="56">
        <v>85.35</v>
      </c>
      <c r="FB10" s="56">
        <v>83.858999999999995</v>
      </c>
      <c r="FC10" s="56">
        <v>84.284000000000006</v>
      </c>
      <c r="FD10" s="56">
        <v>85.016000000000005</v>
      </c>
      <c r="FE10" s="56">
        <v>85.792000000000002</v>
      </c>
      <c r="FF10" s="56">
        <v>86.787999999999997</v>
      </c>
      <c r="FG10" s="56">
        <v>87.418999999999997</v>
      </c>
      <c r="FH10" s="56">
        <v>87.921999999999997</v>
      </c>
      <c r="FI10" s="56">
        <v>88.741</v>
      </c>
      <c r="FJ10" s="56">
        <v>89.727000000000004</v>
      </c>
      <c r="FK10" s="56">
        <v>90.858999999999995</v>
      </c>
      <c r="FL10" s="56">
        <v>91.197999999999993</v>
      </c>
      <c r="FM10" s="56">
        <v>90.867000000000004</v>
      </c>
      <c r="FN10" s="56">
        <v>92.066999999999993</v>
      </c>
      <c r="FO10" s="56">
        <v>91.918999999999997</v>
      </c>
      <c r="FP10" s="56">
        <v>92.477000000000004</v>
      </c>
      <c r="FQ10" s="56">
        <v>93.82</v>
      </c>
      <c r="FR10" s="56">
        <v>95.039000000000001</v>
      </c>
      <c r="FS10" s="56">
        <v>95.528000000000006</v>
      </c>
      <c r="FT10" s="56">
        <v>96.335999999999999</v>
      </c>
      <c r="FU10" s="56">
        <v>96.86</v>
      </c>
      <c r="FV10" s="56">
        <v>97.683000000000007</v>
      </c>
      <c r="FW10" s="56">
        <v>97.96</v>
      </c>
      <c r="FX10" s="56">
        <v>98.494</v>
      </c>
      <c r="FY10" s="56">
        <v>98.355000000000004</v>
      </c>
      <c r="FZ10" s="56">
        <v>97.266999999999996</v>
      </c>
      <c r="GA10" s="56">
        <v>97.921000000000006</v>
      </c>
      <c r="GB10" s="56">
        <v>97.936999999999998</v>
      </c>
      <c r="GC10" s="56">
        <v>97.49</v>
      </c>
      <c r="GD10" s="56">
        <v>96.588999999999999</v>
      </c>
      <c r="GE10" s="56">
        <v>97.31</v>
      </c>
      <c r="GF10" s="56">
        <v>97.668999999999997</v>
      </c>
      <c r="GG10" s="56">
        <v>98.147000000000006</v>
      </c>
      <c r="GH10" s="56">
        <v>99.114999999999995</v>
      </c>
      <c r="GI10" s="56">
        <v>99.218000000000004</v>
      </c>
      <c r="GJ10" s="56">
        <v>100.108</v>
      </c>
      <c r="GK10" s="56">
        <v>101.559</v>
      </c>
      <c r="GL10" s="56">
        <v>102.955</v>
      </c>
      <c r="GM10" s="56">
        <v>103.943</v>
      </c>
      <c r="GN10" s="56">
        <v>104.932</v>
      </c>
      <c r="GO10" s="56">
        <v>105.254</v>
      </c>
      <c r="GP10" s="56">
        <v>104.536</v>
      </c>
      <c r="GQ10" s="56">
        <v>105.249</v>
      </c>
      <c r="GR10" s="56">
        <v>105.65300000000001</v>
      </c>
      <c r="GS10" s="56">
        <v>106.367</v>
      </c>
      <c r="GT10" s="56">
        <v>107.99299999999999</v>
      </c>
      <c r="GU10" s="56">
        <v>107.90900000000001</v>
      </c>
      <c r="GV10" s="56">
        <v>109.255</v>
      </c>
      <c r="GW10" s="56">
        <v>110.767</v>
      </c>
      <c r="GX10" s="56">
        <v>113.40300000000001</v>
      </c>
      <c r="GY10" s="56">
        <v>115.55200000000001</v>
      </c>
      <c r="GZ10" s="56">
        <v>117.274</v>
      </c>
      <c r="HA10" s="56">
        <v>119.352</v>
      </c>
      <c r="HB10" s="56">
        <v>121.953</v>
      </c>
      <c r="HC10">
        <v>126.116</v>
      </c>
      <c r="HD10">
        <v>125.744</v>
      </c>
      <c r="HE10">
        <v>125.813</v>
      </c>
      <c r="HF10">
        <v>124.678</v>
      </c>
      <c r="HG10">
        <v>123.242</v>
      </c>
      <c r="HH10">
        <v>124.699</v>
      </c>
      <c r="HI10">
        <v>124.566</v>
      </c>
      <c r="HJ10">
        <v>125.85899999999999</v>
      </c>
      <c r="HK10">
        <v>126.467</v>
      </c>
      <c r="HL10">
        <v>127.15300000000001</v>
      </c>
      <c r="HM10">
        <v>127.755</v>
      </c>
      <c r="HN10">
        <v>129.06399999999999</v>
      </c>
      <c r="HO10">
        <v>129.291</v>
      </c>
    </row>
    <row r="11" spans="1:223" x14ac:dyDescent="0.35">
      <c r="A11" s="56" t="s">
        <v>2246</v>
      </c>
      <c r="B11" s="56">
        <v>15.584</v>
      </c>
      <c r="C11" s="56">
        <v>15.976000000000001</v>
      </c>
      <c r="D11" s="56">
        <v>16.285</v>
      </c>
      <c r="E11" s="56">
        <v>16.699000000000002</v>
      </c>
      <c r="F11" s="56">
        <v>16.98</v>
      </c>
      <c r="G11" s="56">
        <v>17.251000000000001</v>
      </c>
      <c r="H11" s="56">
        <v>17.439</v>
      </c>
      <c r="I11" s="56">
        <v>17.741</v>
      </c>
      <c r="J11" s="56">
        <v>17.968</v>
      </c>
      <c r="K11" s="56">
        <v>18.094000000000001</v>
      </c>
      <c r="L11" s="56">
        <v>18.344999999999999</v>
      </c>
      <c r="M11" s="56">
        <v>18.687999999999999</v>
      </c>
      <c r="N11" s="56">
        <v>19.047999999999998</v>
      </c>
      <c r="O11" s="56">
        <v>19.449000000000002</v>
      </c>
      <c r="P11" s="56">
        <v>19.844999999999999</v>
      </c>
      <c r="Q11" s="56">
        <v>20.378</v>
      </c>
      <c r="R11" s="56">
        <v>21.323</v>
      </c>
      <c r="S11" s="56">
        <v>22.663</v>
      </c>
      <c r="T11" s="56">
        <v>24.111000000000001</v>
      </c>
      <c r="U11" s="56">
        <v>25.113</v>
      </c>
      <c r="V11" s="56">
        <v>25.648</v>
      </c>
      <c r="W11" s="56">
        <v>25.774000000000001</v>
      </c>
      <c r="X11" s="56">
        <v>25.856000000000002</v>
      </c>
      <c r="Y11" s="56">
        <v>26.013000000000002</v>
      </c>
      <c r="Z11" s="56">
        <v>26.140999999999998</v>
      </c>
      <c r="AA11" s="56">
        <v>26.364999999999998</v>
      </c>
      <c r="AB11" s="56">
        <v>26.422999999999998</v>
      </c>
      <c r="AC11" s="56">
        <v>26.602</v>
      </c>
      <c r="AD11" s="56">
        <v>26.946000000000002</v>
      </c>
      <c r="AE11" s="56">
        <v>27.212</v>
      </c>
      <c r="AF11" s="56">
        <v>27.577999999999999</v>
      </c>
      <c r="AG11" s="56">
        <v>27.873000000000001</v>
      </c>
      <c r="AH11" s="56">
        <v>28.219000000000001</v>
      </c>
      <c r="AI11" s="56">
        <v>28.773</v>
      </c>
      <c r="AJ11" s="56">
        <v>29.324000000000002</v>
      </c>
      <c r="AK11" s="56">
        <v>29.847999999999999</v>
      </c>
      <c r="AL11" s="56">
        <v>30.463000000000001</v>
      </c>
      <c r="AM11" s="56">
        <v>31.29</v>
      </c>
      <c r="AN11" s="56">
        <v>32.204000000000001</v>
      </c>
      <c r="AO11" s="56">
        <v>33.118000000000002</v>
      </c>
      <c r="AP11" s="56">
        <v>34.021999999999998</v>
      </c>
      <c r="AQ11" s="56">
        <v>34.999000000000002</v>
      </c>
      <c r="AR11" s="56">
        <v>36.149000000000001</v>
      </c>
      <c r="AS11" s="56">
        <v>37.219000000000001</v>
      </c>
      <c r="AT11" s="56">
        <v>38.273000000000003</v>
      </c>
      <c r="AU11" s="56">
        <v>39.188000000000002</v>
      </c>
      <c r="AV11" s="56">
        <v>39.991</v>
      </c>
      <c r="AW11" s="56">
        <v>40.703000000000003</v>
      </c>
      <c r="AX11" s="56">
        <v>41.274000000000001</v>
      </c>
      <c r="AY11" s="56">
        <v>41.965000000000003</v>
      </c>
      <c r="AZ11" s="56">
        <v>42.46</v>
      </c>
      <c r="BA11" s="56">
        <v>42.567999999999998</v>
      </c>
      <c r="BB11" s="56">
        <v>42.606999999999999</v>
      </c>
      <c r="BC11" s="56">
        <v>42.55</v>
      </c>
      <c r="BD11" s="56">
        <v>42.573999999999998</v>
      </c>
      <c r="BE11" s="56">
        <v>42.561999999999998</v>
      </c>
      <c r="BF11" s="56">
        <v>42.607999999999997</v>
      </c>
      <c r="BG11" s="56">
        <v>42.759</v>
      </c>
      <c r="BH11" s="56">
        <v>42.896999999999998</v>
      </c>
      <c r="BI11" s="56">
        <v>42.984000000000002</v>
      </c>
      <c r="BJ11" s="56">
        <v>43.222999999999999</v>
      </c>
      <c r="BK11" s="56">
        <v>43.356999999999999</v>
      </c>
      <c r="BL11" s="56">
        <v>43.533999999999999</v>
      </c>
      <c r="BM11" s="56">
        <v>43.793999999999997</v>
      </c>
      <c r="BN11" s="56">
        <v>44.066000000000003</v>
      </c>
      <c r="BO11" s="56">
        <v>44.52</v>
      </c>
      <c r="BP11" s="56">
        <v>44.924999999999997</v>
      </c>
      <c r="BQ11" s="56">
        <v>45.411000000000001</v>
      </c>
      <c r="BR11" s="56">
        <v>45.701999999999998</v>
      </c>
      <c r="BS11" s="56">
        <v>46.087000000000003</v>
      </c>
      <c r="BT11" s="56">
        <v>46.497</v>
      </c>
      <c r="BU11" s="56">
        <v>46.743000000000002</v>
      </c>
      <c r="BV11" s="56">
        <v>47.119</v>
      </c>
      <c r="BW11" s="56">
        <v>47.378999999999998</v>
      </c>
      <c r="BX11" s="56">
        <v>47.685000000000002</v>
      </c>
      <c r="BY11" s="56">
        <v>47.936</v>
      </c>
      <c r="BZ11" s="56">
        <v>48.167999999999999</v>
      </c>
      <c r="CA11" s="56">
        <v>48.558999999999997</v>
      </c>
      <c r="CB11" s="56">
        <v>48.918999999999997</v>
      </c>
      <c r="CC11" s="56">
        <v>49.19</v>
      </c>
      <c r="CD11" s="56">
        <v>49.543999999999997</v>
      </c>
      <c r="CE11" s="56">
        <v>49.981000000000002</v>
      </c>
      <c r="CF11" s="56">
        <v>50.466000000000001</v>
      </c>
      <c r="CG11" s="56">
        <v>50.600999999999999</v>
      </c>
      <c r="CH11" s="56">
        <v>50.7</v>
      </c>
      <c r="CI11" s="56">
        <v>50.960999999999999</v>
      </c>
      <c r="CJ11" s="56">
        <v>51.097000000000001</v>
      </c>
      <c r="CK11" s="56">
        <v>50.969000000000001</v>
      </c>
      <c r="CL11" s="56">
        <v>50.835999999999999</v>
      </c>
      <c r="CM11" s="56">
        <v>51.076000000000001</v>
      </c>
      <c r="CN11" s="56">
        <v>51.180999999999997</v>
      </c>
      <c r="CO11" s="56">
        <v>51.414000000000001</v>
      </c>
      <c r="CP11" s="56">
        <v>51.795999999999999</v>
      </c>
      <c r="CQ11" s="56">
        <v>52.097999999999999</v>
      </c>
      <c r="CR11" s="56">
        <v>52.151000000000003</v>
      </c>
      <c r="CS11" s="56">
        <v>52.395000000000003</v>
      </c>
      <c r="CT11" s="56">
        <v>52.777000000000001</v>
      </c>
      <c r="CU11" s="56">
        <v>53.006</v>
      </c>
      <c r="CV11" s="56">
        <v>53.47</v>
      </c>
      <c r="CW11" s="56">
        <v>53.914999999999999</v>
      </c>
      <c r="CX11" s="56">
        <v>54.453000000000003</v>
      </c>
      <c r="CY11" s="56">
        <v>54.843000000000004</v>
      </c>
      <c r="CZ11" s="56">
        <v>55.145000000000003</v>
      </c>
      <c r="DA11" s="56">
        <v>55.463000000000001</v>
      </c>
      <c r="DB11" s="56">
        <v>55.761000000000003</v>
      </c>
      <c r="DC11" s="56">
        <v>55.822000000000003</v>
      </c>
      <c r="DD11" s="56">
        <v>56.1</v>
      </c>
      <c r="DE11" s="56">
        <v>56.280999999999999</v>
      </c>
      <c r="DF11" s="56">
        <v>56.598999999999997</v>
      </c>
      <c r="DG11" s="56">
        <v>56.984999999999999</v>
      </c>
      <c r="DH11" s="56">
        <v>57.13</v>
      </c>
      <c r="DI11" s="56">
        <v>57.497</v>
      </c>
      <c r="DJ11" s="56">
        <v>57.517000000000003</v>
      </c>
      <c r="DK11" s="56">
        <v>57.552</v>
      </c>
      <c r="DL11" s="56">
        <v>57.908000000000001</v>
      </c>
      <c r="DM11" s="56">
        <v>58.234000000000002</v>
      </c>
      <c r="DN11" s="56">
        <v>58.468000000000004</v>
      </c>
      <c r="DO11" s="56">
        <v>58.901000000000003</v>
      </c>
      <c r="DP11" s="56">
        <v>59.15</v>
      </c>
      <c r="DQ11" s="56">
        <v>59.654000000000003</v>
      </c>
      <c r="DR11" s="56">
        <v>60.125999999999998</v>
      </c>
      <c r="DS11" s="56">
        <v>60.811</v>
      </c>
      <c r="DT11" s="56">
        <v>61.209000000000003</v>
      </c>
      <c r="DU11" s="56">
        <v>61.569000000000003</v>
      </c>
      <c r="DV11" s="56">
        <v>61.948999999999998</v>
      </c>
      <c r="DW11" s="56">
        <v>62.107999999999997</v>
      </c>
      <c r="DX11" s="56">
        <v>62.302999999999997</v>
      </c>
      <c r="DY11" s="56">
        <v>62.637999999999998</v>
      </c>
      <c r="DZ11" s="56">
        <v>62.912999999999997</v>
      </c>
      <c r="EA11" s="56">
        <v>63.255000000000003</v>
      </c>
      <c r="EB11" s="56">
        <v>63.448999999999998</v>
      </c>
      <c r="EC11" s="56">
        <v>63.558999999999997</v>
      </c>
      <c r="ED11" s="56">
        <v>64.085999999999999</v>
      </c>
      <c r="EE11" s="56">
        <v>64.153000000000006</v>
      </c>
      <c r="EF11" s="56">
        <v>64.233999999999995</v>
      </c>
      <c r="EG11" s="56">
        <v>64.412000000000006</v>
      </c>
      <c r="EH11" s="56">
        <v>64.831000000000003</v>
      </c>
      <c r="EI11" s="56">
        <v>66.022000000000006</v>
      </c>
      <c r="EJ11" s="56">
        <v>67.8</v>
      </c>
      <c r="EK11" s="56">
        <v>69.427999999999997</v>
      </c>
      <c r="EL11" s="56">
        <v>70.015000000000001</v>
      </c>
      <c r="EM11" s="56">
        <v>71.331999999999994</v>
      </c>
      <c r="EN11" s="56">
        <v>72.921000000000006</v>
      </c>
      <c r="EO11" s="56">
        <v>73.938000000000002</v>
      </c>
      <c r="EP11" s="56">
        <v>74.397000000000006</v>
      </c>
      <c r="EQ11" s="56">
        <v>76.037000000000006</v>
      </c>
      <c r="ER11" s="56">
        <v>77.094999999999999</v>
      </c>
      <c r="ES11" s="56">
        <v>78.903000000000006</v>
      </c>
      <c r="ET11" s="56">
        <v>80.894000000000005</v>
      </c>
      <c r="EU11" s="56">
        <v>81.739999999999995</v>
      </c>
      <c r="EV11" s="56">
        <v>82.527000000000001</v>
      </c>
      <c r="EW11" s="56">
        <v>83.498000000000005</v>
      </c>
      <c r="EX11" s="56">
        <v>84.29</v>
      </c>
      <c r="EY11" s="56">
        <v>84.938000000000002</v>
      </c>
      <c r="EZ11" s="56">
        <v>86.036000000000001</v>
      </c>
      <c r="FA11" s="56">
        <v>87.611999999999995</v>
      </c>
      <c r="FB11" s="56">
        <v>88.159000000000006</v>
      </c>
      <c r="FC11" s="56">
        <v>87.385000000000005</v>
      </c>
      <c r="FD11" s="56">
        <v>86.596999999999994</v>
      </c>
      <c r="FE11" s="56">
        <v>86.53</v>
      </c>
      <c r="FF11" s="56">
        <v>86.775000000000006</v>
      </c>
      <c r="FG11" s="56">
        <v>87.153000000000006</v>
      </c>
      <c r="FH11" s="56">
        <v>87.427000000000007</v>
      </c>
      <c r="FI11" s="56">
        <v>87.82</v>
      </c>
      <c r="FJ11" s="56">
        <v>88.35</v>
      </c>
      <c r="FK11" s="56">
        <v>89.242999999999995</v>
      </c>
      <c r="FL11" s="56">
        <v>90.251999999999995</v>
      </c>
      <c r="FM11" s="56">
        <v>91.1</v>
      </c>
      <c r="FN11" s="56">
        <v>91.778000000000006</v>
      </c>
      <c r="FO11" s="56">
        <v>92.497</v>
      </c>
      <c r="FP11" s="56">
        <v>93.001999999999995</v>
      </c>
      <c r="FQ11" s="56">
        <v>93.183000000000007</v>
      </c>
      <c r="FR11" s="56">
        <v>93.552000000000007</v>
      </c>
      <c r="FS11" s="56">
        <v>94.016000000000005</v>
      </c>
      <c r="FT11" s="56">
        <v>94.519000000000005</v>
      </c>
      <c r="FU11" s="56">
        <v>95.221999999999994</v>
      </c>
      <c r="FV11" s="56">
        <v>95.751000000000005</v>
      </c>
      <c r="FW11" s="56">
        <v>96.174999999999997</v>
      </c>
      <c r="FX11" s="56">
        <v>96.62</v>
      </c>
      <c r="FY11" s="56">
        <v>96.778999999999996</v>
      </c>
      <c r="FZ11" s="56">
        <v>96.742000000000004</v>
      </c>
      <c r="GA11" s="56">
        <v>97.147999999999996</v>
      </c>
      <c r="GB11" s="56">
        <v>97.418000000000006</v>
      </c>
      <c r="GC11" s="56">
        <v>97.352999999999994</v>
      </c>
      <c r="GD11" s="56">
        <v>97.113</v>
      </c>
      <c r="GE11" s="56">
        <v>97.894000000000005</v>
      </c>
      <c r="GF11" s="56">
        <v>97.953000000000003</v>
      </c>
      <c r="GG11" s="56">
        <v>98.42</v>
      </c>
      <c r="GH11" s="56">
        <v>99.05</v>
      </c>
      <c r="GI11" s="56">
        <v>99.57</v>
      </c>
      <c r="GJ11" s="56">
        <v>100.41200000000001</v>
      </c>
      <c r="GK11" s="56">
        <v>100.968</v>
      </c>
      <c r="GL11" s="56">
        <v>101.911</v>
      </c>
      <c r="GM11" s="56">
        <v>103.214</v>
      </c>
      <c r="GN11" s="56">
        <v>103.89700000000001</v>
      </c>
      <c r="GO11" s="56">
        <v>104.94499999999999</v>
      </c>
      <c r="GP11" s="56">
        <v>105.34099999999999</v>
      </c>
      <c r="GQ11" s="56">
        <v>106.44799999999999</v>
      </c>
      <c r="GR11" s="56">
        <v>106.91200000000001</v>
      </c>
      <c r="GS11" s="56">
        <v>107.11499999999999</v>
      </c>
      <c r="GT11" s="56">
        <v>107.38500000000001</v>
      </c>
      <c r="GU11" s="56">
        <v>106.998</v>
      </c>
      <c r="GV11" s="56">
        <v>108.047</v>
      </c>
      <c r="GW11" s="56">
        <v>108.592</v>
      </c>
      <c r="GX11" s="56">
        <v>110.17700000000001</v>
      </c>
      <c r="GY11" s="56">
        <v>112.726</v>
      </c>
      <c r="GZ11" s="56">
        <v>115.161</v>
      </c>
      <c r="HA11" s="56">
        <v>118.59099999999999</v>
      </c>
      <c r="HB11" s="56">
        <v>122.117</v>
      </c>
      <c r="HC11">
        <v>126.14100000000001</v>
      </c>
      <c r="HD11">
        <v>129.05099999999999</v>
      </c>
      <c r="HE11">
        <v>130.79499999999999</v>
      </c>
      <c r="HF11">
        <v>132.404</v>
      </c>
      <c r="HG11">
        <v>132.47399999999999</v>
      </c>
      <c r="HH11">
        <v>132.66800000000001</v>
      </c>
      <c r="HI11">
        <v>133.06700000000001</v>
      </c>
      <c r="HJ11">
        <v>133.852</v>
      </c>
      <c r="HK11">
        <v>133.96299999999999</v>
      </c>
      <c r="HL11">
        <v>135.02699999999999</v>
      </c>
      <c r="HM11">
        <v>135.45599999999999</v>
      </c>
      <c r="HN11">
        <v>136.45099999999999</v>
      </c>
      <c r="HO11">
        <v>136.624</v>
      </c>
    </row>
    <row r="12" spans="1:223" x14ac:dyDescent="0.35">
      <c r="A12" s="56" t="s">
        <v>2247</v>
      </c>
      <c r="B12" s="56">
        <v>7</v>
      </c>
      <c r="C12" s="56">
        <v>7.2</v>
      </c>
      <c r="D12" s="56">
        <v>7.3</v>
      </c>
      <c r="E12" s="56">
        <v>7.5</v>
      </c>
      <c r="F12" s="56">
        <v>7.8</v>
      </c>
      <c r="G12" s="56">
        <v>8</v>
      </c>
      <c r="H12" s="56">
        <v>8.1</v>
      </c>
      <c r="I12" s="56">
        <v>8.3000000000000007</v>
      </c>
      <c r="J12" s="56">
        <v>8.5</v>
      </c>
      <c r="K12" s="56">
        <v>8.6999999999999993</v>
      </c>
      <c r="L12" s="56">
        <v>8.9</v>
      </c>
      <c r="M12" s="56">
        <v>9.1999999999999993</v>
      </c>
      <c r="N12" s="56">
        <v>9.5</v>
      </c>
      <c r="O12" s="56">
        <v>10</v>
      </c>
      <c r="P12" s="56">
        <v>10.5</v>
      </c>
      <c r="Q12" s="56">
        <v>11</v>
      </c>
      <c r="R12" s="56">
        <v>11.7</v>
      </c>
      <c r="S12" s="56">
        <v>12.4</v>
      </c>
      <c r="T12" s="56">
        <v>13.1</v>
      </c>
      <c r="U12" s="56">
        <v>13.8</v>
      </c>
      <c r="V12" s="56">
        <v>14.5</v>
      </c>
      <c r="W12" s="56">
        <v>15.2</v>
      </c>
      <c r="X12" s="56">
        <v>16</v>
      </c>
      <c r="Y12" s="56">
        <v>16.8</v>
      </c>
      <c r="Z12" s="56">
        <v>17.600000000000001</v>
      </c>
      <c r="AA12" s="56">
        <v>18.399999999999999</v>
      </c>
      <c r="AB12" s="56">
        <v>19.2</v>
      </c>
      <c r="AC12" s="56">
        <v>20</v>
      </c>
      <c r="AD12" s="56">
        <v>20.9</v>
      </c>
      <c r="AE12" s="56">
        <v>21.7</v>
      </c>
      <c r="AF12" s="56">
        <v>22.5</v>
      </c>
      <c r="AG12" s="56">
        <v>23.3</v>
      </c>
      <c r="AH12" s="56">
        <v>24.2</v>
      </c>
      <c r="AI12" s="56">
        <v>25</v>
      </c>
      <c r="AJ12" s="56">
        <v>26</v>
      </c>
      <c r="AK12" s="56">
        <v>27</v>
      </c>
      <c r="AL12" s="56">
        <v>28</v>
      </c>
      <c r="AM12" s="56">
        <v>29.2</v>
      </c>
      <c r="AN12" s="56">
        <v>30.5</v>
      </c>
      <c r="AO12" s="56">
        <v>32</v>
      </c>
      <c r="AP12" s="56">
        <v>33.6</v>
      </c>
      <c r="AQ12" s="56">
        <v>35.299999999999997</v>
      </c>
      <c r="AR12" s="56">
        <v>37</v>
      </c>
      <c r="AS12" s="56">
        <v>38.799999999999997</v>
      </c>
      <c r="AT12" s="56">
        <v>40.700000000000003</v>
      </c>
      <c r="AU12" s="56">
        <v>42.6</v>
      </c>
      <c r="AV12" s="56">
        <v>44.4</v>
      </c>
      <c r="AW12" s="56">
        <v>46.3</v>
      </c>
      <c r="AX12" s="56">
        <v>48.2</v>
      </c>
      <c r="AY12" s="56">
        <v>50.1</v>
      </c>
      <c r="AZ12" s="56">
        <v>51.8</v>
      </c>
      <c r="BA12" s="56">
        <v>53.6</v>
      </c>
      <c r="BB12" s="56">
        <v>55.2</v>
      </c>
      <c r="BC12" s="56">
        <v>56.9</v>
      </c>
      <c r="BD12" s="56">
        <v>58.7</v>
      </c>
      <c r="BE12" s="56">
        <v>60.4</v>
      </c>
      <c r="BF12" s="56">
        <v>62.5</v>
      </c>
      <c r="BG12" s="56">
        <v>64.099999999999994</v>
      </c>
      <c r="BH12" s="56">
        <v>65.599999999999994</v>
      </c>
      <c r="BI12" s="56">
        <v>66.900000000000006</v>
      </c>
      <c r="BJ12" s="56">
        <v>67.900000000000006</v>
      </c>
      <c r="BK12" s="56">
        <v>69.099999999999994</v>
      </c>
      <c r="BL12" s="56">
        <v>70.3</v>
      </c>
      <c r="BM12" s="56">
        <v>71.599999999999994</v>
      </c>
      <c r="BN12" s="56">
        <v>73</v>
      </c>
      <c r="BO12" s="56">
        <v>74.5</v>
      </c>
      <c r="BP12" s="56">
        <v>76</v>
      </c>
      <c r="BQ12" s="56">
        <v>77.599999999999994</v>
      </c>
      <c r="BR12" s="56">
        <v>79.599999999999994</v>
      </c>
      <c r="BS12" s="56">
        <v>81.099999999999994</v>
      </c>
      <c r="BT12" s="56">
        <v>82.3</v>
      </c>
      <c r="BU12" s="56">
        <v>83.3</v>
      </c>
      <c r="BV12" s="56">
        <v>83.4</v>
      </c>
      <c r="BW12" s="56">
        <v>85</v>
      </c>
      <c r="BX12" s="56">
        <v>87</v>
      </c>
      <c r="BY12" s="56">
        <v>89.7</v>
      </c>
      <c r="BZ12" s="56">
        <v>93.8</v>
      </c>
      <c r="CA12" s="56">
        <v>96.9</v>
      </c>
      <c r="CB12" s="56">
        <v>99.7</v>
      </c>
      <c r="CC12" s="56">
        <v>102.3</v>
      </c>
      <c r="CD12" s="56">
        <v>104.3</v>
      </c>
      <c r="CE12" s="56">
        <v>106.5</v>
      </c>
      <c r="CF12" s="56">
        <v>108.7</v>
      </c>
      <c r="CG12" s="56">
        <v>111</v>
      </c>
      <c r="CH12" s="56">
        <v>112.9</v>
      </c>
      <c r="CI12" s="56">
        <v>115.7</v>
      </c>
      <c r="CJ12" s="56">
        <v>118.9</v>
      </c>
      <c r="CK12" s="56">
        <v>122.5</v>
      </c>
      <c r="CL12" s="56">
        <v>127.2</v>
      </c>
      <c r="CM12" s="56">
        <v>131</v>
      </c>
      <c r="CN12" s="56">
        <v>134.5</v>
      </c>
      <c r="CO12" s="56">
        <v>137.69999999999999</v>
      </c>
      <c r="CP12" s="56">
        <v>143.4</v>
      </c>
      <c r="CQ12" s="56">
        <v>144.69999999999999</v>
      </c>
      <c r="CR12" s="56">
        <v>147.5</v>
      </c>
      <c r="CS12" s="56">
        <v>151.6</v>
      </c>
      <c r="CT12" s="56">
        <v>156.9</v>
      </c>
      <c r="CU12" s="56">
        <v>162.19999999999999</v>
      </c>
      <c r="CV12" s="56">
        <v>167.1</v>
      </c>
      <c r="CW12" s="56">
        <v>171.6</v>
      </c>
      <c r="CX12" s="56">
        <v>175.7</v>
      </c>
      <c r="CY12" s="56">
        <v>179.6</v>
      </c>
      <c r="CZ12" s="56">
        <v>183.2</v>
      </c>
      <c r="DA12" s="56">
        <v>186.5</v>
      </c>
      <c r="DB12" s="56">
        <v>189.6</v>
      </c>
      <c r="DC12" s="56">
        <v>192.9</v>
      </c>
      <c r="DD12" s="56">
        <v>196.5</v>
      </c>
      <c r="DE12" s="56">
        <v>200.4</v>
      </c>
      <c r="DF12" s="56">
        <v>204.4</v>
      </c>
      <c r="DG12" s="56">
        <v>207.1</v>
      </c>
      <c r="DH12" s="56">
        <v>208.3</v>
      </c>
      <c r="DI12" s="56">
        <v>207.9</v>
      </c>
      <c r="DJ12" s="56">
        <v>206.4</v>
      </c>
      <c r="DK12" s="56">
        <v>205.3</v>
      </c>
      <c r="DL12" s="56">
        <v>205</v>
      </c>
      <c r="DM12" s="56">
        <v>205.5</v>
      </c>
      <c r="DN12" s="56">
        <v>206.6</v>
      </c>
      <c r="DO12" s="56">
        <v>207.9</v>
      </c>
      <c r="DP12" s="56">
        <v>209.4</v>
      </c>
      <c r="DQ12" s="56">
        <v>211</v>
      </c>
      <c r="DR12" s="56">
        <v>213</v>
      </c>
      <c r="DS12" s="56">
        <v>216.1</v>
      </c>
      <c r="DT12" s="56">
        <v>220.7</v>
      </c>
      <c r="DU12" s="56">
        <v>226.7</v>
      </c>
      <c r="DV12" s="56">
        <v>233.8</v>
      </c>
      <c r="DW12" s="56">
        <v>240.4</v>
      </c>
      <c r="DX12" s="56">
        <v>245.8</v>
      </c>
      <c r="DY12" s="56">
        <v>250.3</v>
      </c>
      <c r="DZ12" s="56">
        <v>254.1</v>
      </c>
      <c r="EA12" s="56">
        <v>257.89999999999998</v>
      </c>
      <c r="EB12" s="56">
        <v>261.60000000000002</v>
      </c>
      <c r="EC12" s="56">
        <v>265.2</v>
      </c>
      <c r="ED12" s="56">
        <v>268.89999999999998</v>
      </c>
      <c r="EE12" s="56">
        <v>273.39999999999998</v>
      </c>
      <c r="EF12" s="56">
        <v>279</v>
      </c>
      <c r="EG12" s="56">
        <v>285.5</v>
      </c>
      <c r="EH12" s="56">
        <v>293</v>
      </c>
      <c r="EI12" s="56">
        <v>300.39999999999998</v>
      </c>
      <c r="EJ12" s="56">
        <v>308.60000000000002</v>
      </c>
      <c r="EK12" s="56">
        <v>315.39999999999998</v>
      </c>
      <c r="EL12" s="56">
        <v>323.2</v>
      </c>
      <c r="EM12" s="56">
        <v>329.2</v>
      </c>
      <c r="EN12" s="56">
        <v>335.1</v>
      </c>
      <c r="EO12" s="56">
        <v>341</v>
      </c>
      <c r="EP12" s="56">
        <v>389.6</v>
      </c>
      <c r="EQ12" s="56">
        <v>395.6</v>
      </c>
      <c r="ER12" s="56">
        <v>402.1</v>
      </c>
      <c r="ES12" s="56">
        <v>409.1</v>
      </c>
      <c r="ET12" s="56">
        <v>416.4</v>
      </c>
      <c r="EU12" s="56">
        <v>424.1</v>
      </c>
      <c r="EV12" s="56">
        <v>432</v>
      </c>
      <c r="EW12" s="56">
        <v>440.3</v>
      </c>
      <c r="EX12" s="56">
        <v>448.8</v>
      </c>
      <c r="EY12" s="56">
        <v>457.3</v>
      </c>
      <c r="EZ12" s="56">
        <v>465.9</v>
      </c>
      <c r="FA12" s="56">
        <v>474.5</v>
      </c>
      <c r="FB12" s="56">
        <v>482.9</v>
      </c>
      <c r="FC12" s="56">
        <v>490.4</v>
      </c>
      <c r="FD12" s="56">
        <v>496.7</v>
      </c>
      <c r="FE12" s="56">
        <v>501.8</v>
      </c>
      <c r="FF12" s="56">
        <v>506</v>
      </c>
      <c r="FG12" s="56">
        <v>510.5</v>
      </c>
      <c r="FH12" s="56">
        <v>515.70000000000005</v>
      </c>
      <c r="FI12" s="56">
        <v>521.4</v>
      </c>
      <c r="FJ12" s="56">
        <v>527.6</v>
      </c>
      <c r="FK12" s="56">
        <v>533.4</v>
      </c>
      <c r="FL12" s="56">
        <v>538.5</v>
      </c>
      <c r="FM12" s="56">
        <v>542.9</v>
      </c>
      <c r="FN12" s="56">
        <v>547</v>
      </c>
      <c r="FO12" s="56">
        <v>551.6</v>
      </c>
      <c r="FP12" s="56">
        <v>557.1</v>
      </c>
      <c r="FQ12" s="56">
        <v>563.4</v>
      </c>
      <c r="FR12" s="56">
        <v>570.29999999999995</v>
      </c>
      <c r="FS12" s="56">
        <v>567.1</v>
      </c>
      <c r="FT12" s="56">
        <v>573.70000000000005</v>
      </c>
      <c r="FU12" s="56">
        <v>580.20000000000005</v>
      </c>
      <c r="FV12" s="56">
        <v>587.5</v>
      </c>
      <c r="FW12" s="56">
        <v>595.6</v>
      </c>
      <c r="FX12" s="56">
        <v>604</v>
      </c>
      <c r="FY12" s="56">
        <v>612.79999999999995</v>
      </c>
      <c r="FZ12" s="56">
        <v>622.4</v>
      </c>
      <c r="GA12" s="56">
        <v>631.5</v>
      </c>
      <c r="GB12" s="56">
        <v>639.5</v>
      </c>
      <c r="GC12" s="56">
        <v>646.4</v>
      </c>
      <c r="GD12" s="56">
        <v>652.4</v>
      </c>
      <c r="GE12" s="56">
        <v>658.6</v>
      </c>
      <c r="GF12" s="56">
        <v>665.2</v>
      </c>
      <c r="GG12" s="56">
        <v>672.2</v>
      </c>
      <c r="GH12" s="56">
        <v>678.5</v>
      </c>
      <c r="GI12" s="56">
        <v>687.4</v>
      </c>
      <c r="GJ12" s="56">
        <v>696.3</v>
      </c>
      <c r="GK12" s="56">
        <v>705.1</v>
      </c>
      <c r="GL12" s="56">
        <v>714.4</v>
      </c>
      <c r="GM12" s="56">
        <v>725.7</v>
      </c>
      <c r="GN12" s="56">
        <v>739.2</v>
      </c>
      <c r="GO12" s="56">
        <v>755</v>
      </c>
      <c r="GP12" s="56">
        <v>773.5</v>
      </c>
      <c r="GQ12" s="56">
        <v>788.5</v>
      </c>
      <c r="GR12" s="56">
        <v>798</v>
      </c>
      <c r="GS12" s="56">
        <v>802</v>
      </c>
      <c r="GT12" s="56">
        <v>801.9</v>
      </c>
      <c r="GU12" s="56">
        <v>814.3</v>
      </c>
      <c r="GV12" s="56">
        <v>826.6</v>
      </c>
      <c r="GW12" s="56">
        <v>838.8</v>
      </c>
      <c r="GX12" s="56">
        <v>854.9</v>
      </c>
      <c r="GY12" s="56">
        <v>871.2</v>
      </c>
      <c r="GZ12" s="56">
        <v>887.1</v>
      </c>
      <c r="HA12" s="56">
        <v>902.4</v>
      </c>
      <c r="HB12" s="56">
        <v>917.6</v>
      </c>
      <c r="HC12">
        <v>926.6</v>
      </c>
      <c r="HD12">
        <v>937.4</v>
      </c>
      <c r="HE12">
        <v>958.5</v>
      </c>
      <c r="HF12">
        <v>981.1</v>
      </c>
      <c r="HG12">
        <v>1001.8</v>
      </c>
      <c r="HH12">
        <v>1019.9</v>
      </c>
      <c r="HI12">
        <v>1035.3</v>
      </c>
      <c r="HJ12">
        <v>1049.2</v>
      </c>
      <c r="HK12">
        <v>1067.0999999999999</v>
      </c>
      <c r="HL12">
        <v>1090.2</v>
      </c>
      <c r="HM12">
        <v>1118.5</v>
      </c>
      <c r="HN12">
        <v>1150.3</v>
      </c>
      <c r="HO12">
        <v>1182.0999999999999</v>
      </c>
    </row>
    <row r="13" spans="1:223" x14ac:dyDescent="0.35">
      <c r="A13" s="56" t="s">
        <v>2248</v>
      </c>
      <c r="B13" s="56">
        <v>5</v>
      </c>
      <c r="C13" s="56">
        <v>5.3</v>
      </c>
      <c r="D13" s="56">
        <v>5.6</v>
      </c>
      <c r="E13" s="56">
        <v>5.9</v>
      </c>
      <c r="F13" s="56">
        <v>6.2</v>
      </c>
      <c r="G13" s="56">
        <v>6.6</v>
      </c>
      <c r="H13" s="56">
        <v>6.9</v>
      </c>
      <c r="I13" s="56">
        <v>7.3</v>
      </c>
      <c r="J13" s="56">
        <v>7.8</v>
      </c>
      <c r="K13" s="56">
        <v>8</v>
      </c>
      <c r="L13" s="56">
        <v>8.6</v>
      </c>
      <c r="M13" s="56">
        <v>8.5</v>
      </c>
      <c r="N13" s="56">
        <v>9</v>
      </c>
      <c r="O13" s="56">
        <v>9.6</v>
      </c>
      <c r="P13" s="56">
        <v>9.6999999999999993</v>
      </c>
      <c r="Q13" s="56">
        <v>10.1</v>
      </c>
      <c r="R13" s="56">
        <v>10.199999999999999</v>
      </c>
      <c r="S13" s="56">
        <v>11.1</v>
      </c>
      <c r="T13" s="56">
        <v>11.4</v>
      </c>
      <c r="U13" s="56">
        <v>12</v>
      </c>
      <c r="V13" s="56">
        <v>13.3</v>
      </c>
      <c r="W13" s="56">
        <v>13.8</v>
      </c>
      <c r="X13" s="56">
        <v>13.8</v>
      </c>
      <c r="Y13" s="56">
        <v>14.6</v>
      </c>
      <c r="Z13" s="56">
        <v>15.2</v>
      </c>
      <c r="AA13" s="56">
        <v>14.9</v>
      </c>
      <c r="AB13" s="56">
        <v>15.9</v>
      </c>
      <c r="AC13" s="56">
        <v>15.9</v>
      </c>
      <c r="AD13" s="56">
        <v>16.2</v>
      </c>
      <c r="AE13" s="56">
        <v>17.5</v>
      </c>
      <c r="AF13" s="56">
        <v>16.7</v>
      </c>
      <c r="AG13" s="56">
        <v>16.5</v>
      </c>
      <c r="AH13" s="56">
        <v>17.5</v>
      </c>
      <c r="AI13" s="56">
        <v>18.600000000000001</v>
      </c>
      <c r="AJ13" s="56">
        <v>18.899999999999999</v>
      </c>
      <c r="AK13" s="56">
        <v>19.5</v>
      </c>
      <c r="AL13" s="56">
        <v>20</v>
      </c>
      <c r="AM13" s="56">
        <v>20.8</v>
      </c>
      <c r="AN13" s="56">
        <v>21.1</v>
      </c>
      <c r="AO13" s="56">
        <v>22.4</v>
      </c>
      <c r="AP13" s="56">
        <v>23.4</v>
      </c>
      <c r="AQ13" s="56">
        <v>22.2</v>
      </c>
      <c r="AR13" s="56">
        <v>24.2</v>
      </c>
      <c r="AS13" s="56">
        <v>25.6</v>
      </c>
      <c r="AT13" s="56">
        <v>26.5</v>
      </c>
      <c r="AU13" s="56">
        <v>28.1</v>
      </c>
      <c r="AV13" s="56">
        <v>28.3</v>
      </c>
      <c r="AW13" s="56">
        <v>28</v>
      </c>
      <c r="AX13" s="56">
        <v>28.8</v>
      </c>
      <c r="AY13" s="56">
        <v>30.2</v>
      </c>
      <c r="AZ13" s="56">
        <v>30.8</v>
      </c>
      <c r="BA13" s="56">
        <v>30.8</v>
      </c>
      <c r="BB13" s="56">
        <v>33.200000000000003</v>
      </c>
      <c r="BC13" s="56">
        <v>33.4</v>
      </c>
      <c r="BD13" s="56">
        <v>34</v>
      </c>
      <c r="BE13" s="56">
        <v>34.9</v>
      </c>
      <c r="BF13" s="56">
        <v>35.700000000000003</v>
      </c>
      <c r="BG13" s="56">
        <v>36.200000000000003</v>
      </c>
      <c r="BH13" s="56">
        <v>36.799999999999997</v>
      </c>
      <c r="BI13" s="56">
        <v>37.6</v>
      </c>
      <c r="BJ13" s="56">
        <v>38.4</v>
      </c>
      <c r="BK13" s="56">
        <v>39.200000000000003</v>
      </c>
      <c r="BL13" s="56">
        <v>40.1</v>
      </c>
      <c r="BM13" s="56">
        <v>41.1</v>
      </c>
      <c r="BN13" s="56">
        <v>42.1</v>
      </c>
      <c r="BO13" s="56">
        <v>43.1</v>
      </c>
      <c r="BP13" s="56">
        <v>44.1</v>
      </c>
      <c r="BQ13" s="56">
        <v>45.2</v>
      </c>
      <c r="BR13" s="56">
        <v>46.2</v>
      </c>
      <c r="BS13" s="56">
        <v>47.3</v>
      </c>
      <c r="BT13" s="56">
        <v>48.4</v>
      </c>
      <c r="BU13" s="56">
        <v>49.4</v>
      </c>
      <c r="BV13" s="56">
        <v>50.9</v>
      </c>
      <c r="BW13" s="56">
        <v>52.2</v>
      </c>
      <c r="BX13" s="56">
        <v>53.7</v>
      </c>
      <c r="BY13" s="56">
        <v>55.4</v>
      </c>
      <c r="BZ13" s="56">
        <v>57.4</v>
      </c>
      <c r="CA13" s="56">
        <v>59.6</v>
      </c>
      <c r="CB13" s="56">
        <v>61.9</v>
      </c>
      <c r="CC13" s="56">
        <v>64.400000000000006</v>
      </c>
      <c r="CD13" s="56">
        <v>66.599999999999994</v>
      </c>
      <c r="CE13" s="56">
        <v>70.3</v>
      </c>
      <c r="CF13" s="56">
        <v>74.900000000000006</v>
      </c>
      <c r="CG13" s="56">
        <v>80.7</v>
      </c>
      <c r="CH13" s="56">
        <v>83.7</v>
      </c>
      <c r="CI13" s="56">
        <v>93.1</v>
      </c>
      <c r="CJ13" s="56">
        <v>98.4</v>
      </c>
      <c r="CK13" s="56">
        <v>112.5</v>
      </c>
      <c r="CL13" s="56">
        <v>108.3</v>
      </c>
      <c r="CM13" s="56">
        <v>115.4</v>
      </c>
      <c r="CN13" s="56">
        <v>120.6</v>
      </c>
      <c r="CO13" s="56">
        <v>120.8</v>
      </c>
      <c r="CP13" s="56">
        <v>124.4</v>
      </c>
      <c r="CQ13" s="56">
        <v>124.8</v>
      </c>
      <c r="CR13" s="56">
        <v>135.19999999999999</v>
      </c>
      <c r="CS13" s="56">
        <v>136</v>
      </c>
      <c r="CT13" s="56">
        <v>136.6</v>
      </c>
      <c r="CU13" s="56">
        <v>137.1</v>
      </c>
      <c r="CV13" s="56">
        <v>136.19999999999999</v>
      </c>
      <c r="CW13" s="56">
        <v>147.80000000000001</v>
      </c>
      <c r="CX13" s="56">
        <v>152.5</v>
      </c>
      <c r="CY13" s="56">
        <v>152.5</v>
      </c>
      <c r="CZ13" s="56">
        <v>152.69999999999999</v>
      </c>
      <c r="DA13" s="56">
        <v>140.69999999999999</v>
      </c>
      <c r="DB13" s="56">
        <v>151.30000000000001</v>
      </c>
      <c r="DC13" s="56">
        <v>165.8</v>
      </c>
      <c r="DD13" s="56">
        <v>158.80000000000001</v>
      </c>
      <c r="DE13" s="56">
        <v>156.9</v>
      </c>
      <c r="DF13" s="56">
        <v>161.4</v>
      </c>
      <c r="DG13" s="56">
        <v>159.4</v>
      </c>
      <c r="DH13" s="56">
        <v>163.69999999999999</v>
      </c>
      <c r="DI13" s="56">
        <v>168</v>
      </c>
      <c r="DJ13" s="56">
        <v>167.2</v>
      </c>
      <c r="DK13" s="56">
        <v>170</v>
      </c>
      <c r="DL13" s="56">
        <v>168.1</v>
      </c>
      <c r="DM13" s="56">
        <v>175.4</v>
      </c>
      <c r="DN13" s="56">
        <v>181.1</v>
      </c>
      <c r="DO13" s="56">
        <v>179.1</v>
      </c>
      <c r="DP13" s="56">
        <v>186.7</v>
      </c>
      <c r="DQ13" s="56">
        <v>191.3</v>
      </c>
      <c r="DR13" s="56">
        <v>190.2</v>
      </c>
      <c r="DS13" s="56">
        <v>198.3</v>
      </c>
      <c r="DT13" s="56">
        <v>204.8</v>
      </c>
      <c r="DU13" s="56">
        <v>204.8</v>
      </c>
      <c r="DV13" s="56">
        <v>215</v>
      </c>
      <c r="DW13" s="56">
        <v>230.1</v>
      </c>
      <c r="DX13" s="56">
        <v>217.4</v>
      </c>
      <c r="DY13" s="56">
        <v>246.5</v>
      </c>
      <c r="DZ13" s="56">
        <v>244.9</v>
      </c>
      <c r="EA13" s="56">
        <v>243.8</v>
      </c>
      <c r="EB13" s="56">
        <v>251.1</v>
      </c>
      <c r="EC13" s="56">
        <v>260.3</v>
      </c>
      <c r="ED13" s="56">
        <v>260.7</v>
      </c>
      <c r="EE13" s="56">
        <v>260.10000000000002</v>
      </c>
      <c r="EF13" s="56">
        <v>271.7</v>
      </c>
      <c r="EG13" s="56">
        <v>265.7</v>
      </c>
      <c r="EH13" s="56">
        <v>283.39999999999998</v>
      </c>
      <c r="EI13" s="56">
        <v>293</v>
      </c>
      <c r="EJ13" s="56">
        <v>288.3</v>
      </c>
      <c r="EK13" s="56">
        <v>294.5</v>
      </c>
      <c r="EL13" s="56">
        <v>301.3</v>
      </c>
      <c r="EM13" s="56">
        <v>310.8</v>
      </c>
      <c r="EN13" s="56">
        <v>300.10000000000002</v>
      </c>
      <c r="EO13" s="56">
        <v>305.39999999999998</v>
      </c>
      <c r="EP13" s="56">
        <v>291.3</v>
      </c>
      <c r="EQ13" s="56">
        <v>294.89999999999998</v>
      </c>
      <c r="ER13" s="56">
        <v>308.7</v>
      </c>
      <c r="ES13" s="56">
        <v>301.39999999999998</v>
      </c>
      <c r="ET13" s="56">
        <v>332.5</v>
      </c>
      <c r="EU13" s="56">
        <v>314.7</v>
      </c>
      <c r="EV13" s="56">
        <v>319.60000000000002</v>
      </c>
      <c r="EW13" s="56">
        <v>329.9</v>
      </c>
      <c r="EX13" s="56">
        <v>331.6</v>
      </c>
      <c r="EY13" s="56">
        <v>339.2</v>
      </c>
      <c r="EZ13" s="56">
        <v>340.8</v>
      </c>
      <c r="FA13" s="56">
        <v>341.8</v>
      </c>
      <c r="FB13" s="56">
        <v>358.4</v>
      </c>
      <c r="FC13" s="56">
        <v>368.9</v>
      </c>
      <c r="FD13" s="56">
        <v>378.2</v>
      </c>
      <c r="FE13" s="56">
        <v>372.8</v>
      </c>
      <c r="FF13" s="56">
        <v>382.1</v>
      </c>
      <c r="FG13" s="56">
        <v>385.7</v>
      </c>
      <c r="FH13" s="56">
        <v>405.6</v>
      </c>
      <c r="FI13" s="56">
        <v>414.1</v>
      </c>
      <c r="FJ13" s="56">
        <v>418.8</v>
      </c>
      <c r="FK13" s="56">
        <v>409.7</v>
      </c>
      <c r="FL13" s="56">
        <v>396.4</v>
      </c>
      <c r="FM13" s="56">
        <v>399.3</v>
      </c>
      <c r="FN13" s="56">
        <v>400.6</v>
      </c>
      <c r="FO13" s="56">
        <v>421.7</v>
      </c>
      <c r="FP13" s="56">
        <v>419</v>
      </c>
      <c r="FQ13" s="56">
        <v>428.9</v>
      </c>
      <c r="FR13" s="56">
        <v>424.8</v>
      </c>
      <c r="FS13" s="56">
        <v>438.4</v>
      </c>
      <c r="FT13" s="56">
        <v>448.2</v>
      </c>
      <c r="FU13" s="56">
        <v>448.6</v>
      </c>
      <c r="FV13" s="56">
        <v>459.5</v>
      </c>
      <c r="FW13" s="56">
        <v>481.5</v>
      </c>
      <c r="FX13" s="56">
        <v>507.2</v>
      </c>
      <c r="FY13" s="56">
        <v>515.29999999999995</v>
      </c>
      <c r="FZ13" s="56">
        <v>523.6</v>
      </c>
      <c r="GA13" s="56">
        <v>537.9</v>
      </c>
      <c r="GB13" s="56">
        <v>540.4</v>
      </c>
      <c r="GC13" s="56">
        <v>541.79999999999995</v>
      </c>
      <c r="GD13" s="56">
        <v>550.5</v>
      </c>
      <c r="GE13" s="56">
        <v>558.79999999999995</v>
      </c>
      <c r="GF13" s="56">
        <v>566.5</v>
      </c>
      <c r="GG13" s="56">
        <v>575.29999999999995</v>
      </c>
      <c r="GH13" s="56">
        <v>572.4</v>
      </c>
      <c r="GI13" s="56">
        <v>567.9</v>
      </c>
      <c r="GJ13" s="56">
        <v>578.79999999999995</v>
      </c>
      <c r="GK13" s="56">
        <v>575.79999999999995</v>
      </c>
      <c r="GL13" s="56">
        <v>581.9</v>
      </c>
      <c r="GM13" s="56">
        <v>592.6</v>
      </c>
      <c r="GN13" s="56">
        <v>595</v>
      </c>
      <c r="GO13" s="56">
        <v>589.5</v>
      </c>
      <c r="GP13" s="56">
        <v>598.70000000000005</v>
      </c>
      <c r="GQ13" s="56">
        <v>614.4</v>
      </c>
      <c r="GR13" s="56">
        <v>622.4</v>
      </c>
      <c r="GS13" s="56">
        <v>620.6</v>
      </c>
      <c r="GT13" s="56">
        <v>606.5</v>
      </c>
      <c r="GU13" s="56">
        <v>654.6</v>
      </c>
      <c r="GV13" s="56">
        <v>690.8</v>
      </c>
      <c r="GW13" s="56">
        <v>678.6</v>
      </c>
      <c r="GX13" s="56">
        <v>704.9</v>
      </c>
      <c r="GY13" s="56">
        <v>745.6</v>
      </c>
      <c r="GZ13" s="56">
        <v>749.2</v>
      </c>
      <c r="HA13" s="56">
        <v>746.3</v>
      </c>
      <c r="HB13" s="56">
        <v>791.9</v>
      </c>
      <c r="HC13">
        <v>819.2</v>
      </c>
      <c r="HD13">
        <v>819</v>
      </c>
      <c r="HE13">
        <v>827.5</v>
      </c>
      <c r="HF13">
        <v>877.6</v>
      </c>
      <c r="HG13">
        <v>911.6</v>
      </c>
      <c r="HH13">
        <v>867.2</v>
      </c>
      <c r="HI13">
        <v>856.2</v>
      </c>
      <c r="HJ13">
        <v>904.8</v>
      </c>
      <c r="HK13">
        <v>924.7</v>
      </c>
      <c r="HL13">
        <v>932.4</v>
      </c>
      <c r="HM13">
        <v>944.8</v>
      </c>
      <c r="HN13">
        <v>957.6</v>
      </c>
      <c r="HO13">
        <v>983.1</v>
      </c>
    </row>
    <row r="14" spans="1:223" x14ac:dyDescent="0.35">
      <c r="A14" s="56" t="s">
        <v>2249</v>
      </c>
      <c r="B14" s="56">
        <v>2.9</v>
      </c>
      <c r="C14" s="56">
        <v>3.9</v>
      </c>
      <c r="D14" s="56">
        <v>4.5999999999999996</v>
      </c>
      <c r="E14" s="56">
        <v>5.4</v>
      </c>
      <c r="F14" s="56">
        <v>5.7</v>
      </c>
      <c r="G14" s="56">
        <v>6.3</v>
      </c>
      <c r="H14" s="56">
        <v>6.3</v>
      </c>
      <c r="I14" s="56">
        <v>6.3</v>
      </c>
      <c r="J14" s="56">
        <v>6.5</v>
      </c>
      <c r="K14" s="56">
        <v>6.9</v>
      </c>
      <c r="L14" s="56">
        <v>5.8</v>
      </c>
      <c r="M14" s="56">
        <v>5</v>
      </c>
      <c r="N14" s="56">
        <v>4.5999999999999996</v>
      </c>
      <c r="O14" s="56">
        <v>4.5</v>
      </c>
      <c r="P14" s="56">
        <v>4.5</v>
      </c>
      <c r="Q14" s="56">
        <v>4.7</v>
      </c>
      <c r="R14" s="56">
        <v>5.8</v>
      </c>
      <c r="S14" s="56">
        <v>6.7</v>
      </c>
      <c r="T14" s="56">
        <v>6.9</v>
      </c>
      <c r="U14" s="56">
        <v>8.6</v>
      </c>
      <c r="V14" s="56">
        <v>14.2</v>
      </c>
      <c r="W14" s="56">
        <v>19.399999999999999</v>
      </c>
      <c r="X14" s="56">
        <v>20.2</v>
      </c>
      <c r="Y14" s="56">
        <v>18.8</v>
      </c>
      <c r="Z14" s="56">
        <v>17.7</v>
      </c>
      <c r="AA14" s="56">
        <v>16.3</v>
      </c>
      <c r="AB14" s="56">
        <v>16.100000000000001</v>
      </c>
      <c r="AC14" s="56">
        <v>15.5</v>
      </c>
      <c r="AD14" s="56">
        <v>15.5</v>
      </c>
      <c r="AE14" s="56">
        <v>13.3</v>
      </c>
      <c r="AF14" s="56">
        <v>11.9</v>
      </c>
      <c r="AG14" s="56">
        <v>11.8</v>
      </c>
      <c r="AH14" s="56">
        <v>10.8</v>
      </c>
      <c r="AI14" s="56">
        <v>9.4</v>
      </c>
      <c r="AJ14" s="56">
        <v>9</v>
      </c>
      <c r="AK14" s="56">
        <v>8.5</v>
      </c>
      <c r="AL14" s="56">
        <v>9.4</v>
      </c>
      <c r="AM14" s="56">
        <v>9.1999999999999993</v>
      </c>
      <c r="AN14" s="56">
        <v>9.6</v>
      </c>
      <c r="AO14" s="56">
        <v>10.6</v>
      </c>
      <c r="AP14" s="56">
        <v>12</v>
      </c>
      <c r="AQ14" s="56">
        <v>15.7</v>
      </c>
      <c r="AR14" s="56">
        <v>19</v>
      </c>
      <c r="AS14" s="56">
        <v>17.8</v>
      </c>
      <c r="AT14" s="56">
        <v>16.399999999999999</v>
      </c>
      <c r="AU14" s="56">
        <v>15.5</v>
      </c>
      <c r="AV14" s="56">
        <v>15</v>
      </c>
      <c r="AW14" s="56">
        <v>16.600000000000001</v>
      </c>
      <c r="AX14" s="56">
        <v>19.100000000000001</v>
      </c>
      <c r="AY14" s="56">
        <v>23.9</v>
      </c>
      <c r="AZ14" s="56">
        <v>26.1</v>
      </c>
      <c r="BA14" s="56">
        <v>31.8</v>
      </c>
      <c r="BB14" s="56">
        <v>30.3</v>
      </c>
      <c r="BC14" s="56">
        <v>32.1</v>
      </c>
      <c r="BD14" s="56">
        <v>23.3</v>
      </c>
      <c r="BE14" s="56">
        <v>20</v>
      </c>
      <c r="BF14" s="56">
        <v>17.3</v>
      </c>
      <c r="BG14" s="56">
        <v>15.7</v>
      </c>
      <c r="BH14" s="56">
        <v>15.1</v>
      </c>
      <c r="BI14" s="56">
        <v>15.9</v>
      </c>
      <c r="BJ14" s="56">
        <v>16.899999999999999</v>
      </c>
      <c r="BK14" s="56">
        <v>16</v>
      </c>
      <c r="BL14" s="56">
        <v>15</v>
      </c>
      <c r="BM14" s="56">
        <v>15.6</v>
      </c>
      <c r="BN14" s="56">
        <v>15.6</v>
      </c>
      <c r="BO14" s="56">
        <v>16.399999999999999</v>
      </c>
      <c r="BP14" s="56">
        <v>17</v>
      </c>
      <c r="BQ14" s="56">
        <v>16.899999999999999</v>
      </c>
      <c r="BR14" s="56">
        <v>15.5</v>
      </c>
      <c r="BS14" s="56">
        <v>15.1</v>
      </c>
      <c r="BT14" s="56">
        <v>14.4</v>
      </c>
      <c r="BU14" s="56">
        <v>13.5</v>
      </c>
      <c r="BV14" s="56">
        <v>13.9</v>
      </c>
      <c r="BW14" s="56">
        <v>13.2</v>
      </c>
      <c r="BX14" s="56">
        <v>13.2</v>
      </c>
      <c r="BY14" s="56">
        <v>13</v>
      </c>
      <c r="BZ14" s="56">
        <v>13.6</v>
      </c>
      <c r="CA14" s="56">
        <v>13.7</v>
      </c>
      <c r="CB14" s="56">
        <v>14.6</v>
      </c>
      <c r="CC14" s="56">
        <v>15.8</v>
      </c>
      <c r="CD14" s="56">
        <v>16.399999999999999</v>
      </c>
      <c r="CE14" s="56">
        <v>17.100000000000001</v>
      </c>
      <c r="CF14" s="56">
        <v>18.2</v>
      </c>
      <c r="CG14" s="56">
        <v>21</v>
      </c>
      <c r="CH14" s="56">
        <v>24.3</v>
      </c>
      <c r="CI14" s="56">
        <v>27.5</v>
      </c>
      <c r="CJ14" s="56">
        <v>25.9</v>
      </c>
      <c r="CK14" s="56">
        <v>29.4</v>
      </c>
      <c r="CL14" s="56">
        <v>39.700000000000003</v>
      </c>
      <c r="CM14" s="56">
        <v>41.2</v>
      </c>
      <c r="CN14" s="56">
        <v>39.6</v>
      </c>
      <c r="CO14" s="56">
        <v>38</v>
      </c>
      <c r="CP14" s="56">
        <v>35.1</v>
      </c>
      <c r="CQ14" s="56">
        <v>35.5</v>
      </c>
      <c r="CR14" s="56">
        <v>35.5</v>
      </c>
      <c r="CS14" s="56">
        <v>33.200000000000003</v>
      </c>
      <c r="CT14" s="56">
        <v>28</v>
      </c>
      <c r="CU14" s="56">
        <v>24.4</v>
      </c>
      <c r="CV14" s="56">
        <v>22.1</v>
      </c>
      <c r="CW14" s="56">
        <v>21.3</v>
      </c>
      <c r="CX14" s="56">
        <v>20.9</v>
      </c>
      <c r="CY14" s="56">
        <v>21.6</v>
      </c>
      <c r="CZ14" s="56">
        <v>22</v>
      </c>
      <c r="DA14" s="56">
        <v>22.5</v>
      </c>
      <c r="DB14" s="56">
        <v>23</v>
      </c>
      <c r="DC14" s="56">
        <v>22.7</v>
      </c>
      <c r="DD14" s="56">
        <v>21.6</v>
      </c>
      <c r="DE14" s="56">
        <v>21.7</v>
      </c>
      <c r="DF14" s="56">
        <v>21</v>
      </c>
      <c r="DG14" s="56">
        <v>20.399999999999999</v>
      </c>
      <c r="DH14" s="56">
        <v>19.600000000000001</v>
      </c>
      <c r="DI14" s="56">
        <v>19.399999999999999</v>
      </c>
      <c r="DJ14" s="56">
        <v>19.399999999999999</v>
      </c>
      <c r="DK14" s="56">
        <v>19.3</v>
      </c>
      <c r="DL14" s="56">
        <v>20.3</v>
      </c>
      <c r="DM14" s="56">
        <v>19.8</v>
      </c>
      <c r="DN14" s="56">
        <v>20.8</v>
      </c>
      <c r="DO14" s="56">
        <v>20.9</v>
      </c>
      <c r="DP14" s="56">
        <v>20.3</v>
      </c>
      <c r="DQ14" s="56">
        <v>20</v>
      </c>
      <c r="DR14" s="56">
        <v>20.5</v>
      </c>
      <c r="DS14" s="56">
        <v>20</v>
      </c>
      <c r="DT14" s="56">
        <v>20.6</v>
      </c>
      <c r="DU14" s="56">
        <v>21.9</v>
      </c>
      <c r="DV14" s="56">
        <v>25.5</v>
      </c>
      <c r="DW14" s="56">
        <v>28.4</v>
      </c>
      <c r="DX14" s="56">
        <v>33.1</v>
      </c>
      <c r="DY14" s="56">
        <v>40.6</v>
      </c>
      <c r="DZ14" s="56">
        <v>42.8</v>
      </c>
      <c r="EA14" s="56">
        <v>60.5</v>
      </c>
      <c r="EB14" s="56">
        <v>56.9</v>
      </c>
      <c r="EC14" s="56">
        <v>53.7</v>
      </c>
      <c r="ED14" s="56">
        <v>51.8</v>
      </c>
      <c r="EE14" s="56">
        <v>55.2</v>
      </c>
      <c r="EF14" s="56">
        <v>54.2</v>
      </c>
      <c r="EG14" s="56">
        <v>51.5</v>
      </c>
      <c r="EH14" s="56">
        <v>42.3</v>
      </c>
      <c r="EI14" s="56">
        <v>35.9</v>
      </c>
      <c r="EJ14" s="56">
        <v>34.700000000000003</v>
      </c>
      <c r="EK14" s="56">
        <v>32.9</v>
      </c>
      <c r="EL14" s="56">
        <v>32.1</v>
      </c>
      <c r="EM14" s="56">
        <v>30.9</v>
      </c>
      <c r="EN14" s="56">
        <v>31.6</v>
      </c>
      <c r="EO14" s="56">
        <v>32.5</v>
      </c>
      <c r="EP14" s="56">
        <v>30.3</v>
      </c>
      <c r="EQ14" s="56">
        <v>29.5</v>
      </c>
      <c r="ER14" s="56">
        <v>30.6</v>
      </c>
      <c r="ES14" s="56">
        <v>31.1</v>
      </c>
      <c r="ET14" s="56">
        <v>32.299999999999997</v>
      </c>
      <c r="EU14" s="56">
        <v>31.8</v>
      </c>
      <c r="EV14" s="56">
        <v>32.799999999999997</v>
      </c>
      <c r="EW14" s="56">
        <v>34</v>
      </c>
      <c r="EX14" s="56">
        <v>36.299999999999997</v>
      </c>
      <c r="EY14" s="56">
        <v>38.200000000000003</v>
      </c>
      <c r="EZ14" s="56">
        <v>58.2</v>
      </c>
      <c r="FA14" s="56">
        <v>71.900000000000006</v>
      </c>
      <c r="FB14" s="56">
        <v>101.6</v>
      </c>
      <c r="FC14" s="56">
        <v>130.30000000000001</v>
      </c>
      <c r="FD14" s="56">
        <v>144.4</v>
      </c>
      <c r="FE14" s="56">
        <v>148.6</v>
      </c>
      <c r="FF14" s="56">
        <v>159.30000000000001</v>
      </c>
      <c r="FG14" s="56">
        <v>141.19999999999999</v>
      </c>
      <c r="FH14" s="56">
        <v>131</v>
      </c>
      <c r="FI14" s="56">
        <v>123.9</v>
      </c>
      <c r="FJ14" s="56">
        <v>116.7</v>
      </c>
      <c r="FK14" s="56">
        <v>109.3</v>
      </c>
      <c r="FL14" s="56">
        <v>102.9</v>
      </c>
      <c r="FM14" s="56">
        <v>99.8</v>
      </c>
      <c r="FN14" s="56">
        <v>94.6</v>
      </c>
      <c r="FO14" s="56">
        <v>86.3</v>
      </c>
      <c r="FP14" s="56">
        <v>78.400000000000006</v>
      </c>
      <c r="FQ14" s="56">
        <v>75.099999999999994</v>
      </c>
      <c r="FR14" s="56">
        <v>69</v>
      </c>
      <c r="FS14" s="56">
        <v>64.8</v>
      </c>
      <c r="FT14" s="56">
        <v>59.1</v>
      </c>
      <c r="FU14" s="56">
        <v>57.1</v>
      </c>
      <c r="FV14" s="56">
        <v>39</v>
      </c>
      <c r="FW14" s="56">
        <v>35.799999999999997</v>
      </c>
      <c r="FX14" s="56">
        <v>34</v>
      </c>
      <c r="FY14" s="56">
        <v>33</v>
      </c>
      <c r="FZ14" s="56">
        <v>32.9</v>
      </c>
      <c r="GA14" s="56">
        <v>32.4</v>
      </c>
      <c r="GB14" s="56">
        <v>32.5</v>
      </c>
      <c r="GC14" s="56">
        <v>32.4</v>
      </c>
      <c r="GD14" s="56">
        <v>32.4</v>
      </c>
      <c r="GE14" s="56">
        <v>32.299999999999997</v>
      </c>
      <c r="GF14" s="56">
        <v>32.1</v>
      </c>
      <c r="GG14" s="56">
        <v>31.3</v>
      </c>
      <c r="GH14" s="56">
        <v>31.3</v>
      </c>
      <c r="GI14" s="56">
        <v>29.6</v>
      </c>
      <c r="GJ14" s="56">
        <v>29.6</v>
      </c>
      <c r="GK14" s="56">
        <v>30.3</v>
      </c>
      <c r="GL14" s="56">
        <v>30.5</v>
      </c>
      <c r="GM14" s="56">
        <v>27.5</v>
      </c>
      <c r="GN14" s="56">
        <v>25.3</v>
      </c>
      <c r="GO14" s="56">
        <v>27.1</v>
      </c>
      <c r="GP14" s="56">
        <v>29.6</v>
      </c>
      <c r="GQ14" s="56">
        <v>27.3</v>
      </c>
      <c r="GR14" s="56">
        <v>26.4</v>
      </c>
      <c r="GS14" s="56">
        <v>26.7</v>
      </c>
      <c r="GT14" s="56">
        <v>40.1</v>
      </c>
      <c r="GU14" s="56">
        <v>951.5</v>
      </c>
      <c r="GV14" s="56">
        <v>800</v>
      </c>
      <c r="GW14" s="56">
        <v>322.7</v>
      </c>
      <c r="GX14" s="56">
        <v>583.79999999999995</v>
      </c>
      <c r="GY14" s="56">
        <v>440.8</v>
      </c>
      <c r="GZ14" s="56">
        <v>212.8</v>
      </c>
      <c r="HA14" s="56">
        <v>31.8</v>
      </c>
      <c r="HB14" s="56">
        <v>24.5</v>
      </c>
      <c r="HC14">
        <v>21.7</v>
      </c>
      <c r="HD14">
        <v>23.1</v>
      </c>
      <c r="HE14">
        <v>25.9</v>
      </c>
      <c r="HF14">
        <v>30.1</v>
      </c>
      <c r="HG14">
        <v>32.700000000000003</v>
      </c>
      <c r="HH14">
        <v>34.700000000000003</v>
      </c>
      <c r="HI14">
        <v>35.299999999999997</v>
      </c>
      <c r="HJ14">
        <v>34.9</v>
      </c>
      <c r="HK14">
        <v>34.9</v>
      </c>
      <c r="HL14">
        <v>35.700000000000003</v>
      </c>
      <c r="HM14">
        <v>36.1</v>
      </c>
      <c r="HN14">
        <v>35.799999999999997</v>
      </c>
      <c r="HO14">
        <v>36.700000000000003</v>
      </c>
    </row>
    <row r="15" spans="1:223" x14ac:dyDescent="0.35">
      <c r="A15" s="56" t="s">
        <v>2250</v>
      </c>
      <c r="B15" s="56">
        <v>63</v>
      </c>
      <c r="C15" s="56">
        <v>73.099999999999994</v>
      </c>
      <c r="D15" s="56">
        <v>73.5</v>
      </c>
      <c r="E15" s="56">
        <v>77.400000000000006</v>
      </c>
      <c r="F15" s="56">
        <v>79.3</v>
      </c>
      <c r="G15" s="56">
        <v>86.9</v>
      </c>
      <c r="H15" s="56">
        <v>86.9</v>
      </c>
      <c r="I15" s="56">
        <v>88.5</v>
      </c>
      <c r="J15" s="56">
        <v>91.4</v>
      </c>
      <c r="K15" s="56">
        <v>91.9</v>
      </c>
      <c r="L15" s="56">
        <v>92.9</v>
      </c>
      <c r="M15" s="56">
        <v>103.1</v>
      </c>
      <c r="N15" s="56">
        <v>105.4</v>
      </c>
      <c r="O15" s="56">
        <v>107.6</v>
      </c>
      <c r="P15" s="56">
        <v>109.2</v>
      </c>
      <c r="Q15" s="56">
        <v>112.3</v>
      </c>
      <c r="R15" s="56">
        <v>117.5</v>
      </c>
      <c r="S15" s="56">
        <v>125.4</v>
      </c>
      <c r="T15" s="56">
        <v>132.19999999999999</v>
      </c>
      <c r="U15" s="56">
        <v>139.1</v>
      </c>
      <c r="V15" s="56">
        <v>149.80000000000001</v>
      </c>
      <c r="W15" s="56">
        <v>164.6</v>
      </c>
      <c r="X15" s="56">
        <v>167.7</v>
      </c>
      <c r="Y15" s="56">
        <v>170.4</v>
      </c>
      <c r="Z15" s="56">
        <v>174.7</v>
      </c>
      <c r="AA15" s="56">
        <v>173.1</v>
      </c>
      <c r="AB15" s="56">
        <v>180.1</v>
      </c>
      <c r="AC15" s="56">
        <v>182.7</v>
      </c>
      <c r="AD15" s="56">
        <v>185.5</v>
      </c>
      <c r="AE15" s="56">
        <v>186.4</v>
      </c>
      <c r="AF15" s="56">
        <v>191.7</v>
      </c>
      <c r="AG15" s="56">
        <v>194.3</v>
      </c>
      <c r="AH15" s="56">
        <v>197.7</v>
      </c>
      <c r="AI15" s="56">
        <v>199</v>
      </c>
      <c r="AJ15" s="56">
        <v>207.1</v>
      </c>
      <c r="AK15" s="56">
        <v>209.9</v>
      </c>
      <c r="AL15" s="56">
        <v>214.9</v>
      </c>
      <c r="AM15" s="56">
        <v>219.2</v>
      </c>
      <c r="AN15" s="56">
        <v>234.6</v>
      </c>
      <c r="AO15" s="56">
        <v>240.7</v>
      </c>
      <c r="AP15" s="56">
        <v>251.2</v>
      </c>
      <c r="AQ15" s="56">
        <v>256.2</v>
      </c>
      <c r="AR15" s="56">
        <v>287.89999999999998</v>
      </c>
      <c r="AS15" s="56">
        <v>290.7</v>
      </c>
      <c r="AT15" s="56">
        <v>296.10000000000002</v>
      </c>
      <c r="AU15" s="56">
        <v>299</v>
      </c>
      <c r="AV15" s="56">
        <v>317</v>
      </c>
      <c r="AW15" s="56">
        <v>319.2</v>
      </c>
      <c r="AX15" s="56">
        <v>324.3</v>
      </c>
      <c r="AY15" s="56">
        <v>333.2</v>
      </c>
      <c r="AZ15" s="56">
        <v>349.7</v>
      </c>
      <c r="BA15" s="56">
        <v>365.2</v>
      </c>
      <c r="BB15" s="56">
        <v>368</v>
      </c>
      <c r="BC15" s="56">
        <v>373.7</v>
      </c>
      <c r="BD15" s="56">
        <v>368.5</v>
      </c>
      <c r="BE15" s="56">
        <v>371.8</v>
      </c>
      <c r="BF15" s="56">
        <v>376.3</v>
      </c>
      <c r="BG15" s="56">
        <v>379</v>
      </c>
      <c r="BH15" s="56">
        <v>380.4</v>
      </c>
      <c r="BI15" s="56">
        <v>387.9</v>
      </c>
      <c r="BJ15" s="56">
        <v>398.1</v>
      </c>
      <c r="BK15" s="56">
        <v>400.5</v>
      </c>
      <c r="BL15" s="56">
        <v>405.6</v>
      </c>
      <c r="BM15" s="56">
        <v>408.3</v>
      </c>
      <c r="BN15" s="56">
        <v>419.9</v>
      </c>
      <c r="BO15" s="56">
        <v>425.6</v>
      </c>
      <c r="BP15" s="56">
        <v>433.1</v>
      </c>
      <c r="BQ15" s="56">
        <v>435.8</v>
      </c>
      <c r="BR15" s="56">
        <v>441.9</v>
      </c>
      <c r="BS15" s="56">
        <v>447.5</v>
      </c>
      <c r="BT15" s="56">
        <v>449.4</v>
      </c>
      <c r="BU15" s="56">
        <v>452.8</v>
      </c>
      <c r="BV15" s="56">
        <v>470.3</v>
      </c>
      <c r="BW15" s="56">
        <v>473.4</v>
      </c>
      <c r="BX15" s="56">
        <v>478.8</v>
      </c>
      <c r="BY15" s="56">
        <v>484.9</v>
      </c>
      <c r="BZ15" s="56">
        <v>508.2</v>
      </c>
      <c r="CA15" s="56">
        <v>515.70000000000005</v>
      </c>
      <c r="CB15" s="56">
        <v>524.70000000000005</v>
      </c>
      <c r="CC15" s="56">
        <v>535.79999999999995</v>
      </c>
      <c r="CD15" s="56">
        <v>556.20000000000005</v>
      </c>
      <c r="CE15" s="56">
        <v>567.5</v>
      </c>
      <c r="CF15" s="56">
        <v>578.1</v>
      </c>
      <c r="CG15" s="56">
        <v>596.79999999999995</v>
      </c>
      <c r="CH15" s="56">
        <v>622.5</v>
      </c>
      <c r="CI15" s="56">
        <v>643.5</v>
      </c>
      <c r="CJ15" s="56">
        <v>653.79999999999995</v>
      </c>
      <c r="CK15" s="56">
        <v>682.3</v>
      </c>
      <c r="CL15" s="56">
        <v>710.5</v>
      </c>
      <c r="CM15" s="56">
        <v>729.1</v>
      </c>
      <c r="CN15" s="56">
        <v>741.3</v>
      </c>
      <c r="CO15" s="56">
        <v>746</v>
      </c>
      <c r="CP15" s="56">
        <v>766.5</v>
      </c>
      <c r="CQ15" s="56">
        <v>771.7</v>
      </c>
      <c r="CR15" s="56">
        <v>786.3</v>
      </c>
      <c r="CS15" s="56">
        <v>791.3</v>
      </c>
      <c r="CT15" s="56">
        <v>805.3</v>
      </c>
      <c r="CU15" s="56">
        <v>810.1</v>
      </c>
      <c r="CV15" s="56">
        <v>813.6</v>
      </c>
      <c r="CW15" s="56">
        <v>833.8</v>
      </c>
      <c r="CX15" s="56">
        <v>857.9</v>
      </c>
      <c r="CY15" s="56">
        <v>865.6</v>
      </c>
      <c r="CZ15" s="56">
        <v>870.7</v>
      </c>
      <c r="DA15" s="56">
        <v>864.6</v>
      </c>
      <c r="DB15" s="56">
        <v>893.2</v>
      </c>
      <c r="DC15" s="56">
        <v>912.9</v>
      </c>
      <c r="DD15" s="56">
        <v>908.5</v>
      </c>
      <c r="DE15" s="56">
        <v>910.7</v>
      </c>
      <c r="DF15" s="56">
        <v>930.5</v>
      </c>
      <c r="DG15" s="56">
        <v>931.3</v>
      </c>
      <c r="DH15" s="56">
        <v>937.2</v>
      </c>
      <c r="DI15" s="56">
        <v>942.7</v>
      </c>
      <c r="DJ15" s="56">
        <v>951.8</v>
      </c>
      <c r="DK15" s="56">
        <v>956</v>
      </c>
      <c r="DL15" s="56">
        <v>957.4</v>
      </c>
      <c r="DM15" s="56">
        <v>966.4</v>
      </c>
      <c r="DN15" s="56">
        <v>983.4</v>
      </c>
      <c r="DO15" s="56">
        <v>985</v>
      </c>
      <c r="DP15" s="56">
        <v>996.1</v>
      </c>
      <c r="DQ15" s="56">
        <v>1004.3</v>
      </c>
      <c r="DR15" s="56">
        <v>1016.9</v>
      </c>
      <c r="DS15" s="56">
        <v>1042.3</v>
      </c>
      <c r="DT15" s="56">
        <v>1054.7</v>
      </c>
      <c r="DU15" s="56">
        <v>1065.5999999999999</v>
      </c>
      <c r="DV15" s="56">
        <v>1107.8</v>
      </c>
      <c r="DW15" s="56">
        <v>1139.0999999999999</v>
      </c>
      <c r="DX15" s="56">
        <v>1145.2</v>
      </c>
      <c r="DY15" s="56">
        <v>1191.2</v>
      </c>
      <c r="DZ15" s="56">
        <v>1221</v>
      </c>
      <c r="EA15" s="56">
        <v>1247.0999999999999</v>
      </c>
      <c r="EB15" s="56">
        <v>1259.9000000000001</v>
      </c>
      <c r="EC15" s="56">
        <v>1276.2</v>
      </c>
      <c r="ED15" s="56">
        <v>1294.5999999999999</v>
      </c>
      <c r="EE15" s="56">
        <v>1312.6</v>
      </c>
      <c r="EF15" s="56">
        <v>1335.5</v>
      </c>
      <c r="EG15" s="56">
        <v>1341.2</v>
      </c>
      <c r="EH15" s="56">
        <v>1379.6</v>
      </c>
      <c r="EI15" s="56">
        <v>1400.6</v>
      </c>
      <c r="EJ15" s="56">
        <v>1409.8</v>
      </c>
      <c r="EK15" s="56">
        <v>1427.9</v>
      </c>
      <c r="EL15" s="56">
        <v>1464.4</v>
      </c>
      <c r="EM15" s="56">
        <v>1486</v>
      </c>
      <c r="EN15" s="56">
        <v>1501</v>
      </c>
      <c r="EO15" s="56">
        <v>1512.3</v>
      </c>
      <c r="EP15" s="56">
        <v>1566.7</v>
      </c>
      <c r="EQ15" s="56">
        <v>1583.2</v>
      </c>
      <c r="ER15" s="56">
        <v>1608.5</v>
      </c>
      <c r="ES15" s="56">
        <v>1613.8</v>
      </c>
      <c r="ET15" s="56">
        <v>1680.2</v>
      </c>
      <c r="EU15" s="56">
        <v>1680.4</v>
      </c>
      <c r="EV15" s="56">
        <v>1700.2</v>
      </c>
      <c r="EW15" s="56">
        <v>1728.6</v>
      </c>
      <c r="EX15" s="56">
        <v>1768.2</v>
      </c>
      <c r="EY15" s="56">
        <v>2113</v>
      </c>
      <c r="EZ15" s="56">
        <v>1905.3</v>
      </c>
      <c r="FA15" s="56">
        <v>1890.8</v>
      </c>
      <c r="FB15" s="56">
        <v>2001.9</v>
      </c>
      <c r="FC15" s="56">
        <v>2140</v>
      </c>
      <c r="FD15" s="56">
        <v>2136.9</v>
      </c>
      <c r="FE15" s="56">
        <v>2152.1</v>
      </c>
      <c r="FF15" s="56">
        <v>2262.1999999999998</v>
      </c>
      <c r="FG15" s="56">
        <v>2268.6999999999998</v>
      </c>
      <c r="FH15" s="56">
        <v>2292</v>
      </c>
      <c r="FI15" s="56">
        <v>2302.6999999999998</v>
      </c>
      <c r="FJ15" s="56">
        <v>2313</v>
      </c>
      <c r="FK15" s="56">
        <v>2312.1</v>
      </c>
      <c r="FL15" s="56">
        <v>2303.1999999999998</v>
      </c>
      <c r="FM15" s="56">
        <v>2312.1999999999998</v>
      </c>
      <c r="FN15" s="56">
        <v>2296.8000000000002</v>
      </c>
      <c r="FO15" s="56">
        <v>2321.8000000000002</v>
      </c>
      <c r="FP15" s="56">
        <v>2325.6</v>
      </c>
      <c r="FQ15" s="56">
        <v>2346.1</v>
      </c>
      <c r="FR15" s="56">
        <v>2365.6999999999998</v>
      </c>
      <c r="FS15" s="56">
        <v>2378.3000000000002</v>
      </c>
      <c r="FT15" s="56">
        <v>2396</v>
      </c>
      <c r="FU15" s="56">
        <v>2403.6999999999998</v>
      </c>
      <c r="FV15" s="56">
        <v>2433.1999999999998</v>
      </c>
      <c r="FW15" s="56">
        <v>2484.5</v>
      </c>
      <c r="FX15" s="56">
        <v>2524.6</v>
      </c>
      <c r="FY15" s="56">
        <v>2552.1</v>
      </c>
      <c r="FZ15" s="56">
        <v>2597.6999999999998</v>
      </c>
      <c r="GA15" s="56">
        <v>2633.9</v>
      </c>
      <c r="GB15" s="56">
        <v>2647.8</v>
      </c>
      <c r="GC15" s="56">
        <v>2661.2</v>
      </c>
      <c r="GD15" s="56">
        <v>2686.2</v>
      </c>
      <c r="GE15" s="56">
        <v>2706.5</v>
      </c>
      <c r="GF15" s="56">
        <v>2726.3</v>
      </c>
      <c r="GG15" s="56">
        <v>2750.1</v>
      </c>
      <c r="GH15" s="56">
        <v>2779.1</v>
      </c>
      <c r="GI15" s="56">
        <v>2789.7</v>
      </c>
      <c r="GJ15" s="56">
        <v>2823.4</v>
      </c>
      <c r="GK15" s="56">
        <v>2837.6</v>
      </c>
      <c r="GL15" s="56">
        <v>2892.2</v>
      </c>
      <c r="GM15" s="56">
        <v>2917.2</v>
      </c>
      <c r="GN15" s="56">
        <v>2937.9</v>
      </c>
      <c r="GO15" s="56">
        <v>2956.5</v>
      </c>
      <c r="GP15" s="56">
        <v>3048.2</v>
      </c>
      <c r="GQ15" s="56">
        <v>3084</v>
      </c>
      <c r="GR15" s="56">
        <v>3109.3</v>
      </c>
      <c r="GS15" s="56">
        <v>3121.6</v>
      </c>
      <c r="GT15" s="56">
        <v>3175.2</v>
      </c>
      <c r="GU15" s="56">
        <v>5465.4</v>
      </c>
      <c r="GV15" s="56">
        <v>4355</v>
      </c>
      <c r="GW15" s="56">
        <v>3728.7</v>
      </c>
      <c r="GX15" s="56">
        <v>6007.8</v>
      </c>
      <c r="GY15" s="56">
        <v>4311.6000000000004</v>
      </c>
      <c r="GZ15" s="56">
        <v>4048.7</v>
      </c>
      <c r="HA15" s="56">
        <v>3876</v>
      </c>
      <c r="HB15" s="56">
        <v>3944.5</v>
      </c>
      <c r="HC15">
        <v>3986.8</v>
      </c>
      <c r="HD15">
        <v>4002.9</v>
      </c>
      <c r="HE15">
        <v>4120.8999999999996</v>
      </c>
      <c r="HF15">
        <v>4121.6000000000004</v>
      </c>
      <c r="HG15">
        <v>4160.2</v>
      </c>
      <c r="HH15">
        <v>4147.5</v>
      </c>
      <c r="HI15">
        <v>4156.5</v>
      </c>
      <c r="HJ15">
        <v>4314.6000000000004</v>
      </c>
      <c r="HK15">
        <v>4380.1000000000004</v>
      </c>
      <c r="HL15">
        <v>4437.8</v>
      </c>
      <c r="HM15">
        <v>4491.1000000000004</v>
      </c>
      <c r="HN15">
        <v>4628.6000000000004</v>
      </c>
      <c r="HO15">
        <v>4776.8999999999996</v>
      </c>
    </row>
    <row r="16" spans="1:223" x14ac:dyDescent="0.35">
      <c r="A16" s="56" t="s">
        <v>2251</v>
      </c>
      <c r="B16" s="56">
        <v>1.2</v>
      </c>
      <c r="C16" s="56">
        <v>1.3</v>
      </c>
      <c r="D16" s="56">
        <v>1.3</v>
      </c>
      <c r="E16" s="56">
        <v>1.3</v>
      </c>
      <c r="F16" s="56">
        <v>1.4</v>
      </c>
      <c r="G16" s="56">
        <v>1.4</v>
      </c>
      <c r="H16" s="56">
        <v>1.5</v>
      </c>
      <c r="I16" s="56">
        <v>1.5</v>
      </c>
      <c r="J16" s="56">
        <v>1.7</v>
      </c>
      <c r="K16" s="56">
        <v>1.8</v>
      </c>
      <c r="L16" s="56">
        <v>1.8</v>
      </c>
      <c r="M16" s="56">
        <v>1.9</v>
      </c>
      <c r="N16" s="56">
        <v>1.8</v>
      </c>
      <c r="O16" s="56">
        <v>1.8</v>
      </c>
      <c r="P16" s="56">
        <v>1.8</v>
      </c>
      <c r="Q16" s="56">
        <v>1.9</v>
      </c>
      <c r="R16" s="56">
        <v>1.9</v>
      </c>
      <c r="S16" s="56">
        <v>2</v>
      </c>
      <c r="T16" s="56">
        <v>2.1</v>
      </c>
      <c r="U16" s="56">
        <v>2.2000000000000002</v>
      </c>
      <c r="V16" s="56">
        <v>2.2999999999999998</v>
      </c>
      <c r="W16" s="56">
        <v>2.4</v>
      </c>
      <c r="X16" s="56">
        <v>2.6</v>
      </c>
      <c r="Y16" s="56">
        <v>2.7</v>
      </c>
      <c r="Z16" s="56">
        <v>2.8</v>
      </c>
      <c r="AA16" s="56">
        <v>3</v>
      </c>
      <c r="AB16" s="56">
        <v>3.1</v>
      </c>
      <c r="AC16" s="56">
        <v>3.2</v>
      </c>
      <c r="AD16" s="56">
        <v>3.3</v>
      </c>
      <c r="AE16" s="56">
        <v>3.4</v>
      </c>
      <c r="AF16" s="56">
        <v>3.5</v>
      </c>
      <c r="AG16" s="56">
        <v>3.6</v>
      </c>
      <c r="AH16" s="56">
        <v>3.7</v>
      </c>
      <c r="AI16" s="56">
        <v>3.8</v>
      </c>
      <c r="AJ16" s="56">
        <v>3.9</v>
      </c>
      <c r="AK16" s="56">
        <v>4</v>
      </c>
      <c r="AL16" s="56">
        <v>4.0999999999999996</v>
      </c>
      <c r="AM16" s="56">
        <v>4.3</v>
      </c>
      <c r="AN16" s="56">
        <v>4.4000000000000004</v>
      </c>
      <c r="AO16" s="56">
        <v>4.5</v>
      </c>
      <c r="AP16" s="56">
        <v>4.5999999999999996</v>
      </c>
      <c r="AQ16" s="56">
        <v>4.8</v>
      </c>
      <c r="AR16" s="56">
        <v>5</v>
      </c>
      <c r="AS16" s="56">
        <v>5.3</v>
      </c>
      <c r="AT16" s="56">
        <v>5.6</v>
      </c>
      <c r="AU16" s="56">
        <v>5.9</v>
      </c>
      <c r="AV16" s="56">
        <v>6.1</v>
      </c>
      <c r="AW16" s="56">
        <v>6.3</v>
      </c>
      <c r="AX16" s="56">
        <v>6.7</v>
      </c>
      <c r="AY16" s="56">
        <v>6.9</v>
      </c>
      <c r="AZ16" s="56">
        <v>7.2</v>
      </c>
      <c r="BA16" s="56">
        <v>7.5</v>
      </c>
      <c r="BB16" s="56">
        <v>7.7</v>
      </c>
      <c r="BC16" s="56">
        <v>8</v>
      </c>
      <c r="BD16" s="56">
        <v>8.3000000000000007</v>
      </c>
      <c r="BE16" s="56">
        <v>8.5</v>
      </c>
      <c r="BF16" s="56">
        <v>8.8000000000000007</v>
      </c>
      <c r="BG16" s="56">
        <v>9.1</v>
      </c>
      <c r="BH16" s="56">
        <v>9.3000000000000007</v>
      </c>
      <c r="BI16" s="56">
        <v>9.5</v>
      </c>
      <c r="BJ16" s="56">
        <v>9.9</v>
      </c>
      <c r="BK16" s="56">
        <v>10.199999999999999</v>
      </c>
      <c r="BL16" s="56">
        <v>10.6</v>
      </c>
      <c r="BM16" s="56">
        <v>11</v>
      </c>
      <c r="BN16" s="56">
        <v>11.3</v>
      </c>
      <c r="BO16" s="56">
        <v>11.7</v>
      </c>
      <c r="BP16" s="56">
        <v>12.1</v>
      </c>
      <c r="BQ16" s="56">
        <v>12.7</v>
      </c>
      <c r="BR16" s="56">
        <v>12.7</v>
      </c>
      <c r="BS16" s="56">
        <v>12.9</v>
      </c>
      <c r="BT16" s="56">
        <v>13.5</v>
      </c>
      <c r="BU16" s="56">
        <v>13.7</v>
      </c>
      <c r="BV16" s="56">
        <v>14.2</v>
      </c>
      <c r="BW16" s="56">
        <v>14.8</v>
      </c>
      <c r="BX16" s="56">
        <v>15.1</v>
      </c>
      <c r="BY16" s="56">
        <v>15.4</v>
      </c>
      <c r="BZ16" s="56">
        <v>15.9</v>
      </c>
      <c r="CA16" s="56">
        <v>16.3</v>
      </c>
      <c r="CB16" s="56">
        <v>16.7</v>
      </c>
      <c r="CC16" s="56">
        <v>17.100000000000001</v>
      </c>
      <c r="CD16" s="56">
        <v>17.3</v>
      </c>
      <c r="CE16" s="56">
        <v>17.899999999999999</v>
      </c>
      <c r="CF16" s="56">
        <v>18.7</v>
      </c>
      <c r="CG16" s="56">
        <v>19.600000000000001</v>
      </c>
      <c r="CH16" s="56">
        <v>20.9</v>
      </c>
      <c r="CI16" s="56">
        <v>22.1</v>
      </c>
      <c r="CJ16" s="56">
        <v>23.1</v>
      </c>
      <c r="CK16" s="56">
        <v>24.2</v>
      </c>
      <c r="CL16" s="56">
        <v>25</v>
      </c>
      <c r="CM16" s="56">
        <v>25.8</v>
      </c>
      <c r="CN16" s="56">
        <v>26.4</v>
      </c>
      <c r="CO16" s="56">
        <v>26.8</v>
      </c>
      <c r="CP16" s="56">
        <v>28</v>
      </c>
      <c r="CQ16" s="56">
        <v>28.3</v>
      </c>
      <c r="CR16" s="56">
        <v>28.7</v>
      </c>
      <c r="CS16" s="56">
        <v>29.2</v>
      </c>
      <c r="CT16" s="56">
        <v>30.1</v>
      </c>
      <c r="CU16" s="56">
        <v>30.7</v>
      </c>
      <c r="CV16" s="56">
        <v>31.2</v>
      </c>
      <c r="CW16" s="56">
        <v>31.6</v>
      </c>
      <c r="CX16" s="56">
        <v>31.9</v>
      </c>
      <c r="CY16" s="56">
        <v>32.299999999999997</v>
      </c>
      <c r="CZ16" s="56">
        <v>32.9</v>
      </c>
      <c r="DA16" s="56">
        <v>33.5</v>
      </c>
      <c r="DB16" s="56">
        <v>34</v>
      </c>
      <c r="DC16" s="56">
        <v>34.6</v>
      </c>
      <c r="DD16" s="56">
        <v>35.200000000000003</v>
      </c>
      <c r="DE16" s="56">
        <v>35.799999999999997</v>
      </c>
      <c r="DF16" s="56">
        <v>37.200000000000003</v>
      </c>
      <c r="DG16" s="56">
        <v>38</v>
      </c>
      <c r="DH16" s="56">
        <v>38.6</v>
      </c>
      <c r="DI16" s="56">
        <v>39</v>
      </c>
      <c r="DJ16" s="56">
        <v>39.1</v>
      </c>
      <c r="DK16" s="56">
        <v>39.299999999999997</v>
      </c>
      <c r="DL16" s="56">
        <v>40</v>
      </c>
      <c r="DM16" s="56">
        <v>41.1</v>
      </c>
      <c r="DN16" s="56">
        <v>42.3</v>
      </c>
      <c r="DO16" s="56">
        <v>43.5</v>
      </c>
      <c r="DP16" s="56">
        <v>44.7</v>
      </c>
      <c r="DQ16" s="56">
        <v>45.8</v>
      </c>
      <c r="DR16" s="56">
        <v>46.9</v>
      </c>
      <c r="DS16" s="56">
        <v>48.1</v>
      </c>
      <c r="DT16" s="56">
        <v>49.3</v>
      </c>
      <c r="DU16" s="56">
        <v>50.6</v>
      </c>
      <c r="DV16" s="56">
        <v>51.5</v>
      </c>
      <c r="DW16" s="56">
        <v>52.5</v>
      </c>
      <c r="DX16" s="56">
        <v>53.4</v>
      </c>
      <c r="DY16" s="56">
        <v>54.3</v>
      </c>
      <c r="DZ16" s="56">
        <v>55.2</v>
      </c>
      <c r="EA16" s="56">
        <v>56</v>
      </c>
      <c r="EB16" s="56">
        <v>56.8</v>
      </c>
      <c r="EC16" s="56">
        <v>57.6</v>
      </c>
      <c r="ED16" s="56">
        <v>58.5</v>
      </c>
      <c r="EE16" s="56">
        <v>59.7</v>
      </c>
      <c r="EF16" s="56">
        <v>61.1</v>
      </c>
      <c r="EG16" s="56">
        <v>62.7</v>
      </c>
      <c r="EH16" s="56">
        <v>64.8</v>
      </c>
      <c r="EI16" s="56">
        <v>66.400000000000006</v>
      </c>
      <c r="EJ16" s="56">
        <v>67.7</v>
      </c>
      <c r="EK16" s="56">
        <v>68.7</v>
      </c>
      <c r="EL16" s="56">
        <v>70.3</v>
      </c>
      <c r="EM16" s="56">
        <v>71.2</v>
      </c>
      <c r="EN16" s="56">
        <v>72.099999999999994</v>
      </c>
      <c r="EO16" s="56">
        <v>73</v>
      </c>
      <c r="EP16" s="56">
        <v>74.400000000000006</v>
      </c>
      <c r="EQ16" s="56">
        <v>74.900000000000006</v>
      </c>
      <c r="ER16" s="56">
        <v>75.5</v>
      </c>
      <c r="ES16" s="56">
        <v>76.3</v>
      </c>
      <c r="ET16" s="56">
        <v>78</v>
      </c>
      <c r="EU16" s="56">
        <v>78.8</v>
      </c>
      <c r="EV16" s="56">
        <v>79.599999999999994</v>
      </c>
      <c r="EW16" s="56">
        <v>80.3</v>
      </c>
      <c r="EX16" s="56">
        <v>80.5</v>
      </c>
      <c r="EY16" s="56">
        <v>81</v>
      </c>
      <c r="EZ16" s="56">
        <v>81.2</v>
      </c>
      <c r="FA16" s="56">
        <v>81.2</v>
      </c>
      <c r="FB16" s="56">
        <v>80.599999999999994</v>
      </c>
      <c r="FC16" s="56">
        <v>80.3</v>
      </c>
      <c r="FD16" s="56">
        <v>79.900000000000006</v>
      </c>
      <c r="FE16" s="56">
        <v>79.5</v>
      </c>
      <c r="FF16" s="56">
        <v>79.5</v>
      </c>
      <c r="FG16" s="56">
        <v>79.3</v>
      </c>
      <c r="FH16" s="56">
        <v>79.3</v>
      </c>
      <c r="FI16" s="56">
        <v>79.5</v>
      </c>
      <c r="FJ16" s="56">
        <v>80.400000000000006</v>
      </c>
      <c r="FK16" s="56">
        <v>81.5</v>
      </c>
      <c r="FL16" s="56">
        <v>82.7</v>
      </c>
      <c r="FM16" s="56">
        <v>84.1</v>
      </c>
      <c r="FN16" s="56">
        <v>85.2</v>
      </c>
      <c r="FO16" s="56">
        <v>86.3</v>
      </c>
      <c r="FP16" s="56">
        <v>86.9</v>
      </c>
      <c r="FQ16" s="56">
        <v>86.8</v>
      </c>
      <c r="FR16" s="56">
        <v>86.7</v>
      </c>
      <c r="FS16" s="56">
        <v>86.5</v>
      </c>
      <c r="FT16" s="56">
        <v>86.9</v>
      </c>
      <c r="FU16" s="56">
        <v>87.9</v>
      </c>
      <c r="FV16" s="56">
        <v>89.7</v>
      </c>
      <c r="FW16" s="56">
        <v>91.2</v>
      </c>
      <c r="FX16" s="56">
        <v>92.7</v>
      </c>
      <c r="FY16" s="56">
        <v>94.2</v>
      </c>
      <c r="FZ16" s="56">
        <v>97.5</v>
      </c>
      <c r="GA16" s="56">
        <v>98.6</v>
      </c>
      <c r="GB16" s="56">
        <v>99.4</v>
      </c>
      <c r="GC16" s="56">
        <v>99.9</v>
      </c>
      <c r="GD16" s="56">
        <v>101.3</v>
      </c>
      <c r="GE16" s="56">
        <v>101.5</v>
      </c>
      <c r="GF16" s="56">
        <v>101.8</v>
      </c>
      <c r="GG16" s="56">
        <v>102.1</v>
      </c>
      <c r="GH16" s="56">
        <v>103.2</v>
      </c>
      <c r="GI16" s="56">
        <v>103.9</v>
      </c>
      <c r="GJ16" s="56">
        <v>104.9</v>
      </c>
      <c r="GK16" s="56">
        <v>106.3</v>
      </c>
      <c r="GL16" s="56">
        <v>109.1</v>
      </c>
      <c r="GM16" s="56">
        <v>110.6</v>
      </c>
      <c r="GN16" s="56">
        <v>112</v>
      </c>
      <c r="GO16" s="56">
        <v>113.3</v>
      </c>
      <c r="GP16" s="56">
        <v>114.1</v>
      </c>
      <c r="GQ16" s="56">
        <v>114.7</v>
      </c>
      <c r="GR16" s="56">
        <v>114.9</v>
      </c>
      <c r="GS16" s="56">
        <v>114.6</v>
      </c>
      <c r="GT16" s="56">
        <v>107.5</v>
      </c>
      <c r="GU16" s="56">
        <v>108</v>
      </c>
      <c r="GV16" s="56">
        <v>109.5</v>
      </c>
      <c r="GW16" s="56">
        <v>112.3</v>
      </c>
      <c r="GX16" s="56">
        <v>118.1</v>
      </c>
      <c r="GY16" s="56">
        <v>121.5</v>
      </c>
      <c r="GZ16" s="56">
        <v>124.5</v>
      </c>
      <c r="HA16" s="56">
        <v>127</v>
      </c>
      <c r="HB16" s="56">
        <v>129.19999999999999</v>
      </c>
      <c r="HC16">
        <v>131</v>
      </c>
      <c r="HD16">
        <v>132.4</v>
      </c>
      <c r="HE16">
        <v>133.5</v>
      </c>
      <c r="HF16">
        <v>134.30000000000001</v>
      </c>
      <c r="HG16">
        <v>135.1</v>
      </c>
      <c r="HH16">
        <v>136</v>
      </c>
      <c r="HI16">
        <v>136.9</v>
      </c>
      <c r="HJ16">
        <v>137.9</v>
      </c>
      <c r="HK16">
        <v>139</v>
      </c>
      <c r="HL16">
        <v>140.30000000000001</v>
      </c>
      <c r="HM16">
        <v>141.69999999999999</v>
      </c>
      <c r="HN16">
        <v>143.19999999999999</v>
      </c>
      <c r="HO16">
        <v>144.69999999999999</v>
      </c>
    </row>
    <row r="17" spans="1:223" x14ac:dyDescent="0.35">
      <c r="A17" s="56" t="s">
        <v>2252</v>
      </c>
      <c r="B17" s="56">
        <v>104.6</v>
      </c>
      <c r="C17" s="56">
        <v>105.5</v>
      </c>
      <c r="D17" s="56">
        <v>100.7</v>
      </c>
      <c r="E17" s="56">
        <v>101.5</v>
      </c>
      <c r="F17" s="56">
        <v>98.3</v>
      </c>
      <c r="G17" s="56">
        <v>100.7</v>
      </c>
      <c r="H17" s="56">
        <v>102.3</v>
      </c>
      <c r="I17" s="56">
        <v>105.5</v>
      </c>
      <c r="J17" s="56">
        <v>119.8</v>
      </c>
      <c r="K17" s="56">
        <v>123.4</v>
      </c>
      <c r="L17" s="56">
        <v>124.3</v>
      </c>
      <c r="M17" s="56">
        <v>127.1</v>
      </c>
      <c r="N17" s="56">
        <v>126.4</v>
      </c>
      <c r="O17" s="56">
        <v>129.19999999999999</v>
      </c>
      <c r="P17" s="56">
        <v>134.1</v>
      </c>
      <c r="Q17" s="56">
        <v>140</v>
      </c>
      <c r="R17" s="56">
        <v>142.80000000000001</v>
      </c>
      <c r="S17" s="56">
        <v>148.9</v>
      </c>
      <c r="T17" s="56">
        <v>154.9</v>
      </c>
      <c r="U17" s="56">
        <v>157.6</v>
      </c>
      <c r="V17" s="56">
        <v>158</v>
      </c>
      <c r="W17" s="56">
        <v>121.1</v>
      </c>
      <c r="X17" s="56">
        <v>152.80000000000001</v>
      </c>
      <c r="Y17" s="56">
        <v>158.5</v>
      </c>
      <c r="Z17" s="56">
        <v>162.5</v>
      </c>
      <c r="AA17" s="56">
        <v>169.3</v>
      </c>
      <c r="AB17" s="56">
        <v>176.1</v>
      </c>
      <c r="AC17" s="56">
        <v>182.7</v>
      </c>
      <c r="AD17" s="56">
        <v>188.8</v>
      </c>
      <c r="AE17" s="56">
        <v>195.7</v>
      </c>
      <c r="AF17" s="56">
        <v>198.6</v>
      </c>
      <c r="AG17" s="56">
        <v>208.5</v>
      </c>
      <c r="AH17" s="56">
        <v>212</v>
      </c>
      <c r="AI17" s="56">
        <v>223.1</v>
      </c>
      <c r="AJ17" s="56">
        <v>236.3</v>
      </c>
      <c r="AK17" s="56">
        <v>247.2</v>
      </c>
      <c r="AL17" s="56">
        <v>253.6</v>
      </c>
      <c r="AM17" s="56">
        <v>262</v>
      </c>
      <c r="AN17" s="56">
        <v>274.8</v>
      </c>
      <c r="AO17" s="56">
        <v>285.2</v>
      </c>
      <c r="AP17" s="56">
        <v>284.8</v>
      </c>
      <c r="AQ17" s="56">
        <v>292.2</v>
      </c>
      <c r="AR17" s="56">
        <v>302.2</v>
      </c>
      <c r="AS17" s="56">
        <v>318.89999999999998</v>
      </c>
      <c r="AT17" s="56">
        <v>330.9</v>
      </c>
      <c r="AU17" s="56">
        <v>342.7</v>
      </c>
      <c r="AV17" s="56">
        <v>356.9</v>
      </c>
      <c r="AW17" s="56">
        <v>352.7</v>
      </c>
      <c r="AX17" s="56">
        <v>352.5</v>
      </c>
      <c r="AY17" s="56">
        <v>359.7</v>
      </c>
      <c r="AZ17" s="56">
        <v>350.1</v>
      </c>
      <c r="BA17" s="56">
        <v>356.6</v>
      </c>
      <c r="BB17" s="56">
        <v>350.9</v>
      </c>
      <c r="BC17" s="56">
        <v>359.6</v>
      </c>
      <c r="BD17" s="56">
        <v>345.4</v>
      </c>
      <c r="BE17" s="56">
        <v>355.7</v>
      </c>
      <c r="BF17" s="56">
        <v>361.2</v>
      </c>
      <c r="BG17" s="56">
        <v>370.4</v>
      </c>
      <c r="BH17" s="56">
        <v>384.1</v>
      </c>
      <c r="BI17" s="56">
        <v>395.9</v>
      </c>
      <c r="BJ17" s="56">
        <v>432.3</v>
      </c>
      <c r="BK17" s="56">
        <v>388.5</v>
      </c>
      <c r="BL17" s="56">
        <v>421.5</v>
      </c>
      <c r="BM17" s="56">
        <v>428.9</v>
      </c>
      <c r="BN17" s="56">
        <v>426.3</v>
      </c>
      <c r="BO17" s="56">
        <v>429.4</v>
      </c>
      <c r="BP17" s="56">
        <v>439.5</v>
      </c>
      <c r="BQ17" s="56">
        <v>456</v>
      </c>
      <c r="BR17" s="56">
        <v>450.7</v>
      </c>
      <c r="BS17" s="56">
        <v>511.7</v>
      </c>
      <c r="BT17" s="56">
        <v>489</v>
      </c>
      <c r="BU17" s="56">
        <v>507</v>
      </c>
      <c r="BV17" s="56">
        <v>502.1</v>
      </c>
      <c r="BW17" s="56">
        <v>497.8</v>
      </c>
      <c r="BX17" s="56">
        <v>506.7</v>
      </c>
      <c r="BY17" s="56">
        <v>517.20000000000005</v>
      </c>
      <c r="BZ17" s="56">
        <v>552.9</v>
      </c>
      <c r="CA17" s="56">
        <v>566.70000000000005</v>
      </c>
      <c r="CB17" s="56">
        <v>571.6</v>
      </c>
      <c r="CC17" s="56">
        <v>579.79999999999995</v>
      </c>
      <c r="CD17" s="56">
        <v>582.5</v>
      </c>
      <c r="CE17" s="56">
        <v>594.6</v>
      </c>
      <c r="CF17" s="56">
        <v>600.70000000000005</v>
      </c>
      <c r="CG17" s="56">
        <v>600.79999999999995</v>
      </c>
      <c r="CH17" s="56">
        <v>580.79999999999995</v>
      </c>
      <c r="CI17" s="56">
        <v>585.9</v>
      </c>
      <c r="CJ17" s="56">
        <v>590.20000000000005</v>
      </c>
      <c r="CK17" s="56">
        <v>598.70000000000005</v>
      </c>
      <c r="CL17" s="56">
        <v>588.9</v>
      </c>
      <c r="CM17" s="56">
        <v>607.20000000000005</v>
      </c>
      <c r="CN17" s="56">
        <v>616.20000000000005</v>
      </c>
      <c r="CO17" s="56">
        <v>638.9</v>
      </c>
      <c r="CP17" s="56">
        <v>617</v>
      </c>
      <c r="CQ17" s="56">
        <v>643.5</v>
      </c>
      <c r="CR17" s="56">
        <v>659.2</v>
      </c>
      <c r="CS17" s="56">
        <v>675.3</v>
      </c>
      <c r="CT17" s="56">
        <v>673.7</v>
      </c>
      <c r="CU17" s="56">
        <v>697.8</v>
      </c>
      <c r="CV17" s="56">
        <v>695.4</v>
      </c>
      <c r="CW17" s="56">
        <v>705.4</v>
      </c>
      <c r="CX17" s="56">
        <v>724.6</v>
      </c>
      <c r="CY17" s="56">
        <v>746.8</v>
      </c>
      <c r="CZ17" s="56">
        <v>752.2</v>
      </c>
      <c r="DA17" s="56">
        <v>770</v>
      </c>
      <c r="DB17" s="56">
        <v>801.7</v>
      </c>
      <c r="DC17" s="56">
        <v>839.6</v>
      </c>
      <c r="DD17" s="56">
        <v>843.5</v>
      </c>
      <c r="DE17" s="56">
        <v>863.5</v>
      </c>
      <c r="DF17" s="56">
        <v>902.1</v>
      </c>
      <c r="DG17" s="56">
        <v>916.2</v>
      </c>
      <c r="DH17" s="56">
        <v>941.1</v>
      </c>
      <c r="DI17" s="56">
        <v>967.8</v>
      </c>
      <c r="DJ17" s="56">
        <v>996.1</v>
      </c>
      <c r="DK17" s="56">
        <v>1022.4</v>
      </c>
      <c r="DL17" s="56">
        <v>1043.2</v>
      </c>
      <c r="DM17" s="56">
        <v>1068</v>
      </c>
      <c r="DN17" s="56">
        <v>1077.9000000000001</v>
      </c>
      <c r="DO17" s="56">
        <v>1095.2</v>
      </c>
      <c r="DP17" s="56">
        <v>1120.5999999999999</v>
      </c>
      <c r="DQ17" s="56">
        <v>1154</v>
      </c>
      <c r="DR17" s="56">
        <v>1208.8</v>
      </c>
      <c r="DS17" s="56">
        <v>1230.2</v>
      </c>
      <c r="DT17" s="56">
        <v>1247.7</v>
      </c>
      <c r="DU17" s="56">
        <v>1258.7</v>
      </c>
      <c r="DV17" s="56">
        <v>1301.9000000000001</v>
      </c>
      <c r="DW17" s="56">
        <v>1308.9000000000001</v>
      </c>
      <c r="DX17" s="56">
        <v>1113.5999999999999</v>
      </c>
      <c r="DY17" s="56">
        <v>1231.8</v>
      </c>
      <c r="DZ17" s="56">
        <v>1075.2</v>
      </c>
      <c r="EA17" s="56">
        <v>1051</v>
      </c>
      <c r="EB17" s="56">
        <v>1044.0999999999999</v>
      </c>
      <c r="EC17" s="56">
        <v>1038.4000000000001</v>
      </c>
      <c r="ED17" s="56">
        <v>1021.3</v>
      </c>
      <c r="EE17" s="56">
        <v>1020.8</v>
      </c>
      <c r="EF17" s="56">
        <v>950.7</v>
      </c>
      <c r="EG17" s="56">
        <v>1021.3</v>
      </c>
      <c r="EH17" s="56">
        <v>1012.3</v>
      </c>
      <c r="EI17" s="56">
        <v>1026.8</v>
      </c>
      <c r="EJ17" s="56">
        <v>1064.4000000000001</v>
      </c>
      <c r="EK17" s="56">
        <v>1091.5999999999999</v>
      </c>
      <c r="EL17" s="56">
        <v>1172.3</v>
      </c>
      <c r="EM17" s="56">
        <v>1196.3</v>
      </c>
      <c r="EN17" s="56">
        <v>1225.5</v>
      </c>
      <c r="EO17" s="56">
        <v>1255.8</v>
      </c>
      <c r="EP17" s="56">
        <v>1320.5</v>
      </c>
      <c r="EQ17" s="56">
        <v>1351.3</v>
      </c>
      <c r="ER17" s="56">
        <v>1358.6</v>
      </c>
      <c r="ES17" s="56">
        <v>1397.5</v>
      </c>
      <c r="ET17" s="56">
        <v>1466.5</v>
      </c>
      <c r="EU17" s="56">
        <v>1495.9</v>
      </c>
      <c r="EV17" s="56">
        <v>1498.9</v>
      </c>
      <c r="EW17" s="56">
        <v>1508.6</v>
      </c>
      <c r="EX17" s="56">
        <v>1535.1</v>
      </c>
      <c r="EY17" s="56">
        <v>1552.5</v>
      </c>
      <c r="EZ17" s="56">
        <v>1497.5</v>
      </c>
      <c r="FA17" s="56">
        <v>1444.9</v>
      </c>
      <c r="FB17" s="56">
        <v>1202.4000000000001</v>
      </c>
      <c r="FC17" s="56">
        <v>1131.0999999999999</v>
      </c>
      <c r="FD17" s="56">
        <v>1135.3</v>
      </c>
      <c r="FE17" s="56">
        <v>1140.7</v>
      </c>
      <c r="FF17" s="56">
        <v>1191.8</v>
      </c>
      <c r="FG17" s="56">
        <v>1213.2</v>
      </c>
      <c r="FH17" s="56">
        <v>1256.3</v>
      </c>
      <c r="FI17" s="56">
        <v>1289.0999999999999</v>
      </c>
      <c r="FJ17" s="56">
        <v>1426.6</v>
      </c>
      <c r="FK17" s="56">
        <v>1445.9</v>
      </c>
      <c r="FL17" s="56">
        <v>1471.4</v>
      </c>
      <c r="FM17" s="56">
        <v>1470.9</v>
      </c>
      <c r="FN17" s="56">
        <v>1468.3</v>
      </c>
      <c r="FO17" s="56">
        <v>1487.7</v>
      </c>
      <c r="FP17" s="56">
        <v>1510</v>
      </c>
      <c r="FQ17" s="56">
        <v>1572</v>
      </c>
      <c r="FR17" s="56">
        <v>1650.8</v>
      </c>
      <c r="FS17" s="56">
        <v>1683.9</v>
      </c>
      <c r="FT17" s="56">
        <v>1676.3</v>
      </c>
      <c r="FU17" s="56">
        <v>1699.1</v>
      </c>
      <c r="FV17" s="56">
        <v>1745.8</v>
      </c>
      <c r="FW17" s="56">
        <v>1759.5</v>
      </c>
      <c r="FX17" s="56">
        <v>1799.8</v>
      </c>
      <c r="FY17" s="56">
        <v>1837.7</v>
      </c>
      <c r="FZ17" s="56">
        <v>1905.6</v>
      </c>
      <c r="GA17" s="56">
        <v>1943.9</v>
      </c>
      <c r="GB17" s="56">
        <v>1948.3</v>
      </c>
      <c r="GC17" s="56">
        <v>1965.8</v>
      </c>
      <c r="GD17" s="56">
        <v>1925.3</v>
      </c>
      <c r="GE17" s="56">
        <v>1944</v>
      </c>
      <c r="GF17" s="56">
        <v>1972.5</v>
      </c>
      <c r="GG17" s="56">
        <v>1993.2</v>
      </c>
      <c r="GH17" s="56">
        <v>2004.2</v>
      </c>
      <c r="GI17" s="56">
        <v>2012.3</v>
      </c>
      <c r="GJ17" s="56">
        <v>2055.1</v>
      </c>
      <c r="GK17" s="56">
        <v>2123.6999999999998</v>
      </c>
      <c r="GL17" s="56">
        <v>2071.6</v>
      </c>
      <c r="GM17" s="56">
        <v>2058.1</v>
      </c>
      <c r="GN17" s="56">
        <v>2085.3000000000002</v>
      </c>
      <c r="GO17" s="56">
        <v>2081.6</v>
      </c>
      <c r="GP17" s="56">
        <v>2155.4</v>
      </c>
      <c r="GQ17" s="56">
        <v>2217.6999999999998</v>
      </c>
      <c r="GR17" s="56">
        <v>2195.3000000000002</v>
      </c>
      <c r="GS17" s="56">
        <v>2226.1999999999998</v>
      </c>
      <c r="GT17" s="56">
        <v>2247.6999999999998</v>
      </c>
      <c r="GU17" s="56">
        <v>2107.4</v>
      </c>
      <c r="GV17" s="56">
        <v>2248.1999999999998</v>
      </c>
      <c r="GW17" s="56">
        <v>2377.8000000000002</v>
      </c>
      <c r="GX17" s="56">
        <v>2547.6999999999998</v>
      </c>
      <c r="GY17" s="56">
        <v>2675.6</v>
      </c>
      <c r="GZ17" s="56">
        <v>2750</v>
      </c>
      <c r="HA17" s="56">
        <v>2847</v>
      </c>
      <c r="HB17" s="56">
        <v>3254.1</v>
      </c>
      <c r="HC17">
        <v>3297.4</v>
      </c>
      <c r="HD17">
        <v>3224.9</v>
      </c>
      <c r="HE17">
        <v>3203.3</v>
      </c>
      <c r="HF17">
        <v>2834.2</v>
      </c>
      <c r="HG17">
        <v>2828.4</v>
      </c>
      <c r="HH17">
        <v>2866</v>
      </c>
      <c r="HI17">
        <v>2894.3</v>
      </c>
      <c r="HJ17">
        <v>2965.6</v>
      </c>
      <c r="HK17">
        <v>3005.4</v>
      </c>
      <c r="HL17">
        <v>3054.2</v>
      </c>
      <c r="HM17">
        <v>3117.6</v>
      </c>
      <c r="HN17">
        <v>3192.3</v>
      </c>
      <c r="HO17">
        <v>3244.2</v>
      </c>
    </row>
    <row r="18" spans="1:223" x14ac:dyDescent="0.35">
      <c r="A18" s="56" t="s">
        <v>2253</v>
      </c>
      <c r="B18" s="56">
        <v>88.5</v>
      </c>
      <c r="C18" s="56">
        <v>90.5</v>
      </c>
      <c r="D18" s="56">
        <v>92.5</v>
      </c>
      <c r="E18" s="56">
        <v>94.1</v>
      </c>
      <c r="F18" s="56">
        <v>97.7</v>
      </c>
      <c r="G18" s="56">
        <v>98.9</v>
      </c>
      <c r="H18" s="56">
        <v>101.7</v>
      </c>
      <c r="I18" s="56">
        <v>103.7</v>
      </c>
      <c r="J18" s="56">
        <v>104.6</v>
      </c>
      <c r="K18" s="56">
        <v>106.8</v>
      </c>
      <c r="L18" s="56">
        <v>108.9</v>
      </c>
      <c r="M18" s="56">
        <v>111.5</v>
      </c>
      <c r="N18" s="56">
        <v>114.6</v>
      </c>
      <c r="O18" s="56">
        <v>116.2</v>
      </c>
      <c r="P18" s="56">
        <v>118.4</v>
      </c>
      <c r="Q18" s="56">
        <v>119.7</v>
      </c>
      <c r="R18" s="56">
        <v>120.8</v>
      </c>
      <c r="S18" s="56">
        <v>124.1</v>
      </c>
      <c r="T18" s="56">
        <v>127.1</v>
      </c>
      <c r="U18" s="56">
        <v>127.7</v>
      </c>
      <c r="V18" s="56">
        <v>128.80000000000001</v>
      </c>
      <c r="W18" s="56">
        <v>133</v>
      </c>
      <c r="X18" s="56">
        <v>138.19999999999999</v>
      </c>
      <c r="Y18" s="56">
        <v>141.1</v>
      </c>
      <c r="Z18" s="56">
        <v>141.69999999999999</v>
      </c>
      <c r="AA18" s="56">
        <v>144.9</v>
      </c>
      <c r="AB18" s="56">
        <v>147.69999999999999</v>
      </c>
      <c r="AC18" s="56">
        <v>151.30000000000001</v>
      </c>
      <c r="AD18" s="56">
        <v>154.80000000000001</v>
      </c>
      <c r="AE18" s="56">
        <v>158</v>
      </c>
      <c r="AF18" s="56">
        <v>161.5</v>
      </c>
      <c r="AG18" s="56">
        <v>164.3</v>
      </c>
      <c r="AH18" s="56">
        <v>166.9</v>
      </c>
      <c r="AI18" s="56">
        <v>173.1</v>
      </c>
      <c r="AJ18" s="56">
        <v>169.7</v>
      </c>
      <c r="AK18" s="56">
        <v>173.9</v>
      </c>
      <c r="AL18" s="56">
        <v>176.4</v>
      </c>
      <c r="AM18" s="56">
        <v>178.5</v>
      </c>
      <c r="AN18" s="56">
        <v>180.9</v>
      </c>
      <c r="AO18" s="56">
        <v>184.6</v>
      </c>
      <c r="AP18" s="56">
        <v>189.5</v>
      </c>
      <c r="AQ18" s="56">
        <v>196.9</v>
      </c>
      <c r="AR18" s="56">
        <v>204.3</v>
      </c>
      <c r="AS18" s="56">
        <v>210.6</v>
      </c>
      <c r="AT18" s="56">
        <v>230.8</v>
      </c>
      <c r="AU18" s="56">
        <v>235.5</v>
      </c>
      <c r="AV18" s="56">
        <v>237.5</v>
      </c>
      <c r="AW18" s="56">
        <v>238.8</v>
      </c>
      <c r="AX18" s="56">
        <v>237.4</v>
      </c>
      <c r="AY18" s="56">
        <v>238.3</v>
      </c>
      <c r="AZ18" s="56">
        <v>241.8</v>
      </c>
      <c r="BA18" s="56">
        <v>246.3</v>
      </c>
      <c r="BB18" s="56">
        <v>250.7</v>
      </c>
      <c r="BC18" s="56">
        <v>261.2</v>
      </c>
      <c r="BD18" s="56">
        <v>267.5</v>
      </c>
      <c r="BE18" s="56">
        <v>273.7</v>
      </c>
      <c r="BF18" s="56">
        <v>281.60000000000002</v>
      </c>
      <c r="BG18" s="56">
        <v>287.7</v>
      </c>
      <c r="BH18" s="56">
        <v>292.2</v>
      </c>
      <c r="BI18" s="56">
        <v>297.5</v>
      </c>
      <c r="BJ18" s="56">
        <v>301</v>
      </c>
      <c r="BK18" s="56">
        <v>305.7</v>
      </c>
      <c r="BL18" s="56">
        <v>311.89999999999998</v>
      </c>
      <c r="BM18" s="56">
        <v>313.89999999999998</v>
      </c>
      <c r="BN18" s="56">
        <v>317.5</v>
      </c>
      <c r="BO18" s="56">
        <v>319.5</v>
      </c>
      <c r="BP18" s="56">
        <v>326.2</v>
      </c>
      <c r="BQ18" s="56">
        <v>330.4</v>
      </c>
      <c r="BR18" s="56">
        <v>336</v>
      </c>
      <c r="BS18" s="56">
        <v>344.4</v>
      </c>
      <c r="BT18" s="56">
        <v>352.4</v>
      </c>
      <c r="BU18" s="56">
        <v>357.4</v>
      </c>
      <c r="BV18" s="56">
        <v>365.2</v>
      </c>
      <c r="BW18" s="56">
        <v>372.5</v>
      </c>
      <c r="BX18" s="56">
        <v>377.5</v>
      </c>
      <c r="BY18" s="56">
        <v>382.6</v>
      </c>
      <c r="BZ18" s="56">
        <v>391</v>
      </c>
      <c r="CA18" s="56">
        <v>397.5</v>
      </c>
      <c r="CB18" s="56">
        <v>403.9</v>
      </c>
      <c r="CC18" s="56">
        <v>403</v>
      </c>
      <c r="CD18" s="56">
        <v>419.5</v>
      </c>
      <c r="CE18" s="56">
        <v>419.5</v>
      </c>
      <c r="CF18" s="56">
        <v>426.8</v>
      </c>
      <c r="CG18" s="56">
        <v>434.2</v>
      </c>
      <c r="CH18" s="56">
        <v>444</v>
      </c>
      <c r="CI18" s="56">
        <v>451.6</v>
      </c>
      <c r="CJ18" s="56">
        <v>461.3</v>
      </c>
      <c r="CK18" s="56">
        <v>471.5</v>
      </c>
      <c r="CL18" s="56">
        <v>476.4</v>
      </c>
      <c r="CM18" s="56">
        <v>481.2</v>
      </c>
      <c r="CN18" s="56">
        <v>486</v>
      </c>
      <c r="CO18" s="56">
        <v>489.9</v>
      </c>
      <c r="CP18" s="56">
        <v>489.7</v>
      </c>
      <c r="CQ18" s="56">
        <v>497.6</v>
      </c>
      <c r="CR18" s="56">
        <v>504.9</v>
      </c>
      <c r="CS18" s="56">
        <v>520.29999999999995</v>
      </c>
      <c r="CT18" s="56">
        <v>531.5</v>
      </c>
      <c r="CU18" s="56">
        <v>544.4</v>
      </c>
      <c r="CV18" s="56">
        <v>550.5</v>
      </c>
      <c r="CW18" s="56">
        <v>554.6</v>
      </c>
      <c r="CX18" s="56">
        <v>555.29999999999995</v>
      </c>
      <c r="CY18" s="56">
        <v>553.6</v>
      </c>
      <c r="CZ18" s="56">
        <v>558.9</v>
      </c>
      <c r="DA18" s="56">
        <v>563.79999999999995</v>
      </c>
      <c r="DB18" s="56">
        <v>570.4</v>
      </c>
      <c r="DC18" s="56">
        <v>577.70000000000005</v>
      </c>
      <c r="DD18" s="56">
        <v>581.79999999999995</v>
      </c>
      <c r="DE18" s="56">
        <v>593.20000000000005</v>
      </c>
      <c r="DF18" s="56">
        <v>595.70000000000005</v>
      </c>
      <c r="DG18" s="56">
        <v>610.4</v>
      </c>
      <c r="DH18" s="56">
        <v>616.6</v>
      </c>
      <c r="DI18" s="56">
        <v>623.79999999999995</v>
      </c>
      <c r="DJ18" s="56">
        <v>629.1</v>
      </c>
      <c r="DK18" s="56">
        <v>635.5</v>
      </c>
      <c r="DL18" s="56">
        <v>643</v>
      </c>
      <c r="DM18" s="56">
        <v>650.29999999999995</v>
      </c>
      <c r="DN18" s="56">
        <v>657.5</v>
      </c>
      <c r="DO18" s="56">
        <v>667.1</v>
      </c>
      <c r="DP18" s="56">
        <v>679</v>
      </c>
      <c r="DQ18" s="56">
        <v>690.7</v>
      </c>
      <c r="DR18" s="56">
        <v>698.6</v>
      </c>
      <c r="DS18" s="56">
        <v>707.3</v>
      </c>
      <c r="DT18" s="56">
        <v>711.3</v>
      </c>
      <c r="DU18" s="56">
        <v>717.1</v>
      </c>
      <c r="DV18" s="56">
        <v>724.2</v>
      </c>
      <c r="DW18" s="56">
        <v>724.1</v>
      </c>
      <c r="DX18" s="56">
        <v>725.3</v>
      </c>
      <c r="DY18" s="56">
        <v>737.1</v>
      </c>
      <c r="DZ18" s="56">
        <v>744</v>
      </c>
      <c r="EA18" s="56">
        <v>751.3</v>
      </c>
      <c r="EB18" s="56">
        <v>768.5</v>
      </c>
      <c r="EC18" s="56">
        <v>776.3</v>
      </c>
      <c r="ED18" s="56">
        <v>788.6</v>
      </c>
      <c r="EE18" s="56">
        <v>800</v>
      </c>
      <c r="EF18" s="56">
        <v>813</v>
      </c>
      <c r="EG18" s="56">
        <v>820.9</v>
      </c>
      <c r="EH18" s="56">
        <v>847.3</v>
      </c>
      <c r="EI18" s="56">
        <v>859.9</v>
      </c>
      <c r="EJ18" s="56">
        <v>871.3</v>
      </c>
      <c r="EK18" s="56">
        <v>893.8</v>
      </c>
      <c r="EL18" s="56">
        <v>915.1</v>
      </c>
      <c r="EM18" s="56">
        <v>937.3</v>
      </c>
      <c r="EN18" s="56">
        <v>952.1</v>
      </c>
      <c r="EO18" s="56">
        <v>965.3</v>
      </c>
      <c r="EP18" s="56">
        <v>981.8</v>
      </c>
      <c r="EQ18" s="56">
        <v>991.7</v>
      </c>
      <c r="ER18" s="56">
        <v>1004.1</v>
      </c>
      <c r="ES18" s="56">
        <v>1010.5</v>
      </c>
      <c r="ET18" s="56">
        <v>1025.9000000000001</v>
      </c>
      <c r="EU18" s="56">
        <v>1033.0999999999999</v>
      </c>
      <c r="EV18" s="56">
        <v>1035.8</v>
      </c>
      <c r="EW18" s="56">
        <v>1052.5999999999999</v>
      </c>
      <c r="EX18" s="56">
        <v>1045.7</v>
      </c>
      <c r="EY18" s="56">
        <v>1054.7</v>
      </c>
      <c r="EZ18" s="56">
        <v>1058.5</v>
      </c>
      <c r="FA18" s="56">
        <v>1040</v>
      </c>
      <c r="FB18" s="56">
        <v>1015.9</v>
      </c>
      <c r="FC18" s="56">
        <v>1017.3</v>
      </c>
      <c r="FD18" s="56">
        <v>1028.8</v>
      </c>
      <c r="FE18" s="56">
        <v>1045.3</v>
      </c>
      <c r="FF18" s="56">
        <v>1044.5999999999999</v>
      </c>
      <c r="FG18" s="56">
        <v>1062.0999999999999</v>
      </c>
      <c r="FH18" s="56">
        <v>1069.0999999999999</v>
      </c>
      <c r="FI18" s="56">
        <v>1076.4000000000001</v>
      </c>
      <c r="FJ18" s="56">
        <v>1091.5</v>
      </c>
      <c r="FK18" s="56">
        <v>1105.5</v>
      </c>
      <c r="FL18" s="56">
        <v>1103.9000000000001</v>
      </c>
      <c r="FM18" s="56">
        <v>1114</v>
      </c>
      <c r="FN18" s="56">
        <v>1130.9000000000001</v>
      </c>
      <c r="FO18" s="56">
        <v>1133.9000000000001</v>
      </c>
      <c r="FP18" s="56">
        <v>1131.3</v>
      </c>
      <c r="FQ18" s="56">
        <v>1148.4000000000001</v>
      </c>
      <c r="FR18" s="56">
        <v>1175.4000000000001</v>
      </c>
      <c r="FS18" s="56">
        <v>1179.4000000000001</v>
      </c>
      <c r="FT18" s="56">
        <v>1190.2</v>
      </c>
      <c r="FU18" s="56">
        <v>1198.3</v>
      </c>
      <c r="FV18" s="56">
        <v>1215.9000000000001</v>
      </c>
      <c r="FW18" s="56">
        <v>1234.8</v>
      </c>
      <c r="FX18" s="56">
        <v>1245.5999999999999</v>
      </c>
      <c r="FY18" s="56">
        <v>1254.4000000000001</v>
      </c>
      <c r="FZ18" s="56">
        <v>1259.0999999999999</v>
      </c>
      <c r="GA18" s="56">
        <v>1270.9000000000001</v>
      </c>
      <c r="GB18" s="56">
        <v>1275.8</v>
      </c>
      <c r="GC18" s="56">
        <v>1288</v>
      </c>
      <c r="GD18" s="56">
        <v>1292.5</v>
      </c>
      <c r="GE18" s="56">
        <v>1297.5</v>
      </c>
      <c r="GF18" s="56">
        <v>1320.1</v>
      </c>
      <c r="GG18" s="56">
        <v>1326.4</v>
      </c>
      <c r="GH18" s="56">
        <v>1336.9</v>
      </c>
      <c r="GI18" s="56">
        <v>1353.5</v>
      </c>
      <c r="GJ18" s="56">
        <v>1372</v>
      </c>
      <c r="GK18" s="56">
        <v>1393.5</v>
      </c>
      <c r="GL18" s="56">
        <v>1423.3</v>
      </c>
      <c r="GM18" s="56">
        <v>1440.9</v>
      </c>
      <c r="GN18" s="56">
        <v>1463.6</v>
      </c>
      <c r="GO18" s="56">
        <v>1500.6</v>
      </c>
      <c r="GP18" s="56">
        <v>1508.3</v>
      </c>
      <c r="GQ18" s="56">
        <v>1520.2</v>
      </c>
      <c r="GR18" s="56">
        <v>1553.6</v>
      </c>
      <c r="GS18" s="56">
        <v>1552.4</v>
      </c>
      <c r="GT18" s="56">
        <v>1557.2</v>
      </c>
      <c r="GU18" s="56">
        <v>1418</v>
      </c>
      <c r="GV18" s="56">
        <v>1539.4</v>
      </c>
      <c r="GW18" s="56">
        <v>1570.4</v>
      </c>
      <c r="GX18" s="56">
        <v>1598.3</v>
      </c>
      <c r="GY18" s="56">
        <v>1704.8</v>
      </c>
      <c r="GZ18" s="56">
        <v>1722.1</v>
      </c>
      <c r="HA18" s="56">
        <v>1775.1</v>
      </c>
      <c r="HB18" s="56">
        <v>1812.4</v>
      </c>
      <c r="HC18">
        <v>1853.2</v>
      </c>
      <c r="HD18">
        <v>1868.5</v>
      </c>
      <c r="HE18">
        <v>1866.9</v>
      </c>
      <c r="HF18">
        <v>1877.4</v>
      </c>
      <c r="HG18">
        <v>1885.2</v>
      </c>
      <c r="HH18">
        <v>1896.2</v>
      </c>
      <c r="HI18">
        <v>1913.6</v>
      </c>
      <c r="HJ18">
        <v>1938</v>
      </c>
      <c r="HK18">
        <v>1954.7</v>
      </c>
      <c r="HL18">
        <v>1975.9</v>
      </c>
      <c r="HM18">
        <v>2004.2</v>
      </c>
      <c r="HN18">
        <v>2037.2</v>
      </c>
      <c r="HO18">
        <v>2229.9</v>
      </c>
    </row>
    <row r="19" spans="1:223" x14ac:dyDescent="0.35">
      <c r="A19" s="56" t="s">
        <v>2254</v>
      </c>
      <c r="B19" s="56">
        <v>30.7</v>
      </c>
      <c r="C19" s="56">
        <v>30.8</v>
      </c>
      <c r="D19" s="56">
        <v>31.7</v>
      </c>
      <c r="E19" s="56">
        <v>30.2</v>
      </c>
      <c r="F19" s="56">
        <v>34</v>
      </c>
      <c r="G19" s="56">
        <v>34.9</v>
      </c>
      <c r="H19" s="56">
        <v>34.1</v>
      </c>
      <c r="I19" s="56">
        <v>34.6</v>
      </c>
      <c r="J19" s="56">
        <v>36.799999999999997</v>
      </c>
      <c r="K19" s="56">
        <v>37.1</v>
      </c>
      <c r="L19" s="56">
        <v>38.299999999999997</v>
      </c>
      <c r="M19" s="56">
        <v>42.4</v>
      </c>
      <c r="N19" s="56">
        <v>45.3</v>
      </c>
      <c r="O19" s="56">
        <v>45.4</v>
      </c>
      <c r="P19" s="56">
        <v>43.4</v>
      </c>
      <c r="Q19" s="56">
        <v>45.6</v>
      </c>
      <c r="R19" s="56">
        <v>43.7</v>
      </c>
      <c r="S19" s="56">
        <v>45.9</v>
      </c>
      <c r="T19" s="56">
        <v>50.8</v>
      </c>
      <c r="U19" s="56">
        <v>44.6</v>
      </c>
      <c r="V19" s="56">
        <v>37.6</v>
      </c>
      <c r="W19" s="56">
        <v>40.799999999999997</v>
      </c>
      <c r="X19" s="56">
        <v>51.4</v>
      </c>
      <c r="Y19" s="56">
        <v>52.3</v>
      </c>
      <c r="Z19" s="56">
        <v>59.6</v>
      </c>
      <c r="AA19" s="56">
        <v>58.6</v>
      </c>
      <c r="AB19" s="56">
        <v>58.1</v>
      </c>
      <c r="AC19" s="56">
        <v>57.1</v>
      </c>
      <c r="AD19" s="56">
        <v>61.5</v>
      </c>
      <c r="AE19" s="56">
        <v>67.099999999999994</v>
      </c>
      <c r="AF19" s="56">
        <v>69.7</v>
      </c>
      <c r="AG19" s="56">
        <v>70.099999999999994</v>
      </c>
      <c r="AH19" s="56">
        <v>65</v>
      </c>
      <c r="AI19" s="56">
        <v>78.599999999999994</v>
      </c>
      <c r="AJ19" s="56">
        <v>79.099999999999994</v>
      </c>
      <c r="AK19" s="56">
        <v>83.3</v>
      </c>
      <c r="AL19" s="56">
        <v>80.3</v>
      </c>
      <c r="AM19" s="56">
        <v>80.3</v>
      </c>
      <c r="AN19" s="56">
        <v>78.900000000000006</v>
      </c>
      <c r="AO19" s="56">
        <v>75.3</v>
      </c>
      <c r="AP19" s="56">
        <v>83.1</v>
      </c>
      <c r="AQ19" s="56">
        <v>62.6</v>
      </c>
      <c r="AR19" s="56">
        <v>69.900000000000006</v>
      </c>
      <c r="AS19" s="56">
        <v>76.8</v>
      </c>
      <c r="AT19" s="56">
        <v>75.400000000000006</v>
      </c>
      <c r="AU19" s="56">
        <v>65.900000000000006</v>
      </c>
      <c r="AV19" s="56">
        <v>68.400000000000006</v>
      </c>
      <c r="AW19" s="56">
        <v>58.9</v>
      </c>
      <c r="AX19" s="56">
        <v>47.6</v>
      </c>
      <c r="AY19" s="56">
        <v>49</v>
      </c>
      <c r="AZ19" s="56">
        <v>49.8</v>
      </c>
      <c r="BA19" s="56">
        <v>45.1</v>
      </c>
      <c r="BB19" s="56">
        <v>47.1</v>
      </c>
      <c r="BC19" s="56">
        <v>61.9</v>
      </c>
      <c r="BD19" s="56">
        <v>70.7</v>
      </c>
      <c r="BE19" s="56">
        <v>72.400000000000006</v>
      </c>
      <c r="BF19" s="56">
        <v>84.9</v>
      </c>
      <c r="BG19" s="56">
        <v>83.7</v>
      </c>
      <c r="BH19" s="56">
        <v>71.3</v>
      </c>
      <c r="BI19" s="56">
        <v>72.099999999999994</v>
      </c>
      <c r="BJ19" s="56">
        <v>77.7</v>
      </c>
      <c r="BK19" s="56">
        <v>76</v>
      </c>
      <c r="BL19" s="56">
        <v>81.7</v>
      </c>
      <c r="BM19" s="56">
        <v>79.5</v>
      </c>
      <c r="BN19" s="56">
        <v>84.4</v>
      </c>
      <c r="BO19" s="56">
        <v>85.5</v>
      </c>
      <c r="BP19" s="56">
        <v>86.9</v>
      </c>
      <c r="BQ19" s="56">
        <v>97.9</v>
      </c>
      <c r="BR19" s="56">
        <v>98.7</v>
      </c>
      <c r="BS19" s="56">
        <v>111.8</v>
      </c>
      <c r="BT19" s="56">
        <v>116.2</v>
      </c>
      <c r="BU19" s="56">
        <v>110.7</v>
      </c>
      <c r="BV19" s="56">
        <v>108</v>
      </c>
      <c r="BW19" s="56">
        <v>115.3</v>
      </c>
      <c r="BX19" s="56">
        <v>125.1</v>
      </c>
      <c r="BY19" s="56">
        <v>130.9</v>
      </c>
      <c r="BZ19" s="56">
        <v>132.69999999999999</v>
      </c>
      <c r="CA19" s="56">
        <v>118.7</v>
      </c>
      <c r="CB19" s="56">
        <v>114.4</v>
      </c>
      <c r="CC19" s="56">
        <v>113.5</v>
      </c>
      <c r="CD19" s="56">
        <v>112.5</v>
      </c>
      <c r="CE19" s="56">
        <v>116.8</v>
      </c>
      <c r="CF19" s="56">
        <v>119.9</v>
      </c>
      <c r="CG19" s="56">
        <v>118.8</v>
      </c>
      <c r="CH19" s="56">
        <v>115.3</v>
      </c>
      <c r="CI19" s="56">
        <v>110.9</v>
      </c>
      <c r="CJ19" s="56">
        <v>111.9</v>
      </c>
      <c r="CK19" s="56">
        <v>113.1</v>
      </c>
      <c r="CL19" s="56">
        <v>125</v>
      </c>
      <c r="CM19" s="56">
        <v>126.8</v>
      </c>
      <c r="CN19" s="56">
        <v>122.1</v>
      </c>
      <c r="CO19" s="56">
        <v>131.6</v>
      </c>
      <c r="CP19" s="56">
        <v>136.4</v>
      </c>
      <c r="CQ19" s="56">
        <v>148.69999999999999</v>
      </c>
      <c r="CR19" s="56">
        <v>140.69999999999999</v>
      </c>
      <c r="CS19" s="56">
        <v>171.9</v>
      </c>
      <c r="CT19" s="56">
        <v>149.5</v>
      </c>
      <c r="CU19" s="56">
        <v>158</v>
      </c>
      <c r="CV19" s="56">
        <v>173.8</v>
      </c>
      <c r="CW19" s="56">
        <v>183.6</v>
      </c>
      <c r="CX19" s="56">
        <v>187.8</v>
      </c>
      <c r="CY19" s="56">
        <v>184.4</v>
      </c>
      <c r="CZ19" s="56">
        <v>191</v>
      </c>
      <c r="DA19" s="56">
        <v>187.1</v>
      </c>
      <c r="DB19" s="56">
        <v>194.3</v>
      </c>
      <c r="DC19" s="56">
        <v>205.5</v>
      </c>
      <c r="DD19" s="56">
        <v>205.9</v>
      </c>
      <c r="DE19" s="56">
        <v>208.6</v>
      </c>
      <c r="DF19" s="56">
        <v>210</v>
      </c>
      <c r="DG19" s="56">
        <v>214</v>
      </c>
      <c r="DH19" s="56">
        <v>226</v>
      </c>
      <c r="DI19" s="56">
        <v>215.9</v>
      </c>
      <c r="DJ19" s="56">
        <v>213.5</v>
      </c>
      <c r="DK19" s="56">
        <v>209.9</v>
      </c>
      <c r="DL19" s="56">
        <v>215.8</v>
      </c>
      <c r="DM19" s="56">
        <v>211.3</v>
      </c>
      <c r="DN19" s="56">
        <v>222.3</v>
      </c>
      <c r="DO19" s="56">
        <v>219.9</v>
      </c>
      <c r="DP19" s="56">
        <v>223.3</v>
      </c>
      <c r="DQ19" s="56">
        <v>228</v>
      </c>
      <c r="DR19" s="56">
        <v>239.4</v>
      </c>
      <c r="DS19" s="56">
        <v>237.6</v>
      </c>
      <c r="DT19" s="56">
        <v>219</v>
      </c>
      <c r="DU19" s="56">
        <v>221.3</v>
      </c>
      <c r="DV19" s="56">
        <v>185.1</v>
      </c>
      <c r="DW19" s="56">
        <v>179</v>
      </c>
      <c r="DX19" s="56">
        <v>159.30000000000001</v>
      </c>
      <c r="DY19" s="56">
        <v>142.4</v>
      </c>
      <c r="DZ19" s="56">
        <v>143.80000000000001</v>
      </c>
      <c r="EA19" s="56">
        <v>150</v>
      </c>
      <c r="EB19" s="56">
        <v>158</v>
      </c>
      <c r="EC19" s="56">
        <v>175.5</v>
      </c>
      <c r="ED19" s="56">
        <v>196.1</v>
      </c>
      <c r="EE19" s="56">
        <v>192.6</v>
      </c>
      <c r="EF19" s="56">
        <v>213.9</v>
      </c>
      <c r="EG19" s="56">
        <v>236.6</v>
      </c>
      <c r="EH19" s="56">
        <v>247</v>
      </c>
      <c r="EI19" s="56">
        <v>266.8</v>
      </c>
      <c r="EJ19" s="56">
        <v>288.3</v>
      </c>
      <c r="EK19" s="56">
        <v>293.60000000000002</v>
      </c>
      <c r="EL19" s="56">
        <v>370.6</v>
      </c>
      <c r="EM19" s="56">
        <v>359</v>
      </c>
      <c r="EN19" s="56">
        <v>365.2</v>
      </c>
      <c r="EO19" s="56">
        <v>402.9</v>
      </c>
      <c r="EP19" s="56">
        <v>416.9</v>
      </c>
      <c r="EQ19" s="56">
        <v>427.6</v>
      </c>
      <c r="ER19" s="56">
        <v>446.6</v>
      </c>
      <c r="ES19" s="56">
        <v>409.8</v>
      </c>
      <c r="ET19" s="56">
        <v>413.6</v>
      </c>
      <c r="EU19" s="56">
        <v>407.2</v>
      </c>
      <c r="EV19" s="56">
        <v>370.9</v>
      </c>
      <c r="EW19" s="56">
        <v>352.7</v>
      </c>
      <c r="EX19" s="56">
        <v>291.89999999999998</v>
      </c>
      <c r="EY19" s="56">
        <v>278.7</v>
      </c>
      <c r="EZ19" s="56">
        <v>264.39999999999998</v>
      </c>
      <c r="FA19" s="56">
        <v>162.6</v>
      </c>
      <c r="FB19" s="56">
        <v>166.5</v>
      </c>
      <c r="FC19" s="56">
        <v>188.6</v>
      </c>
      <c r="FD19" s="56">
        <v>200.7</v>
      </c>
      <c r="FE19" s="56">
        <v>234.2</v>
      </c>
      <c r="FF19" s="56">
        <v>249.8</v>
      </c>
      <c r="FG19" s="56">
        <v>255.6</v>
      </c>
      <c r="FH19" s="56">
        <v>272.60000000000002</v>
      </c>
      <c r="FI19" s="56">
        <v>284</v>
      </c>
      <c r="FJ19" s="56">
        <v>277.3</v>
      </c>
      <c r="FK19" s="56">
        <v>276.89999999999998</v>
      </c>
      <c r="FL19" s="56">
        <v>248.2</v>
      </c>
      <c r="FM19" s="56">
        <v>287</v>
      </c>
      <c r="FN19" s="56">
        <v>310.7</v>
      </c>
      <c r="FO19" s="56">
        <v>325</v>
      </c>
      <c r="FP19" s="56">
        <v>332.9</v>
      </c>
      <c r="FQ19" s="56">
        <v>332.8</v>
      </c>
      <c r="FR19" s="56">
        <v>350.6</v>
      </c>
      <c r="FS19" s="56">
        <v>347.2</v>
      </c>
      <c r="FT19" s="56">
        <v>353.9</v>
      </c>
      <c r="FU19" s="56">
        <v>356.6</v>
      </c>
      <c r="FV19" s="56">
        <v>392.6</v>
      </c>
      <c r="FW19" s="56">
        <v>414.3</v>
      </c>
      <c r="FX19" s="56">
        <v>386.7</v>
      </c>
      <c r="FY19" s="56">
        <v>390.4</v>
      </c>
      <c r="FZ19" s="56">
        <v>402.7</v>
      </c>
      <c r="GA19" s="56">
        <v>408.3</v>
      </c>
      <c r="GB19" s="56">
        <v>380.2</v>
      </c>
      <c r="GC19" s="56">
        <v>349.3</v>
      </c>
      <c r="GD19" s="56">
        <v>364.1</v>
      </c>
      <c r="GE19" s="56">
        <v>367.1</v>
      </c>
      <c r="GF19" s="56">
        <v>375.5</v>
      </c>
      <c r="GG19" s="56">
        <v>353.4</v>
      </c>
      <c r="GH19" s="56">
        <v>266.89999999999998</v>
      </c>
      <c r="GI19" s="56">
        <v>279.60000000000002</v>
      </c>
      <c r="GJ19" s="56">
        <v>295.7</v>
      </c>
      <c r="GK19" s="56">
        <v>296.89999999999998</v>
      </c>
      <c r="GL19" s="56">
        <v>270.39999999999998</v>
      </c>
      <c r="GM19" s="56">
        <v>289.5</v>
      </c>
      <c r="GN19" s="56">
        <v>287.10000000000002</v>
      </c>
      <c r="GO19" s="56">
        <v>293.3</v>
      </c>
      <c r="GP19" s="56">
        <v>269.2</v>
      </c>
      <c r="GQ19" s="56">
        <v>282.39999999999998</v>
      </c>
      <c r="GR19" s="56">
        <v>281</v>
      </c>
      <c r="GS19" s="56">
        <v>302.2</v>
      </c>
      <c r="GT19" s="56">
        <v>255.9</v>
      </c>
      <c r="GU19" s="56">
        <v>266</v>
      </c>
      <c r="GV19" s="56">
        <v>340.1</v>
      </c>
      <c r="GW19" s="56">
        <v>333.6</v>
      </c>
      <c r="GX19" s="56">
        <v>373.1</v>
      </c>
      <c r="GY19" s="56">
        <v>437.6</v>
      </c>
      <c r="GZ19" s="56">
        <v>463.9</v>
      </c>
      <c r="HA19" s="56">
        <v>526</v>
      </c>
      <c r="HB19">
        <v>550.4</v>
      </c>
      <c r="HC19">
        <v>574.70000000000005</v>
      </c>
      <c r="HD19">
        <v>561.20000000000005</v>
      </c>
      <c r="HE19">
        <v>569.1</v>
      </c>
      <c r="HF19">
        <v>592.9</v>
      </c>
      <c r="HG19">
        <v>591.9</v>
      </c>
      <c r="HH19">
        <v>617.79999999999995</v>
      </c>
      <c r="HI19">
        <v>631.70000000000005</v>
      </c>
      <c r="HJ19">
        <v>630.29999999999995</v>
      </c>
      <c r="HK19">
        <v>657.4</v>
      </c>
      <c r="HL19">
        <v>655.7</v>
      </c>
      <c r="HM19">
        <v>676.2</v>
      </c>
      <c r="HN19">
        <v>694.5</v>
      </c>
    </row>
    <row r="20" spans="1:223" x14ac:dyDescent="0.35">
      <c r="A20" s="56" t="s">
        <v>2255</v>
      </c>
      <c r="B20" s="56">
        <v>247.9</v>
      </c>
      <c r="C20" s="56">
        <v>249.1</v>
      </c>
      <c r="D20" s="56">
        <v>254.6</v>
      </c>
      <c r="E20" s="56">
        <v>258.7</v>
      </c>
      <c r="F20" s="56">
        <v>261.89999999999998</v>
      </c>
      <c r="G20" s="56">
        <v>266.10000000000002</v>
      </c>
      <c r="H20" s="56">
        <v>269.8</v>
      </c>
      <c r="I20" s="56">
        <v>272.10000000000002</v>
      </c>
      <c r="J20" s="56">
        <v>282.2</v>
      </c>
      <c r="K20" s="56">
        <v>286.5</v>
      </c>
      <c r="L20" s="56">
        <v>284.3</v>
      </c>
      <c r="M20" s="56">
        <v>291.7</v>
      </c>
      <c r="N20" s="56">
        <v>299.60000000000002</v>
      </c>
      <c r="O20" s="56">
        <v>302.7</v>
      </c>
      <c r="P20" s="56">
        <v>304.2</v>
      </c>
      <c r="Q20" s="56">
        <v>312.60000000000002</v>
      </c>
      <c r="R20" s="56">
        <v>324.60000000000002</v>
      </c>
      <c r="S20" s="56">
        <v>335</v>
      </c>
      <c r="T20" s="56">
        <v>346.7</v>
      </c>
      <c r="U20" s="56">
        <v>359.2</v>
      </c>
      <c r="V20" s="56">
        <v>370.1</v>
      </c>
      <c r="W20" s="56">
        <v>373.4</v>
      </c>
      <c r="X20" s="56">
        <v>385.4</v>
      </c>
      <c r="Y20" s="56">
        <v>395.6</v>
      </c>
      <c r="Z20" s="56">
        <v>401.3</v>
      </c>
      <c r="AA20" s="56">
        <v>401</v>
      </c>
      <c r="AB20" s="56">
        <v>403.5</v>
      </c>
      <c r="AC20" s="56">
        <v>410.8</v>
      </c>
      <c r="AD20" s="56">
        <v>421.2</v>
      </c>
      <c r="AE20" s="56">
        <v>431.4</v>
      </c>
      <c r="AF20" s="56">
        <v>438</v>
      </c>
      <c r="AG20" s="56">
        <v>446.7</v>
      </c>
      <c r="AH20" s="56">
        <v>452.6</v>
      </c>
      <c r="AI20" s="56">
        <v>472.3</v>
      </c>
      <c r="AJ20" s="56">
        <v>484.2</v>
      </c>
      <c r="AK20" s="56">
        <v>496.2</v>
      </c>
      <c r="AL20" s="56">
        <v>501.8</v>
      </c>
      <c r="AM20" s="56">
        <v>516.5</v>
      </c>
      <c r="AN20" s="56">
        <v>533.1</v>
      </c>
      <c r="AO20" s="56">
        <v>547.79999999999995</v>
      </c>
      <c r="AP20" s="56">
        <v>568.79999999999995</v>
      </c>
      <c r="AQ20" s="56">
        <v>588.5</v>
      </c>
      <c r="AR20" s="56">
        <v>592.20000000000005</v>
      </c>
      <c r="AS20" s="56">
        <v>608.9</v>
      </c>
      <c r="AT20" s="56">
        <v>633.4</v>
      </c>
      <c r="AU20" s="56">
        <v>648.70000000000005</v>
      </c>
      <c r="AV20" s="56">
        <v>657.8</v>
      </c>
      <c r="AW20" s="56">
        <v>677.7</v>
      </c>
      <c r="AX20" s="56">
        <v>688.1</v>
      </c>
      <c r="AY20" s="56">
        <v>703.1</v>
      </c>
      <c r="AZ20" s="56">
        <v>717.3</v>
      </c>
      <c r="BA20" s="56">
        <v>737.4</v>
      </c>
      <c r="BB20" s="56">
        <v>747.9</v>
      </c>
      <c r="BC20" s="56">
        <v>761.1</v>
      </c>
      <c r="BD20" s="56">
        <v>782.2</v>
      </c>
      <c r="BE20" s="56">
        <v>775.1</v>
      </c>
      <c r="BF20" s="56">
        <v>794</v>
      </c>
      <c r="BG20" s="56">
        <v>819.1</v>
      </c>
      <c r="BH20" s="56">
        <v>835.7</v>
      </c>
      <c r="BI20" s="56">
        <v>862.8</v>
      </c>
      <c r="BJ20" s="56">
        <v>875.6</v>
      </c>
      <c r="BK20" s="56">
        <v>900.5</v>
      </c>
      <c r="BL20" s="56">
        <v>927.4</v>
      </c>
      <c r="BM20" s="56">
        <v>938.6</v>
      </c>
      <c r="BN20" s="56">
        <v>946.8</v>
      </c>
      <c r="BO20" s="56">
        <v>967.5</v>
      </c>
      <c r="BP20" s="56">
        <v>993.6</v>
      </c>
      <c r="BQ20" s="56">
        <v>996.4</v>
      </c>
      <c r="BR20" s="56">
        <v>1008.7</v>
      </c>
      <c r="BS20" s="56">
        <v>1025.2</v>
      </c>
      <c r="BT20" s="56">
        <v>1036.2</v>
      </c>
      <c r="BU20" s="56">
        <v>1056</v>
      </c>
      <c r="BV20" s="56">
        <v>1056.9000000000001</v>
      </c>
      <c r="BW20" s="56">
        <v>1070.4000000000001</v>
      </c>
      <c r="BX20" s="56">
        <v>1078.2</v>
      </c>
      <c r="BY20" s="56">
        <v>1109.9000000000001</v>
      </c>
      <c r="BZ20" s="56">
        <v>1116.5999999999999</v>
      </c>
      <c r="CA20" s="56">
        <v>1145.8</v>
      </c>
      <c r="CB20" s="56">
        <v>1164.5999999999999</v>
      </c>
      <c r="CC20" s="56">
        <v>1180.5</v>
      </c>
      <c r="CD20" s="56">
        <v>1212.5</v>
      </c>
      <c r="CE20" s="56">
        <v>1230.7</v>
      </c>
      <c r="CF20" s="56">
        <v>1242.5999999999999</v>
      </c>
      <c r="CG20" s="56">
        <v>1268.5</v>
      </c>
      <c r="CH20" s="56">
        <v>1284.2</v>
      </c>
      <c r="CI20" s="56">
        <v>1296.5999999999999</v>
      </c>
      <c r="CJ20" s="56">
        <v>1306.3</v>
      </c>
      <c r="CK20" s="56">
        <v>1308.8</v>
      </c>
      <c r="CL20" s="56">
        <v>1326.4</v>
      </c>
      <c r="CM20" s="56">
        <v>1334.8</v>
      </c>
      <c r="CN20" s="56">
        <v>1354</v>
      </c>
      <c r="CO20" s="56">
        <v>1362.8</v>
      </c>
      <c r="CP20" s="56">
        <v>1351.8</v>
      </c>
      <c r="CQ20" s="56">
        <v>1359.1</v>
      </c>
      <c r="CR20" s="56">
        <v>1367.4</v>
      </c>
      <c r="CS20" s="56">
        <v>1381.4</v>
      </c>
      <c r="CT20" s="56">
        <v>1373.4</v>
      </c>
      <c r="CU20" s="56">
        <v>1389.4</v>
      </c>
      <c r="CV20" s="56">
        <v>1423.4</v>
      </c>
      <c r="CW20" s="56">
        <v>1422.9</v>
      </c>
      <c r="CX20" s="56">
        <v>1437.6</v>
      </c>
      <c r="CY20" s="56">
        <v>1452.9</v>
      </c>
      <c r="CZ20" s="56">
        <v>1455.7</v>
      </c>
      <c r="DA20" s="56">
        <v>1451.6</v>
      </c>
      <c r="DB20" s="56">
        <v>1471.3</v>
      </c>
      <c r="DC20" s="56">
        <v>1487.7</v>
      </c>
      <c r="DD20" s="56">
        <v>1496.7</v>
      </c>
      <c r="DE20" s="56">
        <v>1515.7</v>
      </c>
      <c r="DF20" s="56">
        <v>1516</v>
      </c>
      <c r="DG20" s="56">
        <v>1542.5</v>
      </c>
      <c r="DH20" s="56">
        <v>1555.2</v>
      </c>
      <c r="DI20" s="56">
        <v>1574.8</v>
      </c>
      <c r="DJ20" s="56">
        <v>1568</v>
      </c>
      <c r="DK20" s="56">
        <v>1603.7</v>
      </c>
      <c r="DL20" s="56">
        <v>1627.3</v>
      </c>
      <c r="DM20" s="56">
        <v>1647.5</v>
      </c>
      <c r="DN20" s="56">
        <v>1669.1</v>
      </c>
      <c r="DO20" s="56">
        <v>1694.8</v>
      </c>
      <c r="DP20" s="56">
        <v>1734</v>
      </c>
      <c r="DQ20" s="56">
        <v>1781.7</v>
      </c>
      <c r="DR20" s="56">
        <v>1789.9</v>
      </c>
      <c r="DS20" s="56">
        <v>1822.5</v>
      </c>
      <c r="DT20" s="56">
        <v>1832.1</v>
      </c>
      <c r="DU20" s="56">
        <v>1861.3</v>
      </c>
      <c r="DV20" s="56">
        <v>1906.3</v>
      </c>
      <c r="DW20" s="56">
        <v>1947.7</v>
      </c>
      <c r="DX20" s="56">
        <v>1953.4</v>
      </c>
      <c r="DY20" s="56">
        <v>1992.7</v>
      </c>
      <c r="DZ20" s="56">
        <v>2040</v>
      </c>
      <c r="EA20" s="56">
        <v>2074.5</v>
      </c>
      <c r="EB20" s="56">
        <v>2101.3000000000002</v>
      </c>
      <c r="EC20" s="56">
        <v>2142.1999999999998</v>
      </c>
      <c r="ED20" s="56">
        <v>2172</v>
      </c>
      <c r="EE20" s="56">
        <v>2198.8000000000002</v>
      </c>
      <c r="EF20" s="56">
        <v>2220.4</v>
      </c>
      <c r="EG20" s="56">
        <v>2251.1999999999998</v>
      </c>
      <c r="EH20" s="56">
        <v>2286.6</v>
      </c>
      <c r="EI20" s="56">
        <v>2320.6999999999998</v>
      </c>
      <c r="EJ20" s="56">
        <v>2356.4</v>
      </c>
      <c r="EK20" s="56">
        <v>2388.8000000000002</v>
      </c>
      <c r="EL20" s="56">
        <v>2426.1</v>
      </c>
      <c r="EM20" s="56">
        <v>2452.1999999999998</v>
      </c>
      <c r="EN20" s="56">
        <v>2494.4</v>
      </c>
      <c r="EO20" s="56">
        <v>2528.4</v>
      </c>
      <c r="EP20" s="56">
        <v>2580.1</v>
      </c>
      <c r="EQ20" s="56">
        <v>2610.6</v>
      </c>
      <c r="ER20" s="56">
        <v>2630.3</v>
      </c>
      <c r="ES20" s="56">
        <v>2674.5</v>
      </c>
      <c r="ET20" s="56">
        <v>2718.5</v>
      </c>
      <c r="EU20" s="56">
        <v>2770</v>
      </c>
      <c r="EV20" s="56">
        <v>2808.7</v>
      </c>
      <c r="EW20" s="56">
        <v>2865.1</v>
      </c>
      <c r="EX20" s="56">
        <v>2909.6</v>
      </c>
      <c r="EY20" s="56">
        <v>2971.6</v>
      </c>
      <c r="EZ20" s="56">
        <v>3029</v>
      </c>
      <c r="FA20" s="56">
        <v>3021.8</v>
      </c>
      <c r="FB20" s="56">
        <v>3022</v>
      </c>
      <c r="FC20" s="56">
        <v>3070.5</v>
      </c>
      <c r="FD20" s="56">
        <v>3092.1</v>
      </c>
      <c r="FE20" s="56">
        <v>3120.8</v>
      </c>
      <c r="FF20" s="56">
        <v>3133.8</v>
      </c>
      <c r="FG20" s="56">
        <v>3165.8</v>
      </c>
      <c r="FH20" s="56">
        <v>3158.3</v>
      </c>
      <c r="FI20" s="56">
        <v>3164.3</v>
      </c>
      <c r="FJ20" s="56">
        <v>3155.8</v>
      </c>
      <c r="FK20" s="56">
        <v>3168.3</v>
      </c>
      <c r="FL20" s="56">
        <v>3136.9</v>
      </c>
      <c r="FM20" s="56">
        <v>3130.8</v>
      </c>
      <c r="FN20" s="56">
        <v>3144</v>
      </c>
      <c r="FO20" s="56">
        <v>3130.4</v>
      </c>
      <c r="FP20" s="56">
        <v>3139.1</v>
      </c>
      <c r="FQ20" s="56">
        <v>3132.3</v>
      </c>
      <c r="FR20" s="56">
        <v>3123.5</v>
      </c>
      <c r="FS20" s="56">
        <v>3131.1</v>
      </c>
      <c r="FT20" s="56">
        <v>3135.2</v>
      </c>
      <c r="FU20" s="56">
        <v>3140.5</v>
      </c>
      <c r="FV20" s="56">
        <v>3139.1</v>
      </c>
      <c r="FW20" s="56">
        <v>3154.4</v>
      </c>
      <c r="FX20" s="56">
        <v>3191.7</v>
      </c>
      <c r="FY20" s="56">
        <v>3189.3</v>
      </c>
      <c r="FZ20" s="56">
        <v>3187.9</v>
      </c>
      <c r="GA20" s="56">
        <v>3234.1</v>
      </c>
      <c r="GB20" s="56">
        <v>3253.6</v>
      </c>
      <c r="GC20" s="56">
        <v>3258.1</v>
      </c>
      <c r="GD20" s="56">
        <v>3270.1</v>
      </c>
      <c r="GE20" s="56">
        <v>3289.6</v>
      </c>
      <c r="GF20" s="56">
        <v>3315.2</v>
      </c>
      <c r="GG20" s="56">
        <v>3337.2</v>
      </c>
      <c r="GH20" s="56">
        <v>3353.1</v>
      </c>
      <c r="GI20" s="56">
        <v>3370.4</v>
      </c>
      <c r="GJ20" s="56">
        <v>3398.9</v>
      </c>
      <c r="GK20" s="56">
        <v>3466.1</v>
      </c>
      <c r="GL20" s="56">
        <v>3513.9</v>
      </c>
      <c r="GM20" s="56">
        <v>3570.7</v>
      </c>
      <c r="GN20" s="56">
        <v>3626.1</v>
      </c>
      <c r="GO20" s="56">
        <v>3650.8</v>
      </c>
      <c r="GP20" s="56">
        <v>3702.9</v>
      </c>
      <c r="GQ20" s="56">
        <v>3761.2</v>
      </c>
      <c r="GR20" s="56">
        <v>3814.8</v>
      </c>
      <c r="GS20" s="56">
        <v>3865</v>
      </c>
      <c r="GT20" s="56">
        <v>3943</v>
      </c>
      <c r="GU20" s="56">
        <v>4026</v>
      </c>
      <c r="GV20" s="56">
        <v>4001.6</v>
      </c>
      <c r="GW20" s="56">
        <v>4028</v>
      </c>
      <c r="GX20" s="56">
        <v>4147.6000000000004</v>
      </c>
      <c r="GY20" s="56">
        <v>4170</v>
      </c>
      <c r="GZ20" s="56">
        <v>4214</v>
      </c>
      <c r="HA20" s="56">
        <v>4282.3</v>
      </c>
      <c r="HB20" s="56">
        <v>4332.6000000000004</v>
      </c>
      <c r="HC20">
        <v>4437.6000000000004</v>
      </c>
      <c r="HD20">
        <v>4480.1000000000004</v>
      </c>
      <c r="HE20">
        <v>4564.8</v>
      </c>
      <c r="HF20">
        <v>4624.6000000000004</v>
      </c>
      <c r="HG20">
        <v>4645.8999999999996</v>
      </c>
      <c r="HH20">
        <v>4756.3999999999996</v>
      </c>
      <c r="HI20">
        <v>4815.2</v>
      </c>
      <c r="HJ20">
        <v>4881</v>
      </c>
      <c r="HK20">
        <v>4943</v>
      </c>
      <c r="HL20">
        <v>5035</v>
      </c>
      <c r="HM20">
        <v>5099.7</v>
      </c>
      <c r="HN20">
        <v>5149.8999999999996</v>
      </c>
      <c r="HO20">
        <v>5189.7</v>
      </c>
    </row>
    <row r="21" spans="1:223" x14ac:dyDescent="0.35">
      <c r="A21" s="56" t="s">
        <v>2256</v>
      </c>
      <c r="B21" s="56">
        <v>46.2</v>
      </c>
      <c r="C21" s="56">
        <v>46.5</v>
      </c>
      <c r="D21" s="56">
        <v>46.9</v>
      </c>
      <c r="E21" s="56">
        <v>46.7</v>
      </c>
      <c r="F21" s="56">
        <v>50.8</v>
      </c>
      <c r="G21" s="56">
        <v>51.4</v>
      </c>
      <c r="H21" s="56">
        <v>51.6</v>
      </c>
      <c r="I21" s="56">
        <v>52.2</v>
      </c>
      <c r="J21" s="56">
        <v>58.5</v>
      </c>
      <c r="K21" s="56">
        <v>59.2</v>
      </c>
      <c r="L21" s="56">
        <v>59.9</v>
      </c>
      <c r="M21" s="56">
        <v>60.8</v>
      </c>
      <c r="N21" s="56">
        <v>74.099999999999994</v>
      </c>
      <c r="O21" s="56">
        <v>75.3</v>
      </c>
      <c r="P21" s="56">
        <v>76.599999999999994</v>
      </c>
      <c r="Q21" s="56">
        <v>78.099999999999994</v>
      </c>
      <c r="R21" s="56">
        <v>83.7</v>
      </c>
      <c r="S21" s="56">
        <v>85.3</v>
      </c>
      <c r="T21" s="56">
        <v>86.9</v>
      </c>
      <c r="U21" s="56">
        <v>87.1</v>
      </c>
      <c r="V21" s="56">
        <v>88.2</v>
      </c>
      <c r="W21" s="56">
        <v>88.6</v>
      </c>
      <c r="X21" s="56">
        <v>90.3</v>
      </c>
      <c r="Y21" s="56">
        <v>92.4</v>
      </c>
      <c r="Z21" s="56">
        <v>99.6</v>
      </c>
      <c r="AA21" s="56">
        <v>101.1</v>
      </c>
      <c r="AB21" s="56">
        <v>102.8</v>
      </c>
      <c r="AC21" s="56">
        <v>104.4</v>
      </c>
      <c r="AD21" s="56">
        <v>110</v>
      </c>
      <c r="AE21" s="56">
        <v>112.8</v>
      </c>
      <c r="AF21" s="56">
        <v>115.1</v>
      </c>
      <c r="AG21" s="56">
        <v>117.5</v>
      </c>
      <c r="AH21" s="56">
        <v>124.7</v>
      </c>
      <c r="AI21" s="56">
        <v>129.9</v>
      </c>
      <c r="AJ21" s="56">
        <v>134.19999999999999</v>
      </c>
      <c r="AK21" s="56">
        <v>139.6</v>
      </c>
      <c r="AL21" s="56">
        <v>146.9</v>
      </c>
      <c r="AM21" s="56">
        <v>151.19999999999999</v>
      </c>
      <c r="AN21" s="56">
        <v>156.30000000000001</v>
      </c>
      <c r="AO21" s="56">
        <v>160.30000000000001</v>
      </c>
      <c r="AP21" s="56">
        <v>162.9</v>
      </c>
      <c r="AQ21" s="56">
        <v>163.9</v>
      </c>
      <c r="AR21" s="56">
        <v>168</v>
      </c>
      <c r="AS21" s="56">
        <v>174</v>
      </c>
      <c r="AT21" s="56">
        <v>191</v>
      </c>
      <c r="AU21" s="56">
        <v>194.8</v>
      </c>
      <c r="AV21" s="56">
        <v>199.5</v>
      </c>
      <c r="AW21" s="56">
        <v>202.2</v>
      </c>
      <c r="AX21" s="56">
        <v>207.2</v>
      </c>
      <c r="AY21" s="56">
        <v>209.2</v>
      </c>
      <c r="AZ21" s="56">
        <v>211.5</v>
      </c>
      <c r="BA21" s="56">
        <v>212.4</v>
      </c>
      <c r="BB21" s="56">
        <v>220.2</v>
      </c>
      <c r="BC21" s="56">
        <v>224.2</v>
      </c>
      <c r="BD21" s="56">
        <v>228.9</v>
      </c>
      <c r="BE21" s="56">
        <v>235.5</v>
      </c>
      <c r="BF21" s="56">
        <v>250.8</v>
      </c>
      <c r="BG21" s="56">
        <v>256.8</v>
      </c>
      <c r="BH21" s="56">
        <v>261.8</v>
      </c>
      <c r="BI21" s="56">
        <v>265.8</v>
      </c>
      <c r="BJ21" s="56">
        <v>275.7</v>
      </c>
      <c r="BK21" s="56">
        <v>279.8</v>
      </c>
      <c r="BL21" s="56">
        <v>284.60000000000002</v>
      </c>
      <c r="BM21" s="56">
        <v>291.10000000000002</v>
      </c>
      <c r="BN21" s="56">
        <v>298.2</v>
      </c>
      <c r="BO21" s="56">
        <v>301.89999999999998</v>
      </c>
      <c r="BP21" s="56">
        <v>306.89999999999998</v>
      </c>
      <c r="BQ21" s="56">
        <v>312.60000000000002</v>
      </c>
      <c r="BR21" s="56">
        <v>317.39999999999998</v>
      </c>
      <c r="BS21" s="56">
        <v>321.5</v>
      </c>
      <c r="BT21" s="56">
        <v>326.3</v>
      </c>
      <c r="BU21" s="56">
        <v>333.3</v>
      </c>
      <c r="BV21" s="56">
        <v>352.7</v>
      </c>
      <c r="BW21" s="56">
        <v>360</v>
      </c>
      <c r="BX21" s="56">
        <v>366.2</v>
      </c>
      <c r="BY21" s="56">
        <v>373.7</v>
      </c>
      <c r="BZ21" s="56">
        <v>379.7</v>
      </c>
      <c r="CA21" s="56">
        <v>384.3</v>
      </c>
      <c r="CB21" s="56">
        <v>388.9</v>
      </c>
      <c r="CC21" s="56">
        <v>394.9</v>
      </c>
      <c r="CD21" s="56">
        <v>403.5</v>
      </c>
      <c r="CE21" s="56">
        <v>408.8</v>
      </c>
      <c r="CF21" s="56">
        <v>416.6</v>
      </c>
      <c r="CG21" s="56">
        <v>419.4</v>
      </c>
      <c r="CH21" s="56">
        <v>423</v>
      </c>
      <c r="CI21" s="56">
        <v>429.7</v>
      </c>
      <c r="CJ21" s="56">
        <v>435.6</v>
      </c>
      <c r="CK21" s="56">
        <v>440.6</v>
      </c>
      <c r="CL21" s="56">
        <v>452.5</v>
      </c>
      <c r="CM21" s="56">
        <v>458.1</v>
      </c>
      <c r="CN21" s="56">
        <v>461.2</v>
      </c>
      <c r="CO21" s="56">
        <v>456.5</v>
      </c>
      <c r="CP21" s="56">
        <v>475.9</v>
      </c>
      <c r="CQ21" s="56">
        <v>476.4</v>
      </c>
      <c r="CR21" s="56">
        <v>481</v>
      </c>
      <c r="CS21" s="56">
        <v>485.2</v>
      </c>
      <c r="CT21" s="56">
        <v>500.4</v>
      </c>
      <c r="CU21" s="56">
        <v>507.6</v>
      </c>
      <c r="CV21" s="56">
        <v>513.6</v>
      </c>
      <c r="CW21" s="56">
        <v>521.1</v>
      </c>
      <c r="CX21" s="56">
        <v>528.20000000000005</v>
      </c>
      <c r="CY21" s="56">
        <v>532.70000000000005</v>
      </c>
      <c r="CZ21" s="56">
        <v>538.1</v>
      </c>
      <c r="DA21" s="56">
        <v>543.1</v>
      </c>
      <c r="DB21" s="56">
        <v>545.9</v>
      </c>
      <c r="DC21" s="56">
        <v>554.4</v>
      </c>
      <c r="DD21" s="56">
        <v>561.79999999999995</v>
      </c>
      <c r="DE21" s="56">
        <v>569.4</v>
      </c>
      <c r="DF21" s="56">
        <v>577.29999999999995</v>
      </c>
      <c r="DG21" s="56">
        <v>584.9</v>
      </c>
      <c r="DH21" s="56">
        <v>593.6</v>
      </c>
      <c r="DI21" s="56">
        <v>605.29999999999995</v>
      </c>
      <c r="DJ21" s="56">
        <v>613.29999999999995</v>
      </c>
      <c r="DK21" s="56">
        <v>622.79999999999995</v>
      </c>
      <c r="DL21" s="56">
        <v>632.6</v>
      </c>
      <c r="DM21" s="56">
        <v>642.4</v>
      </c>
      <c r="DN21" s="56">
        <v>653.29999999999995</v>
      </c>
      <c r="DO21" s="56">
        <v>659</v>
      </c>
      <c r="DP21" s="56">
        <v>666.4</v>
      </c>
      <c r="DQ21" s="56">
        <v>679.6</v>
      </c>
      <c r="DR21" s="56">
        <v>699.5</v>
      </c>
      <c r="DS21" s="56">
        <v>701.9</v>
      </c>
      <c r="DT21" s="56">
        <v>715.2</v>
      </c>
      <c r="DU21" s="56">
        <v>721</v>
      </c>
      <c r="DV21" s="56">
        <v>736.1</v>
      </c>
      <c r="DW21" s="56">
        <v>736.9</v>
      </c>
      <c r="DX21" s="56">
        <v>736.1</v>
      </c>
      <c r="DY21" s="56">
        <v>738.7</v>
      </c>
      <c r="DZ21" s="56">
        <v>746.9</v>
      </c>
      <c r="EA21" s="56">
        <v>755.3</v>
      </c>
      <c r="EB21" s="56">
        <v>758.1</v>
      </c>
      <c r="EC21" s="56">
        <v>760.8</v>
      </c>
      <c r="ED21" s="56">
        <v>767.1</v>
      </c>
      <c r="EE21" s="56">
        <v>777.8</v>
      </c>
      <c r="EF21" s="56">
        <v>787.7</v>
      </c>
      <c r="EG21" s="56">
        <v>800.1</v>
      </c>
      <c r="EH21" s="56">
        <v>813.4</v>
      </c>
      <c r="EI21" s="56">
        <v>828</v>
      </c>
      <c r="EJ21" s="56">
        <v>843.7</v>
      </c>
      <c r="EK21" s="56">
        <v>849.5</v>
      </c>
      <c r="EL21" s="56">
        <v>862.7</v>
      </c>
      <c r="EM21" s="56">
        <v>871</v>
      </c>
      <c r="EN21" s="56">
        <v>884.2</v>
      </c>
      <c r="EO21" s="56">
        <v>894.1</v>
      </c>
      <c r="EP21" s="56">
        <v>917.9</v>
      </c>
      <c r="EQ21" s="56">
        <v>922.7</v>
      </c>
      <c r="ER21" s="56">
        <v>927.2</v>
      </c>
      <c r="ES21" s="56">
        <v>940.8</v>
      </c>
      <c r="ET21" s="56">
        <v>960.4</v>
      </c>
      <c r="EU21" s="56">
        <v>962</v>
      </c>
      <c r="EV21" s="56">
        <v>965.3</v>
      </c>
      <c r="EW21" s="56">
        <v>976.9</v>
      </c>
      <c r="EX21" s="56">
        <v>988.8</v>
      </c>
      <c r="EY21" s="56">
        <v>991</v>
      </c>
      <c r="EZ21" s="56">
        <v>996.4</v>
      </c>
      <c r="FA21" s="56">
        <v>996.6</v>
      </c>
      <c r="FB21" s="56">
        <v>964.7</v>
      </c>
      <c r="FC21" s="56">
        <v>971.2</v>
      </c>
      <c r="FD21" s="56">
        <v>968.8</v>
      </c>
      <c r="FE21" s="56">
        <v>972.2</v>
      </c>
      <c r="FF21" s="56">
        <v>978.6</v>
      </c>
      <c r="FG21" s="56">
        <v>989.5</v>
      </c>
      <c r="FH21" s="56">
        <v>992.3</v>
      </c>
      <c r="FI21" s="56">
        <v>994.3</v>
      </c>
      <c r="FJ21" s="56">
        <v>916.2</v>
      </c>
      <c r="FK21" s="56">
        <v>918.9</v>
      </c>
      <c r="FL21" s="56">
        <v>927.3</v>
      </c>
      <c r="FM21" s="56">
        <v>921.9</v>
      </c>
      <c r="FN21" s="56">
        <v>944.9</v>
      </c>
      <c r="FO21" s="56">
        <v>949.4</v>
      </c>
      <c r="FP21" s="56">
        <v>952.3</v>
      </c>
      <c r="FQ21" s="56">
        <v>974.1</v>
      </c>
      <c r="FR21" s="56">
        <v>1095.9000000000001</v>
      </c>
      <c r="FS21" s="56">
        <v>1108.2</v>
      </c>
      <c r="FT21" s="56">
        <v>1111.4000000000001</v>
      </c>
      <c r="FU21" s="56">
        <v>1122.3</v>
      </c>
      <c r="FV21" s="56">
        <v>1145</v>
      </c>
      <c r="FW21" s="56">
        <v>1149.7</v>
      </c>
      <c r="FX21" s="56">
        <v>1161.4000000000001</v>
      </c>
      <c r="FY21" s="56">
        <v>1179.0999999999999</v>
      </c>
      <c r="FZ21" s="56">
        <v>1194.2</v>
      </c>
      <c r="GA21" s="56">
        <v>1206.0999999999999</v>
      </c>
      <c r="GB21" s="56">
        <v>1216.0999999999999</v>
      </c>
      <c r="GC21" s="56">
        <v>1223.5999999999999</v>
      </c>
      <c r="GD21" s="56">
        <v>1230.8</v>
      </c>
      <c r="GE21" s="56">
        <v>1237</v>
      </c>
      <c r="GF21" s="56">
        <v>1248.0999999999999</v>
      </c>
      <c r="GG21" s="56">
        <v>1261.5</v>
      </c>
      <c r="GH21" s="56">
        <v>1282.5999999999999</v>
      </c>
      <c r="GI21" s="56">
        <v>1294.9000000000001</v>
      </c>
      <c r="GJ21" s="56">
        <v>1310.0999999999999</v>
      </c>
      <c r="GK21" s="56">
        <v>1329.1</v>
      </c>
      <c r="GL21" s="56">
        <v>1349.1</v>
      </c>
      <c r="GM21" s="56">
        <v>1359</v>
      </c>
      <c r="GN21" s="56">
        <v>1375.7</v>
      </c>
      <c r="GO21" s="56">
        <v>1384.3</v>
      </c>
      <c r="GP21" s="56">
        <v>1416.9</v>
      </c>
      <c r="GQ21" s="56">
        <v>1424.3</v>
      </c>
      <c r="GR21" s="56">
        <v>1430.9</v>
      </c>
      <c r="GS21" s="56">
        <v>1448.6</v>
      </c>
      <c r="GT21" s="56">
        <v>1473.5</v>
      </c>
      <c r="GU21" s="56">
        <v>1403</v>
      </c>
      <c r="GV21" s="56">
        <v>1452.9</v>
      </c>
      <c r="GW21" s="56">
        <v>1490.8</v>
      </c>
      <c r="GX21" s="56">
        <v>1508.4</v>
      </c>
      <c r="GY21" s="56">
        <v>1544.5</v>
      </c>
      <c r="GZ21" s="56">
        <v>1581.6</v>
      </c>
      <c r="HA21" s="56">
        <v>1626.7</v>
      </c>
      <c r="HB21" s="56">
        <v>1666.3</v>
      </c>
      <c r="HC21">
        <v>1689</v>
      </c>
      <c r="HD21">
        <v>1735.8</v>
      </c>
      <c r="HE21">
        <v>1751.8</v>
      </c>
      <c r="HF21">
        <v>1781.9</v>
      </c>
      <c r="HG21">
        <v>1810.5</v>
      </c>
      <c r="HH21">
        <v>1839.3</v>
      </c>
      <c r="HI21">
        <v>1858.9</v>
      </c>
      <c r="HJ21">
        <v>1889</v>
      </c>
      <c r="HK21">
        <v>1896.1</v>
      </c>
      <c r="HL21">
        <v>1903.9</v>
      </c>
      <c r="HM21">
        <v>1930.8</v>
      </c>
      <c r="HN21">
        <v>1961.7</v>
      </c>
      <c r="HO21">
        <v>1981.8</v>
      </c>
    </row>
    <row r="22" spans="1:223" x14ac:dyDescent="0.35">
      <c r="A22" s="56" t="s">
        <v>2257</v>
      </c>
      <c r="B22" s="56">
        <v>19.443000000000001</v>
      </c>
      <c r="C22" s="56">
        <v>19.658999999999999</v>
      </c>
      <c r="D22" s="56">
        <v>19.850000000000001</v>
      </c>
      <c r="E22" s="56">
        <v>20.106999999999999</v>
      </c>
      <c r="F22" s="56">
        <v>20.297000000000001</v>
      </c>
      <c r="G22" s="56">
        <v>20.527999999999999</v>
      </c>
      <c r="H22" s="56">
        <v>20.728999999999999</v>
      </c>
      <c r="I22" s="56">
        <v>20.856999999999999</v>
      </c>
      <c r="J22" s="56">
        <v>21.076000000000001</v>
      </c>
      <c r="K22" s="56">
        <v>21.198</v>
      </c>
      <c r="L22" s="56">
        <v>21.384</v>
      </c>
      <c r="M22" s="56">
        <v>21.559000000000001</v>
      </c>
      <c r="N22" s="56">
        <v>21.821000000000002</v>
      </c>
      <c r="O22" s="56">
        <v>22.241</v>
      </c>
      <c r="P22" s="56">
        <v>22.646999999999998</v>
      </c>
      <c r="Q22" s="56">
        <v>23.111999999999998</v>
      </c>
      <c r="R22" s="56">
        <v>23.8</v>
      </c>
      <c r="S22" s="56">
        <v>24.474</v>
      </c>
      <c r="T22" s="56">
        <v>25.134</v>
      </c>
      <c r="U22" s="56">
        <v>25.77</v>
      </c>
      <c r="V22" s="56">
        <v>26.251000000000001</v>
      </c>
      <c r="W22" s="56">
        <v>26.571000000000002</v>
      </c>
      <c r="X22" s="56">
        <v>27.067</v>
      </c>
      <c r="Y22" s="56">
        <v>27.521000000000001</v>
      </c>
      <c r="Z22" s="56">
        <v>27.826000000000001</v>
      </c>
      <c r="AA22" s="56">
        <v>28.06</v>
      </c>
      <c r="AB22" s="56">
        <v>28.488</v>
      </c>
      <c r="AC22" s="56">
        <v>28.937999999999999</v>
      </c>
      <c r="AD22" s="56">
        <v>29.46</v>
      </c>
      <c r="AE22" s="56">
        <v>29.963000000000001</v>
      </c>
      <c r="AF22" s="56">
        <v>30.414000000000001</v>
      </c>
      <c r="AG22" s="56">
        <v>30.846</v>
      </c>
      <c r="AH22" s="56">
        <v>31.35</v>
      </c>
      <c r="AI22" s="56">
        <v>31.994</v>
      </c>
      <c r="AJ22" s="56">
        <v>32.555999999999997</v>
      </c>
      <c r="AK22" s="56">
        <v>33.171999999999997</v>
      </c>
      <c r="AL22" s="56">
        <v>33.798000000000002</v>
      </c>
      <c r="AM22" s="56">
        <v>34.722999999999999</v>
      </c>
      <c r="AN22" s="56">
        <v>35.585000000000001</v>
      </c>
      <c r="AO22" s="56">
        <v>36.448</v>
      </c>
      <c r="AP22" s="56">
        <v>37.542000000000002</v>
      </c>
      <c r="AQ22" s="56">
        <v>38.462000000000003</v>
      </c>
      <c r="AR22" s="56">
        <v>39.362000000000002</v>
      </c>
      <c r="AS22" s="56">
        <v>40.337000000000003</v>
      </c>
      <c r="AT22" s="56">
        <v>41.384999999999998</v>
      </c>
      <c r="AU22" s="56">
        <v>42.079000000000001</v>
      </c>
      <c r="AV22" s="56">
        <v>42.771999999999998</v>
      </c>
      <c r="AW22" s="56">
        <v>43.426000000000002</v>
      </c>
      <c r="AX22" s="56">
        <v>43.975000000000001</v>
      </c>
      <c r="AY22" s="56">
        <v>44.396999999999998</v>
      </c>
      <c r="AZ22" s="56">
        <v>45.095999999999997</v>
      </c>
      <c r="BA22" s="56">
        <v>45.591999999999999</v>
      </c>
      <c r="BB22" s="56">
        <v>45.966999999999999</v>
      </c>
      <c r="BC22" s="56">
        <v>46.387</v>
      </c>
      <c r="BD22" s="56">
        <v>46.997</v>
      </c>
      <c r="BE22" s="56">
        <v>47.308999999999997</v>
      </c>
      <c r="BF22" s="56">
        <v>47.823</v>
      </c>
      <c r="BG22" s="56">
        <v>48.287999999999997</v>
      </c>
      <c r="BH22" s="56">
        <v>48.661000000000001</v>
      </c>
      <c r="BI22" s="56">
        <v>48.962000000000003</v>
      </c>
      <c r="BJ22" s="56">
        <v>49.537999999999997</v>
      </c>
      <c r="BK22" s="56">
        <v>49.94</v>
      </c>
      <c r="BL22" s="56">
        <v>50.332000000000001</v>
      </c>
      <c r="BM22" s="56">
        <v>50.683</v>
      </c>
      <c r="BN22" s="56">
        <v>51.043999999999997</v>
      </c>
      <c r="BO22" s="56">
        <v>50.991</v>
      </c>
      <c r="BP22" s="56">
        <v>51.26</v>
      </c>
      <c r="BQ22" s="56">
        <v>51.57</v>
      </c>
      <c r="BR22" s="56">
        <v>52.057000000000002</v>
      </c>
      <c r="BS22" s="56">
        <v>52.558999999999997</v>
      </c>
      <c r="BT22" s="56">
        <v>53.055999999999997</v>
      </c>
      <c r="BU22" s="56">
        <v>53.514000000000003</v>
      </c>
      <c r="BV22" s="56">
        <v>53.936</v>
      </c>
      <c r="BW22" s="56">
        <v>54.531999999999996</v>
      </c>
      <c r="BX22" s="56">
        <v>55.204000000000001</v>
      </c>
      <c r="BY22" s="56">
        <v>55.762</v>
      </c>
      <c r="BZ22" s="56">
        <v>56.404000000000003</v>
      </c>
      <c r="CA22" s="56">
        <v>57.164999999999999</v>
      </c>
      <c r="CB22" s="56">
        <v>57.503</v>
      </c>
      <c r="CC22" s="56">
        <v>57.957000000000001</v>
      </c>
      <c r="CD22" s="56">
        <v>58.798999999999999</v>
      </c>
      <c r="CE22" s="56">
        <v>59.332999999999998</v>
      </c>
      <c r="CF22" s="56">
        <v>60.087000000000003</v>
      </c>
      <c r="CG22" s="56">
        <v>60.881999999999998</v>
      </c>
      <c r="CH22" s="56">
        <v>61.201000000000001</v>
      </c>
      <c r="CI22" s="56">
        <v>61.533999999999999</v>
      </c>
      <c r="CJ22" s="56">
        <v>61.951000000000001</v>
      </c>
      <c r="CK22" s="56">
        <v>62.4</v>
      </c>
      <c r="CL22" s="56">
        <v>62.79</v>
      </c>
      <c r="CM22" s="56">
        <v>63.207000000000001</v>
      </c>
      <c r="CN22" s="56">
        <v>63.61</v>
      </c>
      <c r="CO22" s="56">
        <v>64.054000000000002</v>
      </c>
      <c r="CP22" s="56">
        <v>64.436000000000007</v>
      </c>
      <c r="CQ22" s="56">
        <v>64.869</v>
      </c>
      <c r="CR22" s="56">
        <v>65.150999999999996</v>
      </c>
      <c r="CS22" s="56">
        <v>65.527000000000001</v>
      </c>
      <c r="CT22" s="56">
        <v>65.760999999999996</v>
      </c>
      <c r="CU22" s="56">
        <v>66.128</v>
      </c>
      <c r="CV22" s="56">
        <v>66.602999999999994</v>
      </c>
      <c r="CW22" s="56">
        <v>66.915999999999997</v>
      </c>
      <c r="CX22" s="56">
        <v>67.244</v>
      </c>
      <c r="CY22" s="56">
        <v>67.635000000000005</v>
      </c>
      <c r="CZ22" s="56">
        <v>67.912000000000006</v>
      </c>
      <c r="DA22" s="56">
        <v>68.209999999999994</v>
      </c>
      <c r="DB22" s="56">
        <v>68.588999999999999</v>
      </c>
      <c r="DC22" s="56">
        <v>69.048000000000002</v>
      </c>
      <c r="DD22" s="56">
        <v>69.341999999999999</v>
      </c>
      <c r="DE22" s="56">
        <v>69.814999999999998</v>
      </c>
      <c r="DF22" s="56">
        <v>70.123999999999995</v>
      </c>
      <c r="DG22" s="56">
        <v>70.3</v>
      </c>
      <c r="DH22" s="56">
        <v>70.484999999999999</v>
      </c>
      <c r="DI22" s="56">
        <v>70.706999999999994</v>
      </c>
      <c r="DJ22" s="56">
        <v>70.712999999999994</v>
      </c>
      <c r="DK22" s="56">
        <v>70.84</v>
      </c>
      <c r="DL22" s="56">
        <v>71.058000000000007</v>
      </c>
      <c r="DM22" s="56">
        <v>71.245000000000005</v>
      </c>
      <c r="DN22" s="56">
        <v>71.384</v>
      </c>
      <c r="DO22" s="56">
        <v>71.789000000000001</v>
      </c>
      <c r="DP22" s="56">
        <v>72.183000000000007</v>
      </c>
      <c r="DQ22" s="56">
        <v>72.622</v>
      </c>
      <c r="DR22" s="56">
        <v>73.212000000000003</v>
      </c>
      <c r="DS22" s="56">
        <v>73.561999999999998</v>
      </c>
      <c r="DT22" s="56">
        <v>74.037000000000006</v>
      </c>
      <c r="DU22" s="56">
        <v>74.456999999999994</v>
      </c>
      <c r="DV22" s="56">
        <v>75.010999999999996</v>
      </c>
      <c r="DW22" s="56">
        <v>75.363</v>
      </c>
      <c r="DX22" s="56">
        <v>75.400999999999996</v>
      </c>
      <c r="DY22" s="56">
        <v>75.430999999999997</v>
      </c>
      <c r="DZ22" s="56">
        <v>75.581999999999994</v>
      </c>
      <c r="EA22" s="56">
        <v>76.141999999999996</v>
      </c>
      <c r="EB22" s="56">
        <v>76.534999999999997</v>
      </c>
      <c r="EC22" s="56">
        <v>76.891999999999996</v>
      </c>
      <c r="ED22" s="56">
        <v>77.48</v>
      </c>
      <c r="EE22" s="56">
        <v>77.557000000000002</v>
      </c>
      <c r="EF22" s="56">
        <v>78.067999999999998</v>
      </c>
      <c r="EG22" s="56">
        <v>78.450999999999993</v>
      </c>
      <c r="EH22" s="56">
        <v>79.055999999999997</v>
      </c>
      <c r="EI22" s="56">
        <v>79.587000000000003</v>
      </c>
      <c r="EJ22" s="56">
        <v>79.978999999999999</v>
      </c>
      <c r="EK22" s="56">
        <v>80.662000000000006</v>
      </c>
      <c r="EL22" s="56">
        <v>81.131</v>
      </c>
      <c r="EM22" s="56">
        <v>81.644000000000005</v>
      </c>
      <c r="EN22" s="56">
        <v>82.525999999999996</v>
      </c>
      <c r="EO22" s="56">
        <v>83.183999999999997</v>
      </c>
      <c r="EP22" s="56">
        <v>83.617000000000004</v>
      </c>
      <c r="EQ22" s="56">
        <v>84.352000000000004</v>
      </c>
      <c r="ER22" s="56">
        <v>84.959000000000003</v>
      </c>
      <c r="ES22" s="56">
        <v>84.817999999999998</v>
      </c>
      <c r="ET22" s="56">
        <v>85.593000000000004</v>
      </c>
      <c r="EU22" s="56">
        <v>86.319000000000003</v>
      </c>
      <c r="EV22" s="56">
        <v>86.808000000000007</v>
      </c>
      <c r="EW22" s="56">
        <v>87.691000000000003</v>
      </c>
      <c r="EX22" s="56">
        <v>88.406999999999996</v>
      </c>
      <c r="EY22" s="56">
        <v>89.269000000000005</v>
      </c>
      <c r="EZ22" s="56">
        <v>90.221999999999994</v>
      </c>
      <c r="FA22" s="56">
        <v>88.781000000000006</v>
      </c>
      <c r="FB22" s="56">
        <v>88.180999999999997</v>
      </c>
      <c r="FC22" s="56">
        <v>88.531000000000006</v>
      </c>
      <c r="FD22" s="56">
        <v>89.141000000000005</v>
      </c>
      <c r="FE22" s="56">
        <v>89.828000000000003</v>
      </c>
      <c r="FF22" s="56">
        <v>90.174999999999997</v>
      </c>
      <c r="FG22" s="56">
        <v>90.313999999999993</v>
      </c>
      <c r="FH22" s="56">
        <v>90.488</v>
      </c>
      <c r="FI22" s="56">
        <v>91.067999999999998</v>
      </c>
      <c r="FJ22" s="56">
        <v>91.832999999999998</v>
      </c>
      <c r="FK22" s="56">
        <v>92.736999999999995</v>
      </c>
      <c r="FL22" s="56">
        <v>93.165999999999997</v>
      </c>
      <c r="FM22" s="56">
        <v>93.474000000000004</v>
      </c>
      <c r="FN22" s="56">
        <v>94.093000000000004</v>
      </c>
      <c r="FO22" s="56">
        <v>94.32</v>
      </c>
      <c r="FP22" s="56">
        <v>94.593999999999994</v>
      </c>
      <c r="FQ22" s="56">
        <v>95.123999999999995</v>
      </c>
      <c r="FR22" s="56">
        <v>95.457999999999998</v>
      </c>
      <c r="FS22" s="56">
        <v>95.506</v>
      </c>
      <c r="FT22" s="56">
        <v>95.899000000000001</v>
      </c>
      <c r="FU22" s="56">
        <v>96.251999999999995</v>
      </c>
      <c r="FV22" s="56">
        <v>96.694000000000003</v>
      </c>
      <c r="FW22" s="56">
        <v>97.126000000000005</v>
      </c>
      <c r="FX22" s="56">
        <v>97.391999999999996</v>
      </c>
      <c r="FY22" s="56">
        <v>97.263000000000005</v>
      </c>
      <c r="FZ22" s="56">
        <v>96.826999999999998</v>
      </c>
      <c r="GA22" s="56">
        <v>97.311000000000007</v>
      </c>
      <c r="GB22" s="56">
        <v>97.563000000000002</v>
      </c>
      <c r="GC22" s="56">
        <v>97.488</v>
      </c>
      <c r="GD22" s="56">
        <v>97.534999999999997</v>
      </c>
      <c r="GE22" s="56">
        <v>98.153999999999996</v>
      </c>
      <c r="GF22" s="56">
        <v>98.492000000000004</v>
      </c>
      <c r="GG22" s="56">
        <v>98.942999999999998</v>
      </c>
      <c r="GH22" s="56">
        <v>99.52</v>
      </c>
      <c r="GI22" s="56">
        <v>99.72</v>
      </c>
      <c r="GJ22" s="56">
        <v>100.07299999999999</v>
      </c>
      <c r="GK22" s="56">
        <v>100.672</v>
      </c>
      <c r="GL22" s="56">
        <v>101.377</v>
      </c>
      <c r="GM22" s="56">
        <v>101.91</v>
      </c>
      <c r="GN22" s="56">
        <v>102.252</v>
      </c>
      <c r="GO22" s="56">
        <v>102.64</v>
      </c>
      <c r="GP22" s="56">
        <v>102.848</v>
      </c>
      <c r="GQ22" s="56">
        <v>103.423</v>
      </c>
      <c r="GR22" s="56">
        <v>103.67</v>
      </c>
      <c r="GS22" s="56">
        <v>104.07599999999999</v>
      </c>
      <c r="GT22" s="56">
        <v>104.395</v>
      </c>
      <c r="GU22" s="56">
        <v>103.97499999999999</v>
      </c>
      <c r="GV22" s="56">
        <v>104.81399999999999</v>
      </c>
      <c r="GW22" s="56">
        <v>105.316</v>
      </c>
      <c r="GX22" s="56">
        <v>106.496</v>
      </c>
      <c r="GY22" s="56">
        <v>108.152</v>
      </c>
      <c r="GZ22" s="56">
        <v>109.646</v>
      </c>
      <c r="HA22" s="56">
        <v>111.461</v>
      </c>
      <c r="HB22" s="56">
        <v>113.56699999999999</v>
      </c>
      <c r="HC22">
        <v>115.663</v>
      </c>
      <c r="HD22">
        <v>117.01</v>
      </c>
      <c r="HE22">
        <v>118.169</v>
      </c>
      <c r="HF22">
        <v>119.316</v>
      </c>
      <c r="HG22">
        <v>120.17700000000001</v>
      </c>
      <c r="HH22">
        <v>120.97799999999999</v>
      </c>
      <c r="HI22">
        <v>121.473</v>
      </c>
      <c r="HJ22">
        <v>122.501</v>
      </c>
      <c r="HK22">
        <v>123.26900000000001</v>
      </c>
      <c r="HL22">
        <v>123.741</v>
      </c>
      <c r="HM22">
        <v>124.471</v>
      </c>
      <c r="HN22">
        <v>125.59399999999999</v>
      </c>
      <c r="HO22">
        <v>126.242</v>
      </c>
    </row>
    <row r="23" spans="1:223" x14ac:dyDescent="0.35">
      <c r="A23" s="56" t="s">
        <v>2258</v>
      </c>
      <c r="B23" s="56">
        <v>133.6</v>
      </c>
      <c r="C23" s="56">
        <v>131.80000000000001</v>
      </c>
      <c r="D23" s="56">
        <v>132.4</v>
      </c>
      <c r="E23" s="56">
        <v>133.5</v>
      </c>
      <c r="F23" s="56">
        <v>133.30000000000001</v>
      </c>
      <c r="G23" s="56">
        <v>134.30000000000001</v>
      </c>
      <c r="H23" s="56">
        <v>135.6</v>
      </c>
      <c r="I23" s="56">
        <v>134.69999999999999</v>
      </c>
      <c r="J23" s="56">
        <v>141.4</v>
      </c>
      <c r="K23" s="56">
        <v>144.19999999999999</v>
      </c>
      <c r="L23" s="56">
        <v>138.80000000000001</v>
      </c>
      <c r="M23" s="56">
        <v>142.19999999999999</v>
      </c>
      <c r="N23" s="56">
        <v>146.4</v>
      </c>
      <c r="O23" s="56">
        <v>146.5</v>
      </c>
      <c r="P23" s="56">
        <v>144.19999999999999</v>
      </c>
      <c r="Q23" s="56">
        <v>147.6</v>
      </c>
      <c r="R23" s="56">
        <v>152.69999999999999</v>
      </c>
      <c r="S23" s="56">
        <v>154.9</v>
      </c>
      <c r="T23" s="56">
        <v>160.4</v>
      </c>
      <c r="U23" s="56">
        <v>167.4</v>
      </c>
      <c r="V23" s="56">
        <v>168.6</v>
      </c>
      <c r="W23" s="56">
        <v>169.4</v>
      </c>
      <c r="X23" s="56">
        <v>176.1</v>
      </c>
      <c r="Y23" s="56">
        <v>180.8</v>
      </c>
      <c r="Z23" s="56">
        <v>181.6</v>
      </c>
      <c r="AA23" s="56">
        <v>182.5</v>
      </c>
      <c r="AB23" s="56">
        <v>184.9</v>
      </c>
      <c r="AC23" s="56">
        <v>190.2</v>
      </c>
      <c r="AD23" s="56">
        <v>194.2</v>
      </c>
      <c r="AE23" s="56">
        <v>198.9</v>
      </c>
      <c r="AF23" s="56">
        <v>201.9</v>
      </c>
      <c r="AG23" s="56">
        <v>206.3</v>
      </c>
      <c r="AH23" s="56">
        <v>208.8</v>
      </c>
      <c r="AI23" s="56">
        <v>217</v>
      </c>
      <c r="AJ23" s="56">
        <v>222.1</v>
      </c>
      <c r="AK23" s="56">
        <v>227.8</v>
      </c>
      <c r="AL23" s="56">
        <v>231.7</v>
      </c>
      <c r="AM23" s="56">
        <v>237.6</v>
      </c>
      <c r="AN23" s="56">
        <v>243.7</v>
      </c>
      <c r="AO23" s="56">
        <v>249.3</v>
      </c>
      <c r="AP23" s="56">
        <v>261.10000000000002</v>
      </c>
      <c r="AQ23" s="56">
        <v>276.5</v>
      </c>
      <c r="AR23" s="56">
        <v>276.10000000000002</v>
      </c>
      <c r="AS23" s="56">
        <v>285.8</v>
      </c>
      <c r="AT23" s="56">
        <v>297.2</v>
      </c>
      <c r="AU23" s="56">
        <v>311.89999999999998</v>
      </c>
      <c r="AV23" s="56">
        <v>317.39999999999998</v>
      </c>
      <c r="AW23" s="56">
        <v>329.3</v>
      </c>
      <c r="AX23" s="56">
        <v>334.9</v>
      </c>
      <c r="AY23" s="56">
        <v>342.9</v>
      </c>
      <c r="AZ23" s="56">
        <v>351.5</v>
      </c>
      <c r="BA23" s="56">
        <v>364.1</v>
      </c>
      <c r="BB23" s="56">
        <v>370.5</v>
      </c>
      <c r="BC23" s="56">
        <v>380.3</v>
      </c>
      <c r="BD23" s="56">
        <v>394.4</v>
      </c>
      <c r="BE23" s="56">
        <v>384.2</v>
      </c>
      <c r="BF23" s="56">
        <v>392.4</v>
      </c>
      <c r="BG23" s="56">
        <v>408.3</v>
      </c>
      <c r="BH23" s="56">
        <v>414</v>
      </c>
      <c r="BI23" s="56">
        <v>432.5</v>
      </c>
      <c r="BJ23" s="56">
        <v>434.8</v>
      </c>
      <c r="BK23" s="56">
        <v>447.3</v>
      </c>
      <c r="BL23" s="56">
        <v>463.1</v>
      </c>
      <c r="BM23" s="56">
        <v>466.4</v>
      </c>
      <c r="BN23" s="56">
        <v>464</v>
      </c>
      <c r="BO23" s="56">
        <v>477.8</v>
      </c>
      <c r="BP23" s="56">
        <v>495.1</v>
      </c>
      <c r="BQ23" s="56">
        <v>489.8</v>
      </c>
      <c r="BR23" s="56">
        <v>492.1</v>
      </c>
      <c r="BS23" s="56">
        <v>501.2</v>
      </c>
      <c r="BT23" s="56">
        <v>504.1</v>
      </c>
      <c r="BU23" s="56">
        <v>513.70000000000005</v>
      </c>
      <c r="BV23" s="56">
        <v>505.8</v>
      </c>
      <c r="BW23" s="56">
        <v>506.9</v>
      </c>
      <c r="BX23" s="56">
        <v>507.4</v>
      </c>
      <c r="BY23" s="56">
        <v>525.6</v>
      </c>
      <c r="BZ23" s="56">
        <v>519.9</v>
      </c>
      <c r="CA23" s="56">
        <v>534.29999999999995</v>
      </c>
      <c r="CB23" s="56">
        <v>541.4</v>
      </c>
      <c r="CC23" s="56">
        <v>540.79999999999995</v>
      </c>
      <c r="CD23" s="56">
        <v>553.70000000000005</v>
      </c>
      <c r="CE23" s="56">
        <v>563.9</v>
      </c>
      <c r="CF23" s="56">
        <v>562.20000000000005</v>
      </c>
      <c r="CG23" s="56">
        <v>569.70000000000005</v>
      </c>
      <c r="CH23" s="56">
        <v>581.4</v>
      </c>
      <c r="CI23" s="56">
        <v>586.6</v>
      </c>
      <c r="CJ23" s="56">
        <v>586.29999999999995</v>
      </c>
      <c r="CK23" s="56">
        <v>577.4</v>
      </c>
      <c r="CL23" s="56">
        <v>580.29999999999995</v>
      </c>
      <c r="CM23" s="56">
        <v>580.9</v>
      </c>
      <c r="CN23" s="56">
        <v>594.20000000000005</v>
      </c>
      <c r="CO23" s="56">
        <v>598.4</v>
      </c>
      <c r="CP23" s="56">
        <v>580.29999999999995</v>
      </c>
      <c r="CQ23" s="56">
        <v>576.70000000000005</v>
      </c>
      <c r="CR23" s="56">
        <v>578.70000000000005</v>
      </c>
      <c r="CS23" s="56">
        <v>584.9</v>
      </c>
      <c r="CT23" s="56">
        <v>567</v>
      </c>
      <c r="CU23" s="56">
        <v>569.4</v>
      </c>
      <c r="CV23" s="56">
        <v>586.5</v>
      </c>
      <c r="CW23" s="56">
        <v>575.79999999999995</v>
      </c>
      <c r="CX23" s="56">
        <v>579.1</v>
      </c>
      <c r="CY23" s="56">
        <v>581</v>
      </c>
      <c r="CZ23" s="56">
        <v>579.29999999999995</v>
      </c>
      <c r="DA23" s="56">
        <v>567.29999999999995</v>
      </c>
      <c r="DB23" s="56">
        <v>579.79999999999995</v>
      </c>
      <c r="DC23" s="56">
        <v>582.1</v>
      </c>
      <c r="DD23" s="56">
        <v>577.79999999999995</v>
      </c>
      <c r="DE23" s="56">
        <v>576.9</v>
      </c>
      <c r="DF23" s="56">
        <v>570.70000000000005</v>
      </c>
      <c r="DG23" s="56">
        <v>587.20000000000005</v>
      </c>
      <c r="DH23" s="56">
        <v>586</v>
      </c>
      <c r="DI23" s="56">
        <v>589.20000000000005</v>
      </c>
      <c r="DJ23" s="56">
        <v>572.20000000000005</v>
      </c>
      <c r="DK23" s="56">
        <v>587.1</v>
      </c>
      <c r="DL23" s="56">
        <v>588.6</v>
      </c>
      <c r="DM23" s="56">
        <v>594.20000000000005</v>
      </c>
      <c r="DN23" s="56">
        <v>595.1</v>
      </c>
      <c r="DO23" s="56">
        <v>599.20000000000005</v>
      </c>
      <c r="DP23" s="56">
        <v>614.20000000000005</v>
      </c>
      <c r="DQ23" s="56">
        <v>634.29999999999995</v>
      </c>
      <c r="DR23" s="56">
        <v>619.4</v>
      </c>
      <c r="DS23" s="56">
        <v>641.20000000000005</v>
      </c>
      <c r="DT23" s="56">
        <v>633.6</v>
      </c>
      <c r="DU23" s="56">
        <v>638.20000000000005</v>
      </c>
      <c r="DV23" s="56">
        <v>653.29999999999995</v>
      </c>
      <c r="DW23" s="56">
        <v>666.2</v>
      </c>
      <c r="DX23" s="56">
        <v>674.4</v>
      </c>
      <c r="DY23" s="56">
        <v>686.9</v>
      </c>
      <c r="DZ23" s="56">
        <v>714</v>
      </c>
      <c r="EA23" s="56">
        <v>734.8</v>
      </c>
      <c r="EB23" s="56">
        <v>748.4</v>
      </c>
      <c r="EC23" s="56">
        <v>775.2</v>
      </c>
      <c r="ED23" s="56">
        <v>792.7</v>
      </c>
      <c r="EE23" s="56">
        <v>826</v>
      </c>
      <c r="EF23" s="56">
        <v>833.3</v>
      </c>
      <c r="EG23" s="56">
        <v>855.1</v>
      </c>
      <c r="EH23" s="56">
        <v>871.8</v>
      </c>
      <c r="EI23" s="56">
        <v>884.6</v>
      </c>
      <c r="EJ23" s="56">
        <v>902.5</v>
      </c>
      <c r="EK23" s="56">
        <v>909.6</v>
      </c>
      <c r="EL23" s="56">
        <v>931.8</v>
      </c>
      <c r="EM23" s="56">
        <v>939.3</v>
      </c>
      <c r="EN23" s="56">
        <v>956.4</v>
      </c>
      <c r="EO23" s="56">
        <v>963.7</v>
      </c>
      <c r="EP23" s="56">
        <v>997.1</v>
      </c>
      <c r="EQ23" s="56">
        <v>997.2</v>
      </c>
      <c r="ER23" s="56">
        <v>995.4</v>
      </c>
      <c r="ES23" s="56">
        <v>1015.1</v>
      </c>
      <c r="ET23" s="56">
        <v>1017.5</v>
      </c>
      <c r="EU23" s="56">
        <v>1042.5</v>
      </c>
      <c r="EV23" s="56">
        <v>1058.8</v>
      </c>
      <c r="EW23" s="56">
        <v>1085.3</v>
      </c>
      <c r="EX23" s="56">
        <v>1111.2</v>
      </c>
      <c r="EY23" s="56">
        <v>1146.5999999999999</v>
      </c>
      <c r="EZ23" s="56">
        <v>1170.2</v>
      </c>
      <c r="FA23" s="56">
        <v>1179.8</v>
      </c>
      <c r="FB23" s="56">
        <v>1185.2</v>
      </c>
      <c r="FC23" s="56">
        <v>1213.5</v>
      </c>
      <c r="FD23" s="56">
        <v>1228.3</v>
      </c>
      <c r="FE23" s="56">
        <v>1256.2</v>
      </c>
      <c r="FF23" s="56">
        <v>1278.4000000000001</v>
      </c>
      <c r="FG23" s="56">
        <v>1305</v>
      </c>
      <c r="FH23" s="56">
        <v>1304.3</v>
      </c>
      <c r="FI23" s="56">
        <v>1312.9</v>
      </c>
      <c r="FJ23" s="56">
        <v>1306</v>
      </c>
      <c r="FK23" s="56">
        <v>1312.7</v>
      </c>
      <c r="FL23" s="56">
        <v>1288.7</v>
      </c>
      <c r="FM23" s="56">
        <v>1291.7</v>
      </c>
      <c r="FN23" s="56">
        <v>1296.0999999999999</v>
      </c>
      <c r="FO23" s="56">
        <v>1288.5999999999999</v>
      </c>
      <c r="FP23" s="56">
        <v>1293.8</v>
      </c>
      <c r="FQ23" s="56">
        <v>1269.5999999999999</v>
      </c>
      <c r="FR23" s="56">
        <v>1240.0999999999999</v>
      </c>
      <c r="FS23" s="56">
        <v>1232.5999999999999</v>
      </c>
      <c r="FT23" s="56">
        <v>1219.5999999999999</v>
      </c>
      <c r="FU23" s="56">
        <v>1217.3</v>
      </c>
      <c r="FV23" s="56">
        <v>1212.9000000000001</v>
      </c>
      <c r="FW23" s="56">
        <v>1211</v>
      </c>
      <c r="FX23" s="56">
        <v>1230.5999999999999</v>
      </c>
      <c r="FY23" s="56">
        <v>1213.7</v>
      </c>
      <c r="FZ23" s="56">
        <v>1216.2</v>
      </c>
      <c r="GA23" s="56">
        <v>1222.4000000000001</v>
      </c>
      <c r="GB23" s="56">
        <v>1222.4000000000001</v>
      </c>
      <c r="GC23" s="56">
        <v>1230.0999999999999</v>
      </c>
      <c r="GD23" s="56">
        <v>1229.5999999999999</v>
      </c>
      <c r="GE23" s="56">
        <v>1230</v>
      </c>
      <c r="GF23" s="56">
        <v>1241.3</v>
      </c>
      <c r="GG23" s="56">
        <v>1248.5</v>
      </c>
      <c r="GH23" s="56">
        <v>1249.0999999999999</v>
      </c>
      <c r="GI23" s="56">
        <v>1259.9000000000001</v>
      </c>
      <c r="GJ23" s="56">
        <v>1264.5999999999999</v>
      </c>
      <c r="GK23" s="56">
        <v>1290.7</v>
      </c>
      <c r="GL23" s="56">
        <v>1316.2</v>
      </c>
      <c r="GM23" s="56">
        <v>1334.7</v>
      </c>
      <c r="GN23" s="56">
        <v>1358.9</v>
      </c>
      <c r="GO23" s="56">
        <v>1375.4</v>
      </c>
      <c r="GP23" s="56">
        <v>1403.2</v>
      </c>
      <c r="GQ23" s="56">
        <v>1408</v>
      </c>
      <c r="GR23" s="56">
        <v>1426.9</v>
      </c>
      <c r="GS23" s="56">
        <v>1439.9</v>
      </c>
      <c r="GT23" s="56">
        <v>1459.3</v>
      </c>
      <c r="GU23" s="56">
        <v>1567.7</v>
      </c>
      <c r="GV23" s="56">
        <v>1526.5</v>
      </c>
      <c r="GW23" s="56">
        <v>1538.6</v>
      </c>
      <c r="GX23" s="56">
        <v>1613.4</v>
      </c>
      <c r="GY23" s="56">
        <v>1597.4</v>
      </c>
      <c r="GZ23" s="56">
        <v>1585</v>
      </c>
      <c r="HA23" s="56">
        <v>1616.9</v>
      </c>
      <c r="HB23" s="56">
        <v>1606.5</v>
      </c>
      <c r="HC23">
        <v>1622.1</v>
      </c>
      <c r="HD23">
        <v>1641.4</v>
      </c>
      <c r="HE23">
        <v>1694.2</v>
      </c>
      <c r="HF23">
        <v>1731.6</v>
      </c>
      <c r="HG23">
        <v>1741.8</v>
      </c>
      <c r="HH23">
        <v>1780.9</v>
      </c>
      <c r="HI23">
        <v>1796.2</v>
      </c>
      <c r="HJ23">
        <v>1810.3</v>
      </c>
      <c r="HK23">
        <v>1842.2</v>
      </c>
      <c r="HL23">
        <v>1893.4</v>
      </c>
      <c r="HM23">
        <v>1924.7</v>
      </c>
      <c r="HN23">
        <v>1928.4</v>
      </c>
      <c r="HO23">
        <v>1938.7</v>
      </c>
    </row>
    <row r="24" spans="1:223" x14ac:dyDescent="0.35">
      <c r="A24" s="56" t="s">
        <v>2259</v>
      </c>
      <c r="B24" s="56">
        <v>114.3</v>
      </c>
      <c r="C24" s="56">
        <v>117.4</v>
      </c>
      <c r="D24" s="56">
        <v>122.2</v>
      </c>
      <c r="E24" s="56">
        <v>125.2</v>
      </c>
      <c r="F24" s="56">
        <v>128.6</v>
      </c>
      <c r="G24" s="56">
        <v>131.9</v>
      </c>
      <c r="H24" s="56">
        <v>134.19999999999999</v>
      </c>
      <c r="I24" s="56">
        <v>137.4</v>
      </c>
      <c r="J24" s="56">
        <v>140.80000000000001</v>
      </c>
      <c r="K24" s="56">
        <v>142.19999999999999</v>
      </c>
      <c r="L24" s="56">
        <v>145.6</v>
      </c>
      <c r="M24" s="56">
        <v>149.6</v>
      </c>
      <c r="N24" s="56">
        <v>153.19999999999999</v>
      </c>
      <c r="O24" s="56">
        <v>156.19999999999999</v>
      </c>
      <c r="P24" s="56">
        <v>159.9</v>
      </c>
      <c r="Q24" s="56">
        <v>165</v>
      </c>
      <c r="R24" s="56">
        <v>171.9</v>
      </c>
      <c r="S24" s="56">
        <v>180.1</v>
      </c>
      <c r="T24" s="56">
        <v>186.3</v>
      </c>
      <c r="U24" s="56">
        <v>191.9</v>
      </c>
      <c r="V24" s="56">
        <v>201.5</v>
      </c>
      <c r="W24" s="56">
        <v>204</v>
      </c>
      <c r="X24" s="56">
        <v>209.3</v>
      </c>
      <c r="Y24" s="56">
        <v>214.8</v>
      </c>
      <c r="Z24" s="56">
        <v>219.7</v>
      </c>
      <c r="AA24" s="56">
        <v>218.5</v>
      </c>
      <c r="AB24" s="56">
        <v>218.6</v>
      </c>
      <c r="AC24" s="56">
        <v>220.6</v>
      </c>
      <c r="AD24" s="56">
        <v>227</v>
      </c>
      <c r="AE24" s="56">
        <v>232.4</v>
      </c>
      <c r="AF24" s="56">
        <v>236.1</v>
      </c>
      <c r="AG24" s="56">
        <v>240.5</v>
      </c>
      <c r="AH24" s="56">
        <v>243.8</v>
      </c>
      <c r="AI24" s="56">
        <v>255.3</v>
      </c>
      <c r="AJ24" s="56">
        <v>262.2</v>
      </c>
      <c r="AK24" s="56">
        <v>268.39999999999998</v>
      </c>
      <c r="AL24" s="56">
        <v>270.10000000000002</v>
      </c>
      <c r="AM24" s="56">
        <v>278.89999999999998</v>
      </c>
      <c r="AN24" s="56">
        <v>289.39999999999998</v>
      </c>
      <c r="AO24" s="56">
        <v>298.39999999999998</v>
      </c>
      <c r="AP24" s="56">
        <v>307.7</v>
      </c>
      <c r="AQ24" s="56">
        <v>312</v>
      </c>
      <c r="AR24" s="56">
        <v>316.10000000000002</v>
      </c>
      <c r="AS24" s="56">
        <v>323.10000000000002</v>
      </c>
      <c r="AT24" s="56">
        <v>336.1</v>
      </c>
      <c r="AU24" s="56">
        <v>336.8</v>
      </c>
      <c r="AV24" s="56">
        <v>340.3</v>
      </c>
      <c r="AW24" s="56">
        <v>348.4</v>
      </c>
      <c r="AX24" s="56">
        <v>353.2</v>
      </c>
      <c r="AY24" s="56">
        <v>360.2</v>
      </c>
      <c r="AZ24" s="56">
        <v>365.8</v>
      </c>
      <c r="BA24" s="56">
        <v>373.3</v>
      </c>
      <c r="BB24" s="56">
        <v>377.4</v>
      </c>
      <c r="BC24" s="56">
        <v>380.7</v>
      </c>
      <c r="BD24" s="56">
        <v>387.8</v>
      </c>
      <c r="BE24" s="56">
        <v>390.9</v>
      </c>
      <c r="BF24" s="56">
        <v>401.6</v>
      </c>
      <c r="BG24" s="56">
        <v>410.8</v>
      </c>
      <c r="BH24" s="56">
        <v>421.7</v>
      </c>
      <c r="BI24" s="56">
        <v>430.2</v>
      </c>
      <c r="BJ24" s="56">
        <v>440.8</v>
      </c>
      <c r="BK24" s="56">
        <v>453.2</v>
      </c>
      <c r="BL24" s="56">
        <v>464.3</v>
      </c>
      <c r="BM24" s="56">
        <v>472.1</v>
      </c>
      <c r="BN24" s="56">
        <v>482.8</v>
      </c>
      <c r="BO24" s="56">
        <v>489.7</v>
      </c>
      <c r="BP24" s="56">
        <v>498.5</v>
      </c>
      <c r="BQ24" s="56">
        <v>506.6</v>
      </c>
      <c r="BR24" s="56">
        <v>516.5</v>
      </c>
      <c r="BS24" s="56">
        <v>524</v>
      </c>
      <c r="BT24" s="56">
        <v>532.1</v>
      </c>
      <c r="BU24" s="56">
        <v>542.29999999999995</v>
      </c>
      <c r="BV24" s="56">
        <v>551.1</v>
      </c>
      <c r="BW24" s="56">
        <v>563.5</v>
      </c>
      <c r="BX24" s="56">
        <v>570.79999999999995</v>
      </c>
      <c r="BY24" s="56">
        <v>584.29999999999995</v>
      </c>
      <c r="BZ24" s="56">
        <v>596.70000000000005</v>
      </c>
      <c r="CA24" s="56">
        <v>611.5</v>
      </c>
      <c r="CB24" s="56">
        <v>623.20000000000005</v>
      </c>
      <c r="CC24" s="56">
        <v>639.70000000000005</v>
      </c>
      <c r="CD24" s="56">
        <v>658.8</v>
      </c>
      <c r="CE24" s="56">
        <v>666.8</v>
      </c>
      <c r="CF24" s="56">
        <v>680.3</v>
      </c>
      <c r="CG24" s="56">
        <v>698.8</v>
      </c>
      <c r="CH24" s="56">
        <v>702.8</v>
      </c>
      <c r="CI24" s="56">
        <v>709.9</v>
      </c>
      <c r="CJ24" s="56">
        <v>719.9</v>
      </c>
      <c r="CK24" s="56">
        <v>731.4</v>
      </c>
      <c r="CL24" s="56">
        <v>746.1</v>
      </c>
      <c r="CM24" s="56">
        <v>753.9</v>
      </c>
      <c r="CN24" s="56">
        <v>759.8</v>
      </c>
      <c r="CO24" s="56">
        <v>764.4</v>
      </c>
      <c r="CP24" s="56">
        <v>771.5</v>
      </c>
      <c r="CQ24" s="56">
        <v>782.3</v>
      </c>
      <c r="CR24" s="56">
        <v>788.7</v>
      </c>
      <c r="CS24" s="56">
        <v>796.5</v>
      </c>
      <c r="CT24" s="56">
        <v>806.3</v>
      </c>
      <c r="CU24" s="56">
        <v>820</v>
      </c>
      <c r="CV24" s="56">
        <v>836.9</v>
      </c>
      <c r="CW24" s="56">
        <v>847.1</v>
      </c>
      <c r="CX24" s="56">
        <v>858.5</v>
      </c>
      <c r="CY24" s="56">
        <v>871.9</v>
      </c>
      <c r="CZ24" s="56">
        <v>876.3</v>
      </c>
      <c r="DA24" s="56">
        <v>884.3</v>
      </c>
      <c r="DB24" s="56">
        <v>891.5</v>
      </c>
      <c r="DC24" s="56">
        <v>905.5</v>
      </c>
      <c r="DD24" s="56">
        <v>919</v>
      </c>
      <c r="DE24" s="56">
        <v>938.8</v>
      </c>
      <c r="DF24" s="56">
        <v>945.3</v>
      </c>
      <c r="DG24" s="56">
        <v>955.4</v>
      </c>
      <c r="DH24" s="56">
        <v>969.2</v>
      </c>
      <c r="DI24" s="56">
        <v>985.6</v>
      </c>
      <c r="DJ24" s="56">
        <v>995.9</v>
      </c>
      <c r="DK24" s="56">
        <v>1016.6</v>
      </c>
      <c r="DL24" s="56">
        <v>1038.5999999999999</v>
      </c>
      <c r="DM24" s="56">
        <v>1053.2</v>
      </c>
      <c r="DN24" s="56">
        <v>1074</v>
      </c>
      <c r="DO24" s="56">
        <v>1095.5</v>
      </c>
      <c r="DP24" s="56">
        <v>1119.8</v>
      </c>
      <c r="DQ24" s="56">
        <v>1147.4000000000001</v>
      </c>
      <c r="DR24" s="56">
        <v>1170.5</v>
      </c>
      <c r="DS24" s="56">
        <v>1181.3</v>
      </c>
      <c r="DT24" s="56">
        <v>1198.5</v>
      </c>
      <c r="DU24" s="56">
        <v>1223.0999999999999</v>
      </c>
      <c r="DV24" s="56">
        <v>1253</v>
      </c>
      <c r="DW24" s="56">
        <v>1281.5</v>
      </c>
      <c r="DX24" s="56">
        <v>1279</v>
      </c>
      <c r="DY24" s="56">
        <v>1305.9000000000001</v>
      </c>
      <c r="DZ24" s="56">
        <v>1326</v>
      </c>
      <c r="EA24" s="56">
        <v>1339.7</v>
      </c>
      <c r="EB24" s="56">
        <v>1352.9</v>
      </c>
      <c r="EC24" s="56">
        <v>1367</v>
      </c>
      <c r="ED24" s="56">
        <v>1379.3</v>
      </c>
      <c r="EE24" s="56">
        <v>1372.8</v>
      </c>
      <c r="EF24" s="56">
        <v>1387.2</v>
      </c>
      <c r="EG24" s="56">
        <v>1396</v>
      </c>
      <c r="EH24" s="56">
        <v>1414.8</v>
      </c>
      <c r="EI24" s="56">
        <v>1436.1</v>
      </c>
      <c r="EJ24" s="56">
        <v>1453.9</v>
      </c>
      <c r="EK24" s="56">
        <v>1479.2</v>
      </c>
      <c r="EL24" s="56">
        <v>1494.3</v>
      </c>
      <c r="EM24" s="56">
        <v>1513</v>
      </c>
      <c r="EN24" s="56">
        <v>1538</v>
      </c>
      <c r="EO24" s="56">
        <v>1564.8</v>
      </c>
      <c r="EP24" s="56">
        <v>1583</v>
      </c>
      <c r="EQ24" s="56">
        <v>1613.4</v>
      </c>
      <c r="ER24" s="56">
        <v>1634.8</v>
      </c>
      <c r="ES24" s="56">
        <v>1659.4</v>
      </c>
      <c r="ET24" s="56">
        <v>1700.9</v>
      </c>
      <c r="EU24" s="56">
        <v>1727.5</v>
      </c>
      <c r="EV24" s="56">
        <v>1749.9</v>
      </c>
      <c r="EW24" s="56">
        <v>1779.8</v>
      </c>
      <c r="EX24" s="56">
        <v>1798.5</v>
      </c>
      <c r="EY24" s="56">
        <v>1825</v>
      </c>
      <c r="EZ24" s="56">
        <v>1858.8</v>
      </c>
      <c r="FA24" s="56">
        <v>1842</v>
      </c>
      <c r="FB24" s="56">
        <v>1836.8</v>
      </c>
      <c r="FC24" s="56">
        <v>1857</v>
      </c>
      <c r="FD24" s="56">
        <v>1863.8</v>
      </c>
      <c r="FE24" s="56">
        <v>1864.6</v>
      </c>
      <c r="FF24" s="56">
        <v>1855.5</v>
      </c>
      <c r="FG24" s="56">
        <v>1860.7</v>
      </c>
      <c r="FH24" s="56">
        <v>1854</v>
      </c>
      <c r="FI24" s="56">
        <v>1851.4</v>
      </c>
      <c r="FJ24" s="56">
        <v>1849.8</v>
      </c>
      <c r="FK24" s="56">
        <v>1855.5</v>
      </c>
      <c r="FL24" s="56">
        <v>1848.3</v>
      </c>
      <c r="FM24" s="56">
        <v>1839.1</v>
      </c>
      <c r="FN24" s="56">
        <v>1847.9</v>
      </c>
      <c r="FO24" s="56">
        <v>1841.8</v>
      </c>
      <c r="FP24" s="56">
        <v>1845.3</v>
      </c>
      <c r="FQ24" s="56">
        <v>1862.7</v>
      </c>
      <c r="FR24" s="56">
        <v>1883.4</v>
      </c>
      <c r="FS24" s="56">
        <v>1898.6</v>
      </c>
      <c r="FT24" s="56">
        <v>1915.6</v>
      </c>
      <c r="FU24" s="56">
        <v>1923.3</v>
      </c>
      <c r="FV24" s="56">
        <v>1926.1</v>
      </c>
      <c r="FW24" s="56">
        <v>1943.4</v>
      </c>
      <c r="FX24" s="56">
        <v>1961.1</v>
      </c>
      <c r="FY24" s="56">
        <v>1975.5</v>
      </c>
      <c r="FZ24" s="56">
        <v>1971.7</v>
      </c>
      <c r="GA24" s="56">
        <v>2011.7</v>
      </c>
      <c r="GB24" s="56">
        <v>2031.2</v>
      </c>
      <c r="GC24" s="56">
        <v>2028.1</v>
      </c>
      <c r="GD24" s="56">
        <v>2040.5</v>
      </c>
      <c r="GE24" s="56">
        <v>2059.6</v>
      </c>
      <c r="GF24" s="56">
        <v>2073.9</v>
      </c>
      <c r="GG24" s="56">
        <v>2088.8000000000002</v>
      </c>
      <c r="GH24" s="56">
        <v>2104</v>
      </c>
      <c r="GI24" s="56">
        <v>2110.6</v>
      </c>
      <c r="GJ24" s="56">
        <v>2134.3000000000002</v>
      </c>
      <c r="GK24" s="56">
        <v>2175.4</v>
      </c>
      <c r="GL24" s="56">
        <v>2197.6999999999998</v>
      </c>
      <c r="GM24" s="56">
        <v>2236</v>
      </c>
      <c r="GN24" s="56">
        <v>2267.1999999999998</v>
      </c>
      <c r="GO24" s="56">
        <v>2275.5</v>
      </c>
      <c r="GP24" s="56">
        <v>2299.8000000000002</v>
      </c>
      <c r="GQ24" s="56">
        <v>2353.1999999999998</v>
      </c>
      <c r="GR24" s="56">
        <v>2388</v>
      </c>
      <c r="GS24" s="56">
        <v>2425.1</v>
      </c>
      <c r="GT24" s="56">
        <v>2483.6999999999998</v>
      </c>
      <c r="GU24" s="56">
        <v>2458.1999999999998</v>
      </c>
      <c r="GV24" s="56">
        <v>2475.1</v>
      </c>
      <c r="GW24" s="56">
        <v>2489.4</v>
      </c>
      <c r="GX24" s="56">
        <v>2534.1999999999998</v>
      </c>
      <c r="GY24" s="56">
        <v>2572.6</v>
      </c>
      <c r="GZ24" s="56">
        <v>2629</v>
      </c>
      <c r="HA24" s="56">
        <v>2665.4</v>
      </c>
      <c r="HB24" s="56">
        <v>2726.1</v>
      </c>
      <c r="HC24">
        <v>2815.5</v>
      </c>
      <c r="HD24">
        <v>2838.7</v>
      </c>
      <c r="HE24">
        <v>2870.6</v>
      </c>
      <c r="HF24">
        <v>2893</v>
      </c>
      <c r="HG24">
        <v>2904.1</v>
      </c>
      <c r="HH24">
        <v>2975.5</v>
      </c>
      <c r="HI24">
        <v>3019</v>
      </c>
      <c r="HJ24">
        <v>3070.7</v>
      </c>
      <c r="HK24">
        <v>3100.9</v>
      </c>
      <c r="HL24">
        <v>3141.6</v>
      </c>
      <c r="HM24">
        <v>3175</v>
      </c>
      <c r="HN24">
        <v>3221.5</v>
      </c>
      <c r="HO24">
        <v>3251</v>
      </c>
    </row>
    <row r="25" spans="1:223" x14ac:dyDescent="0.35">
      <c r="A25" s="56" t="s">
        <v>2260</v>
      </c>
      <c r="B25" s="56">
        <v>753.5</v>
      </c>
      <c r="C25" s="56">
        <v>733.7</v>
      </c>
      <c r="D25" s="56">
        <v>724.6</v>
      </c>
      <c r="E25" s="56">
        <v>721.9</v>
      </c>
      <c r="F25" s="56">
        <v>698.7</v>
      </c>
      <c r="G25" s="56">
        <v>690.5</v>
      </c>
      <c r="H25" s="56">
        <v>687.5</v>
      </c>
      <c r="I25" s="56">
        <v>669.4</v>
      </c>
      <c r="J25" s="56">
        <v>674.9</v>
      </c>
      <c r="K25" s="56">
        <v>681.4</v>
      </c>
      <c r="L25" s="56">
        <v>650.20000000000005</v>
      </c>
      <c r="M25" s="56">
        <v>651.9</v>
      </c>
      <c r="N25" s="56">
        <v>660.3</v>
      </c>
      <c r="O25" s="56">
        <v>649.70000000000005</v>
      </c>
      <c r="P25" s="56">
        <v>626.70000000000005</v>
      </c>
      <c r="Q25" s="56">
        <v>628.1</v>
      </c>
      <c r="R25" s="56">
        <v>643.20000000000005</v>
      </c>
      <c r="S25" s="56">
        <v>641</v>
      </c>
      <c r="T25" s="56">
        <v>645.1</v>
      </c>
      <c r="U25" s="56">
        <v>651.5</v>
      </c>
      <c r="V25" s="56">
        <v>644.70000000000005</v>
      </c>
      <c r="W25" s="56">
        <v>638.29999999999995</v>
      </c>
      <c r="X25" s="56">
        <v>654.70000000000005</v>
      </c>
      <c r="Y25" s="56">
        <v>656.9</v>
      </c>
      <c r="Z25" s="56">
        <v>650.4</v>
      </c>
      <c r="AA25" s="56">
        <v>648.20000000000005</v>
      </c>
      <c r="AB25" s="56">
        <v>649.1</v>
      </c>
      <c r="AC25" s="56">
        <v>650.5</v>
      </c>
      <c r="AD25" s="56">
        <v>655</v>
      </c>
      <c r="AE25" s="56">
        <v>663.3</v>
      </c>
      <c r="AF25" s="56">
        <v>669.9</v>
      </c>
      <c r="AG25" s="56">
        <v>665.3</v>
      </c>
      <c r="AH25" s="56">
        <v>665.8</v>
      </c>
      <c r="AI25" s="56">
        <v>678.7</v>
      </c>
      <c r="AJ25" s="56">
        <v>683.1</v>
      </c>
      <c r="AK25" s="56">
        <v>688.9</v>
      </c>
      <c r="AL25" s="56">
        <v>687.8</v>
      </c>
      <c r="AM25" s="56">
        <v>694.8</v>
      </c>
      <c r="AN25" s="56">
        <v>696.4</v>
      </c>
      <c r="AO25" s="56">
        <v>697.2</v>
      </c>
      <c r="AP25" s="56">
        <v>715.8</v>
      </c>
      <c r="AQ25" s="56">
        <v>729.9</v>
      </c>
      <c r="AR25" s="56">
        <v>721.5</v>
      </c>
      <c r="AS25" s="56">
        <v>725.2</v>
      </c>
      <c r="AT25" s="56">
        <v>739.4</v>
      </c>
      <c r="AU25" s="56">
        <v>758.4</v>
      </c>
      <c r="AV25" s="56">
        <v>755.3</v>
      </c>
      <c r="AW25" s="56">
        <v>768.8</v>
      </c>
      <c r="AX25" s="56">
        <v>769.3</v>
      </c>
      <c r="AY25" s="56">
        <v>772.5</v>
      </c>
      <c r="AZ25" s="56">
        <v>785.2</v>
      </c>
      <c r="BA25" s="56">
        <v>803.7</v>
      </c>
      <c r="BB25" s="56">
        <v>816.4</v>
      </c>
      <c r="BC25" s="56">
        <v>831.6</v>
      </c>
      <c r="BD25" s="56">
        <v>853.1</v>
      </c>
      <c r="BE25" s="56">
        <v>825.5</v>
      </c>
      <c r="BF25" s="56">
        <v>832.5</v>
      </c>
      <c r="BG25" s="56">
        <v>857.7</v>
      </c>
      <c r="BH25" s="56">
        <v>857</v>
      </c>
      <c r="BI25" s="56">
        <v>884.4</v>
      </c>
      <c r="BJ25" s="56">
        <v>892.5</v>
      </c>
      <c r="BK25" s="56">
        <v>916</v>
      </c>
      <c r="BL25" s="56">
        <v>943.3</v>
      </c>
      <c r="BM25" s="56">
        <v>943.8</v>
      </c>
      <c r="BN25" s="56">
        <v>941.2</v>
      </c>
      <c r="BO25" s="56">
        <v>971.7</v>
      </c>
      <c r="BP25" s="56">
        <v>1005.3</v>
      </c>
      <c r="BQ25" s="56">
        <v>993.6</v>
      </c>
      <c r="BR25" s="56">
        <v>1000</v>
      </c>
      <c r="BS25" s="56">
        <v>1013.6</v>
      </c>
      <c r="BT25" s="56">
        <v>1012.2</v>
      </c>
      <c r="BU25" s="56">
        <v>1029.3</v>
      </c>
      <c r="BV25" s="56">
        <v>999.8</v>
      </c>
      <c r="BW25" s="56">
        <v>992.3</v>
      </c>
      <c r="BX25" s="56">
        <v>987.6</v>
      </c>
      <c r="BY25" s="56">
        <v>1014.9</v>
      </c>
      <c r="BZ25" s="56">
        <v>996.4</v>
      </c>
      <c r="CA25" s="56">
        <v>1016.6</v>
      </c>
      <c r="CB25" s="56">
        <v>1025</v>
      </c>
      <c r="CC25" s="56">
        <v>1020.2</v>
      </c>
      <c r="CD25" s="56">
        <v>1037.2</v>
      </c>
      <c r="CE25" s="56">
        <v>1038.5999999999999</v>
      </c>
      <c r="CF25" s="56">
        <v>1034</v>
      </c>
      <c r="CG25" s="56">
        <v>1035.3</v>
      </c>
      <c r="CH25" s="56">
        <v>1047.0999999999999</v>
      </c>
      <c r="CI25" s="56">
        <v>1051.4000000000001</v>
      </c>
      <c r="CJ25" s="56">
        <v>1037.5</v>
      </c>
      <c r="CK25" s="56">
        <v>1011.5</v>
      </c>
      <c r="CL25" s="56">
        <v>1015.3</v>
      </c>
      <c r="CM25" s="56">
        <v>1012.6</v>
      </c>
      <c r="CN25" s="56">
        <v>1026.9000000000001</v>
      </c>
      <c r="CO25" s="56">
        <v>1027.5999999999999</v>
      </c>
      <c r="CP25" s="56">
        <v>994</v>
      </c>
      <c r="CQ25" s="56">
        <v>983.6</v>
      </c>
      <c r="CR25" s="56">
        <v>979.9</v>
      </c>
      <c r="CS25" s="56">
        <v>981.5</v>
      </c>
      <c r="CT25" s="56">
        <v>947.3</v>
      </c>
      <c r="CU25" s="56">
        <v>943.2</v>
      </c>
      <c r="CV25" s="56">
        <v>966.1</v>
      </c>
      <c r="CW25" s="56">
        <v>940.6</v>
      </c>
      <c r="CX25" s="56">
        <v>938</v>
      </c>
      <c r="CY25" s="56">
        <v>934.9</v>
      </c>
      <c r="CZ25" s="56">
        <v>927.4</v>
      </c>
      <c r="DA25" s="56">
        <v>895.8</v>
      </c>
      <c r="DB25" s="56">
        <v>913.5</v>
      </c>
      <c r="DC25" s="56">
        <v>922.1</v>
      </c>
      <c r="DD25" s="56">
        <v>909.9</v>
      </c>
      <c r="DE25" s="56">
        <v>905.5</v>
      </c>
      <c r="DF25" s="56">
        <v>892.7</v>
      </c>
      <c r="DG25" s="56">
        <v>912.5</v>
      </c>
      <c r="DH25" s="56">
        <v>908.6</v>
      </c>
      <c r="DI25" s="56">
        <v>907.2</v>
      </c>
      <c r="DJ25" s="56">
        <v>884.6</v>
      </c>
      <c r="DK25" s="56">
        <v>901.9</v>
      </c>
      <c r="DL25" s="56">
        <v>898.4</v>
      </c>
      <c r="DM25" s="56">
        <v>904</v>
      </c>
      <c r="DN25" s="56">
        <v>902.6</v>
      </c>
      <c r="DO25" s="56">
        <v>901.3</v>
      </c>
      <c r="DP25" s="56">
        <v>915.4</v>
      </c>
      <c r="DQ25" s="56">
        <v>934</v>
      </c>
      <c r="DR25" s="56">
        <v>903</v>
      </c>
      <c r="DS25" s="56">
        <v>931.2</v>
      </c>
      <c r="DT25" s="56">
        <v>913.6</v>
      </c>
      <c r="DU25" s="56">
        <v>916.1</v>
      </c>
      <c r="DV25" s="56">
        <v>936.2</v>
      </c>
      <c r="DW25" s="56">
        <v>949.8</v>
      </c>
      <c r="DX25" s="56">
        <v>955.5</v>
      </c>
      <c r="DY25" s="56">
        <v>966.9</v>
      </c>
      <c r="DZ25" s="56">
        <v>998.7</v>
      </c>
      <c r="EA25" s="56">
        <v>1018.1</v>
      </c>
      <c r="EB25" s="56">
        <v>1028.0999999999999</v>
      </c>
      <c r="EC25" s="56">
        <v>1045.5999999999999</v>
      </c>
      <c r="ED25" s="56">
        <v>1057.7</v>
      </c>
      <c r="EE25" s="56">
        <v>1094.2</v>
      </c>
      <c r="EF25" s="56">
        <v>1094</v>
      </c>
      <c r="EG25" s="56">
        <v>1114.3</v>
      </c>
      <c r="EH25" s="56">
        <v>1126.4000000000001</v>
      </c>
      <c r="EI25" s="56">
        <v>1133</v>
      </c>
      <c r="EJ25" s="56">
        <v>1145.5</v>
      </c>
      <c r="EK25" s="56">
        <v>1143.4000000000001</v>
      </c>
      <c r="EL25" s="56">
        <v>1156.0999999999999</v>
      </c>
      <c r="EM25" s="56">
        <v>1154.9000000000001</v>
      </c>
      <c r="EN25" s="56">
        <v>1163.8</v>
      </c>
      <c r="EO25" s="56">
        <v>1164.3</v>
      </c>
      <c r="EP25" s="56">
        <v>1194.5</v>
      </c>
      <c r="EQ25" s="56">
        <v>1186.4000000000001</v>
      </c>
      <c r="ER25" s="56">
        <v>1175.5999999999999</v>
      </c>
      <c r="ES25" s="56">
        <v>1192.7</v>
      </c>
      <c r="ET25" s="56">
        <v>1185.5</v>
      </c>
      <c r="EU25" s="56">
        <v>1205</v>
      </c>
      <c r="EV25" s="56">
        <v>1215.5</v>
      </c>
      <c r="EW25" s="56">
        <v>1235.8</v>
      </c>
      <c r="EX25" s="56">
        <v>1254.5999999999999</v>
      </c>
      <c r="EY25" s="56">
        <v>1281.4000000000001</v>
      </c>
      <c r="EZ25" s="56">
        <v>1298</v>
      </c>
      <c r="FA25" s="56">
        <v>1314.9</v>
      </c>
      <c r="FB25" s="56">
        <v>1332.3</v>
      </c>
      <c r="FC25" s="56">
        <v>1363.9</v>
      </c>
      <c r="FD25" s="56">
        <v>1376.4</v>
      </c>
      <c r="FE25" s="56">
        <v>1396.9</v>
      </c>
      <c r="FF25" s="56">
        <v>1412.5</v>
      </c>
      <c r="FG25" s="56">
        <v>1431</v>
      </c>
      <c r="FH25" s="56">
        <v>1424.5</v>
      </c>
      <c r="FI25" s="56">
        <v>1422.3</v>
      </c>
      <c r="FJ25" s="56">
        <v>1402.2</v>
      </c>
      <c r="FK25" s="56">
        <v>1396.8</v>
      </c>
      <c r="FL25" s="56">
        <v>1366.4</v>
      </c>
      <c r="FM25" s="56">
        <v>1371.5</v>
      </c>
      <c r="FN25" s="56">
        <v>1371.4</v>
      </c>
      <c r="FO25" s="56">
        <v>1360.5</v>
      </c>
      <c r="FP25" s="56">
        <v>1363.3</v>
      </c>
      <c r="FQ25" s="56">
        <v>1336.2</v>
      </c>
      <c r="FR25" s="56">
        <v>1306</v>
      </c>
      <c r="FS25" s="56">
        <v>1295.9000000000001</v>
      </c>
      <c r="FT25" s="56">
        <v>1277.8</v>
      </c>
      <c r="FU25" s="56">
        <v>1256</v>
      </c>
      <c r="FV25" s="56">
        <v>1254.9000000000001</v>
      </c>
      <c r="FW25" s="56">
        <v>1247.7</v>
      </c>
      <c r="FX25" s="56">
        <v>1262.0999999999999</v>
      </c>
      <c r="FY25" s="56">
        <v>1243.0999999999999</v>
      </c>
      <c r="FZ25" s="56">
        <v>1248</v>
      </c>
      <c r="GA25" s="56">
        <v>1251.9000000000001</v>
      </c>
      <c r="GB25" s="56">
        <v>1250.8</v>
      </c>
      <c r="GC25" s="56">
        <v>1260.2</v>
      </c>
      <c r="GD25" s="56">
        <v>1261.0999999999999</v>
      </c>
      <c r="GE25" s="56">
        <v>1254.8</v>
      </c>
      <c r="GF25" s="56">
        <v>1261.4000000000001</v>
      </c>
      <c r="GG25" s="56">
        <v>1262.5</v>
      </c>
      <c r="GH25" s="56">
        <v>1257.2</v>
      </c>
      <c r="GI25" s="56">
        <v>1263.9000000000001</v>
      </c>
      <c r="GJ25" s="56">
        <v>1263.0999999999999</v>
      </c>
      <c r="GK25" s="56">
        <v>1280</v>
      </c>
      <c r="GL25" s="56">
        <v>1293</v>
      </c>
      <c r="GM25" s="56">
        <v>1302.3</v>
      </c>
      <c r="GN25" s="56">
        <v>1319.1</v>
      </c>
      <c r="GO25" s="56">
        <v>1325.3</v>
      </c>
      <c r="GP25" s="56">
        <v>1339.8</v>
      </c>
      <c r="GQ25" s="56">
        <v>1353.4</v>
      </c>
      <c r="GR25" s="56">
        <v>1370.3</v>
      </c>
      <c r="GS25" s="56">
        <v>1377.8</v>
      </c>
      <c r="GT25" s="56">
        <v>1392.2</v>
      </c>
      <c r="GU25" s="56">
        <v>1494.7</v>
      </c>
      <c r="GV25" s="56">
        <v>1447.4</v>
      </c>
      <c r="GW25" s="56">
        <v>1447.9</v>
      </c>
      <c r="GX25" s="56">
        <v>1506.7</v>
      </c>
      <c r="GY25" s="56">
        <v>1475.7</v>
      </c>
      <c r="GZ25" s="56">
        <v>1447.2</v>
      </c>
      <c r="HA25" s="56">
        <v>1458.4</v>
      </c>
      <c r="HB25" s="56">
        <v>1426.3</v>
      </c>
      <c r="HC25">
        <v>1414.4</v>
      </c>
      <c r="HD25">
        <v>1412.9</v>
      </c>
      <c r="HE25">
        <v>1443.6</v>
      </c>
      <c r="HF25">
        <v>1460</v>
      </c>
      <c r="HG25">
        <v>1456</v>
      </c>
      <c r="HH25">
        <v>1474.8</v>
      </c>
      <c r="HI25">
        <v>1473.5</v>
      </c>
      <c r="HJ25">
        <v>1472.2</v>
      </c>
      <c r="HK25">
        <v>1487.8</v>
      </c>
      <c r="HL25">
        <v>1520</v>
      </c>
      <c r="HM25">
        <v>1534.9</v>
      </c>
      <c r="HN25">
        <v>1516.8</v>
      </c>
      <c r="HO25">
        <v>1502.4</v>
      </c>
    </row>
    <row r="26" spans="1:223" x14ac:dyDescent="0.35">
      <c r="A26" s="56" t="s">
        <v>2261</v>
      </c>
      <c r="B26" s="56">
        <v>902.2</v>
      </c>
      <c r="C26" s="56">
        <v>907.1</v>
      </c>
      <c r="D26" s="56">
        <v>927.8</v>
      </c>
      <c r="E26" s="56">
        <v>932.5</v>
      </c>
      <c r="F26" s="56">
        <v>936.4</v>
      </c>
      <c r="G26" s="56">
        <v>943.3</v>
      </c>
      <c r="H26" s="56">
        <v>946.5</v>
      </c>
      <c r="I26" s="56">
        <v>958.4</v>
      </c>
      <c r="J26" s="56">
        <v>961</v>
      </c>
      <c r="K26" s="56">
        <v>959.4</v>
      </c>
      <c r="L26" s="56">
        <v>967.1</v>
      </c>
      <c r="M26" s="56">
        <v>980.4</v>
      </c>
      <c r="N26" s="56">
        <v>984.9</v>
      </c>
      <c r="O26" s="56">
        <v>986.5</v>
      </c>
      <c r="P26" s="56">
        <v>996.8</v>
      </c>
      <c r="Q26" s="56">
        <v>1008.9</v>
      </c>
      <c r="R26" s="56">
        <v>1021.7</v>
      </c>
      <c r="S26" s="56">
        <v>1034.3</v>
      </c>
      <c r="T26" s="56">
        <v>1032.4000000000001</v>
      </c>
      <c r="U26" s="56">
        <v>1032.8</v>
      </c>
      <c r="V26" s="56">
        <v>1063.3</v>
      </c>
      <c r="W26" s="56">
        <v>1055.7</v>
      </c>
      <c r="X26" s="56">
        <v>1069.2</v>
      </c>
      <c r="Y26" s="56">
        <v>1083.5</v>
      </c>
      <c r="Z26" s="56">
        <v>1095.7</v>
      </c>
      <c r="AA26" s="56">
        <v>1076.5</v>
      </c>
      <c r="AB26" s="56">
        <v>1069.3</v>
      </c>
      <c r="AC26" s="56">
        <v>1066.0999999999999</v>
      </c>
      <c r="AD26" s="56">
        <v>1076.7</v>
      </c>
      <c r="AE26" s="56">
        <v>1083.3</v>
      </c>
      <c r="AF26" s="56">
        <v>1082.2</v>
      </c>
      <c r="AG26" s="56">
        <v>1083.8</v>
      </c>
      <c r="AH26" s="56">
        <v>1083.5999999999999</v>
      </c>
      <c r="AI26" s="56">
        <v>1116.2</v>
      </c>
      <c r="AJ26" s="56">
        <v>1129</v>
      </c>
      <c r="AK26" s="56">
        <v>1139.7</v>
      </c>
      <c r="AL26" s="56">
        <v>1120.4000000000001</v>
      </c>
      <c r="AM26" s="56">
        <v>1130.9000000000001</v>
      </c>
      <c r="AN26" s="56">
        <v>1134.8</v>
      </c>
      <c r="AO26" s="56">
        <v>1147.5</v>
      </c>
      <c r="AP26" s="56">
        <v>1152.9000000000001</v>
      </c>
      <c r="AQ26" s="56">
        <v>1137.5999999999999</v>
      </c>
      <c r="AR26" s="56">
        <v>1120</v>
      </c>
      <c r="AS26" s="56">
        <v>1114.5</v>
      </c>
      <c r="AT26" s="56">
        <v>1123.2</v>
      </c>
      <c r="AU26" s="56">
        <v>1101.8</v>
      </c>
      <c r="AV26" s="56">
        <v>1098.5999999999999</v>
      </c>
      <c r="AW26" s="56">
        <v>1107.2</v>
      </c>
      <c r="AX26" s="56">
        <v>1104.0999999999999</v>
      </c>
      <c r="AY26" s="56">
        <v>1107.9000000000001</v>
      </c>
      <c r="AZ26" s="56">
        <v>1108</v>
      </c>
      <c r="BA26" s="56">
        <v>1116.4000000000001</v>
      </c>
      <c r="BB26" s="56">
        <v>1120.4000000000001</v>
      </c>
      <c r="BC26" s="56">
        <v>1118.2</v>
      </c>
      <c r="BD26" s="56">
        <v>1127.9000000000001</v>
      </c>
      <c r="BE26" s="56">
        <v>1128.5999999999999</v>
      </c>
      <c r="BF26" s="56">
        <v>1142.9000000000001</v>
      </c>
      <c r="BG26" s="56">
        <v>1158.0999999999999</v>
      </c>
      <c r="BH26" s="56">
        <v>1177.9000000000001</v>
      </c>
      <c r="BI26" s="56">
        <v>1189.9000000000001</v>
      </c>
      <c r="BJ26" s="56">
        <v>1204.9000000000001</v>
      </c>
      <c r="BK26" s="56">
        <v>1226.7</v>
      </c>
      <c r="BL26" s="56">
        <v>1246.2</v>
      </c>
      <c r="BM26" s="56">
        <v>1255.7</v>
      </c>
      <c r="BN26" s="56">
        <v>1278.8</v>
      </c>
      <c r="BO26" s="56">
        <v>1291.3</v>
      </c>
      <c r="BP26" s="56">
        <v>1303.3</v>
      </c>
      <c r="BQ26" s="56">
        <v>1307.7</v>
      </c>
      <c r="BR26" s="56">
        <v>1314.6</v>
      </c>
      <c r="BS26" s="56">
        <v>1317.5</v>
      </c>
      <c r="BT26" s="56">
        <v>1322</v>
      </c>
      <c r="BU26" s="56">
        <v>1339.5</v>
      </c>
      <c r="BV26" s="56">
        <v>1354.2</v>
      </c>
      <c r="BW26" s="56">
        <v>1371.3</v>
      </c>
      <c r="BX26" s="56">
        <v>1377.5</v>
      </c>
      <c r="BY26" s="56">
        <v>1394.1</v>
      </c>
      <c r="BZ26" s="56">
        <v>1405.3</v>
      </c>
      <c r="CA26" s="56">
        <v>1420.8</v>
      </c>
      <c r="CB26" s="56">
        <v>1434.5</v>
      </c>
      <c r="CC26" s="56">
        <v>1453.7</v>
      </c>
      <c r="CD26" s="56">
        <v>1476.1</v>
      </c>
      <c r="CE26" s="56">
        <v>1478.9</v>
      </c>
      <c r="CF26" s="56">
        <v>1488.7</v>
      </c>
      <c r="CG26" s="56">
        <v>1505.3</v>
      </c>
      <c r="CH26" s="56">
        <v>1507.6</v>
      </c>
      <c r="CI26" s="56">
        <v>1513.7</v>
      </c>
      <c r="CJ26" s="56">
        <v>1522.5</v>
      </c>
      <c r="CK26" s="56">
        <v>1533.2</v>
      </c>
      <c r="CL26" s="56">
        <v>1553</v>
      </c>
      <c r="CM26" s="56">
        <v>1550.7</v>
      </c>
      <c r="CN26" s="56">
        <v>1551.4</v>
      </c>
      <c r="CO26" s="56">
        <v>1550.2</v>
      </c>
      <c r="CP26" s="56">
        <v>1555.6</v>
      </c>
      <c r="CQ26" s="56">
        <v>1568.2</v>
      </c>
      <c r="CR26" s="56">
        <v>1576.4</v>
      </c>
      <c r="CS26" s="56">
        <v>1584.1</v>
      </c>
      <c r="CT26" s="56">
        <v>1590.7</v>
      </c>
      <c r="CU26" s="56">
        <v>1608.8</v>
      </c>
      <c r="CV26" s="56">
        <v>1627.8</v>
      </c>
      <c r="CW26" s="56">
        <v>1633.7</v>
      </c>
      <c r="CX26" s="56">
        <v>1646.5</v>
      </c>
      <c r="CY26" s="56">
        <v>1659.4</v>
      </c>
      <c r="CZ26" s="56">
        <v>1661.1</v>
      </c>
      <c r="DA26" s="56">
        <v>1669.7</v>
      </c>
      <c r="DB26" s="56">
        <v>1666.8</v>
      </c>
      <c r="DC26" s="56">
        <v>1690.8</v>
      </c>
      <c r="DD26" s="56">
        <v>1705.1</v>
      </c>
      <c r="DE26" s="56">
        <v>1729.5</v>
      </c>
      <c r="DF26" s="56">
        <v>1729.9</v>
      </c>
      <c r="DG26" s="56">
        <v>1742.7</v>
      </c>
      <c r="DH26" s="56">
        <v>1760.3</v>
      </c>
      <c r="DI26" s="56">
        <v>1776.1</v>
      </c>
      <c r="DJ26" s="56">
        <v>1792.3</v>
      </c>
      <c r="DK26" s="56">
        <v>1821.7</v>
      </c>
      <c r="DL26" s="56">
        <v>1847.3</v>
      </c>
      <c r="DM26" s="56">
        <v>1857.8</v>
      </c>
      <c r="DN26" s="56">
        <v>1880</v>
      </c>
      <c r="DO26" s="56">
        <v>1892.1</v>
      </c>
      <c r="DP26" s="56">
        <v>1911.1</v>
      </c>
      <c r="DQ26" s="56">
        <v>1935.9</v>
      </c>
      <c r="DR26" s="56">
        <v>1949.9</v>
      </c>
      <c r="DS26" s="56">
        <v>1947.2</v>
      </c>
      <c r="DT26" s="56">
        <v>1954.5</v>
      </c>
      <c r="DU26" s="56">
        <v>1969.9</v>
      </c>
      <c r="DV26" s="56">
        <v>1994.2</v>
      </c>
      <c r="DW26" s="56">
        <v>2031.7</v>
      </c>
      <c r="DX26" s="56">
        <v>2022.5</v>
      </c>
      <c r="DY26" s="56">
        <v>2061</v>
      </c>
      <c r="DZ26" s="56">
        <v>2080.5</v>
      </c>
      <c r="EA26" s="56">
        <v>2083.1999999999998</v>
      </c>
      <c r="EB26" s="56">
        <v>2088.6</v>
      </c>
      <c r="EC26" s="56">
        <v>2092.6999999999998</v>
      </c>
      <c r="ED26" s="56">
        <v>2081.8000000000002</v>
      </c>
      <c r="EE26" s="56">
        <v>2070.4</v>
      </c>
      <c r="EF26" s="56">
        <v>2078.3000000000002</v>
      </c>
      <c r="EG26" s="56">
        <v>2075.1999999999998</v>
      </c>
      <c r="EH26" s="56">
        <v>2076.5</v>
      </c>
      <c r="EI26" s="56">
        <v>2078</v>
      </c>
      <c r="EJ26" s="56">
        <v>2070.3000000000002</v>
      </c>
      <c r="EK26" s="56">
        <v>2070.6</v>
      </c>
      <c r="EL26" s="56">
        <v>2072.9</v>
      </c>
      <c r="EM26" s="56">
        <v>2072.3000000000002</v>
      </c>
      <c r="EN26" s="56">
        <v>2073.5</v>
      </c>
      <c r="EO26" s="56">
        <v>2075.6</v>
      </c>
      <c r="EP26" s="56">
        <v>2084.9</v>
      </c>
      <c r="EQ26" s="56">
        <v>2092.6999999999998</v>
      </c>
      <c r="ER26" s="56">
        <v>2099.1999999999998</v>
      </c>
      <c r="ES26" s="56">
        <v>2108.4</v>
      </c>
      <c r="ET26" s="56">
        <v>2120.6</v>
      </c>
      <c r="EU26" s="56">
        <v>2130.6</v>
      </c>
      <c r="EV26" s="56">
        <v>2134.9</v>
      </c>
      <c r="EW26" s="56">
        <v>2140.6</v>
      </c>
      <c r="EX26" s="56">
        <v>2128.8000000000002</v>
      </c>
      <c r="EY26" s="56">
        <v>2130.3000000000002</v>
      </c>
      <c r="EZ26" s="56">
        <v>2140.8000000000002</v>
      </c>
      <c r="FA26" s="56">
        <v>2147.4</v>
      </c>
      <c r="FB26" s="56">
        <v>2169.1</v>
      </c>
      <c r="FC26" s="56">
        <v>2187.9</v>
      </c>
      <c r="FD26" s="56">
        <v>2184.6</v>
      </c>
      <c r="FE26" s="56">
        <v>2169.8000000000002</v>
      </c>
      <c r="FF26" s="56">
        <v>2137.8000000000002</v>
      </c>
      <c r="FG26" s="56">
        <v>2129.5</v>
      </c>
      <c r="FH26" s="56">
        <v>2110.6</v>
      </c>
      <c r="FI26" s="56">
        <v>2090.1999999999998</v>
      </c>
      <c r="FJ26" s="56">
        <v>2067.3000000000002</v>
      </c>
      <c r="FK26" s="56">
        <v>2048.8000000000002</v>
      </c>
      <c r="FL26" s="56">
        <v>2030.4</v>
      </c>
      <c r="FM26" s="56">
        <v>2022.8</v>
      </c>
      <c r="FN26" s="56">
        <v>2008.2</v>
      </c>
      <c r="FO26" s="56">
        <v>2001.4</v>
      </c>
      <c r="FP26" s="56">
        <v>1993.4</v>
      </c>
      <c r="FQ26" s="56">
        <v>1987.8</v>
      </c>
      <c r="FR26" s="56">
        <v>1987.2</v>
      </c>
      <c r="FS26" s="56">
        <v>1993.1</v>
      </c>
      <c r="FT26" s="56">
        <v>1995.1</v>
      </c>
      <c r="FU26" s="56">
        <v>1991.6</v>
      </c>
      <c r="FV26" s="56">
        <v>1978.8</v>
      </c>
      <c r="FW26" s="56">
        <v>1990.3</v>
      </c>
      <c r="FX26" s="56">
        <v>1997.9</v>
      </c>
      <c r="FY26" s="56">
        <v>2014.4</v>
      </c>
      <c r="FZ26" s="56">
        <v>2029.1</v>
      </c>
      <c r="GA26" s="56">
        <v>2057.3000000000002</v>
      </c>
      <c r="GB26" s="56">
        <v>2075.9</v>
      </c>
      <c r="GC26" s="56">
        <v>2080.8000000000002</v>
      </c>
      <c r="GD26" s="56">
        <v>2110.5</v>
      </c>
      <c r="GE26" s="56">
        <v>2114.1999999999998</v>
      </c>
      <c r="GF26" s="56">
        <v>2122.3000000000002</v>
      </c>
      <c r="GG26" s="56">
        <v>2127.1999999999998</v>
      </c>
      <c r="GH26" s="56">
        <v>2123.1</v>
      </c>
      <c r="GI26" s="56">
        <v>2125.9</v>
      </c>
      <c r="GJ26" s="56">
        <v>2130.9</v>
      </c>
      <c r="GK26" s="56">
        <v>2144.5</v>
      </c>
      <c r="GL26" s="56">
        <v>2138.6999999999998</v>
      </c>
      <c r="GM26" s="56">
        <v>2154</v>
      </c>
      <c r="GN26" s="56">
        <v>2164.6999999999998</v>
      </c>
      <c r="GO26" s="56">
        <v>2163.1999999999998</v>
      </c>
      <c r="GP26" s="56">
        <v>2197</v>
      </c>
      <c r="GQ26" s="56">
        <v>2231.3000000000002</v>
      </c>
      <c r="GR26" s="56">
        <v>2255.4</v>
      </c>
      <c r="GS26" s="56">
        <v>2277</v>
      </c>
      <c r="GT26" s="56">
        <v>2302.1999999999998</v>
      </c>
      <c r="GU26" s="56">
        <v>2281.5</v>
      </c>
      <c r="GV26" s="56">
        <v>2269.8000000000002</v>
      </c>
      <c r="GW26" s="56">
        <v>2255.3000000000002</v>
      </c>
      <c r="GX26" s="56">
        <v>2246.1</v>
      </c>
      <c r="GY26" s="56">
        <v>2236.1</v>
      </c>
      <c r="GZ26" s="56">
        <v>2249</v>
      </c>
      <c r="HA26" s="56">
        <v>2236</v>
      </c>
      <c r="HB26" s="56">
        <v>2235.3000000000002</v>
      </c>
      <c r="HC26">
        <v>2232.9</v>
      </c>
      <c r="HD26">
        <v>2248</v>
      </c>
      <c r="HE26">
        <v>2266.9</v>
      </c>
      <c r="HF26">
        <v>2296.6</v>
      </c>
      <c r="HG26">
        <v>2327.1</v>
      </c>
      <c r="HH26">
        <v>2360.8000000000002</v>
      </c>
      <c r="HI26">
        <v>2395.9</v>
      </c>
      <c r="HJ26">
        <v>2414</v>
      </c>
      <c r="HK26">
        <v>2427.9</v>
      </c>
      <c r="HL26">
        <v>2445.3000000000002</v>
      </c>
      <c r="HM26">
        <v>2460.4</v>
      </c>
      <c r="HN26">
        <v>2472.5</v>
      </c>
      <c r="HO26">
        <v>2491</v>
      </c>
    </row>
    <row r="27" spans="1:223" x14ac:dyDescent="0.35">
      <c r="A27" s="56" t="s">
        <v>2262</v>
      </c>
      <c r="B27" s="56">
        <v>90.6</v>
      </c>
      <c r="C27" s="56">
        <v>91.4</v>
      </c>
      <c r="D27" s="56">
        <v>86.3</v>
      </c>
      <c r="E27" s="56">
        <v>87.2</v>
      </c>
      <c r="F27" s="56">
        <v>83.6</v>
      </c>
      <c r="G27" s="56">
        <v>85.1</v>
      </c>
      <c r="H27" s="56">
        <v>86.3</v>
      </c>
      <c r="I27" s="56">
        <v>88.2</v>
      </c>
      <c r="J27" s="56">
        <v>100.3</v>
      </c>
      <c r="K27" s="56">
        <v>102.4</v>
      </c>
      <c r="L27" s="56">
        <v>103.1</v>
      </c>
      <c r="M27" s="56">
        <v>105.3</v>
      </c>
      <c r="N27" s="56">
        <v>104.5</v>
      </c>
      <c r="O27" s="56">
        <v>106.9</v>
      </c>
      <c r="P27" s="56">
        <v>111</v>
      </c>
      <c r="Q27" s="56">
        <v>116</v>
      </c>
      <c r="R27" s="56">
        <v>119.5</v>
      </c>
      <c r="S27" s="56">
        <v>124.8</v>
      </c>
      <c r="T27" s="56">
        <v>129.69999999999999</v>
      </c>
      <c r="U27" s="56">
        <v>132</v>
      </c>
      <c r="V27" s="56">
        <v>132.30000000000001</v>
      </c>
      <c r="W27" s="56">
        <v>94.6</v>
      </c>
      <c r="X27" s="56">
        <v>125.7</v>
      </c>
      <c r="Y27" s="56">
        <v>130.4</v>
      </c>
      <c r="Z27" s="56">
        <v>133</v>
      </c>
      <c r="AA27" s="56">
        <v>138.69999999999999</v>
      </c>
      <c r="AB27" s="56">
        <v>144.5</v>
      </c>
      <c r="AC27" s="56">
        <v>150.1</v>
      </c>
      <c r="AD27" s="56">
        <v>155.30000000000001</v>
      </c>
      <c r="AE27" s="56">
        <v>161</v>
      </c>
      <c r="AF27" s="56">
        <v>162.6</v>
      </c>
      <c r="AG27" s="56">
        <v>171.2</v>
      </c>
      <c r="AH27" s="56">
        <v>173.4</v>
      </c>
      <c r="AI27" s="56">
        <v>182.9</v>
      </c>
      <c r="AJ27" s="56">
        <v>195.4</v>
      </c>
      <c r="AK27" s="56">
        <v>205.1</v>
      </c>
      <c r="AL27" s="56">
        <v>211.6</v>
      </c>
      <c r="AM27" s="56">
        <v>219.9</v>
      </c>
      <c r="AN27" s="56">
        <v>229.4</v>
      </c>
      <c r="AO27" s="56">
        <v>238.6</v>
      </c>
      <c r="AP27" s="56">
        <v>238.3</v>
      </c>
      <c r="AQ27" s="56">
        <v>244.2</v>
      </c>
      <c r="AR27" s="56">
        <v>252.8</v>
      </c>
      <c r="AS27" s="56">
        <v>267.2</v>
      </c>
      <c r="AT27" s="56">
        <v>278.39999999999998</v>
      </c>
      <c r="AU27" s="56">
        <v>289</v>
      </c>
      <c r="AV27" s="56">
        <v>301.39999999999998</v>
      </c>
      <c r="AW27" s="56">
        <v>295.89999999999998</v>
      </c>
      <c r="AX27" s="56">
        <v>295.2</v>
      </c>
      <c r="AY27" s="56">
        <v>301.7</v>
      </c>
      <c r="AZ27" s="56">
        <v>289.7</v>
      </c>
      <c r="BA27" s="56">
        <v>295.8</v>
      </c>
      <c r="BB27" s="56">
        <v>289.5</v>
      </c>
      <c r="BC27" s="56">
        <v>295.3</v>
      </c>
      <c r="BD27" s="56">
        <v>277.3</v>
      </c>
      <c r="BE27" s="56">
        <v>284.89999999999998</v>
      </c>
      <c r="BF27" s="56">
        <v>287.89999999999998</v>
      </c>
      <c r="BG27" s="56">
        <v>294.60000000000002</v>
      </c>
      <c r="BH27" s="56">
        <v>307.3</v>
      </c>
      <c r="BI27" s="56">
        <v>317.7</v>
      </c>
      <c r="BJ27" s="56">
        <v>353</v>
      </c>
      <c r="BK27" s="56">
        <v>307.60000000000002</v>
      </c>
      <c r="BL27" s="56">
        <v>340</v>
      </c>
      <c r="BM27" s="56">
        <v>345.2</v>
      </c>
      <c r="BN27" s="56">
        <v>341.8</v>
      </c>
      <c r="BO27" s="56">
        <v>344.4</v>
      </c>
      <c r="BP27" s="56">
        <v>352</v>
      </c>
      <c r="BQ27" s="56">
        <v>364.2</v>
      </c>
      <c r="BR27" s="56">
        <v>358.3</v>
      </c>
      <c r="BS27" s="56">
        <v>410.2</v>
      </c>
      <c r="BT27" s="56">
        <v>394.9</v>
      </c>
      <c r="BU27" s="56">
        <v>408.5</v>
      </c>
      <c r="BV27" s="56">
        <v>402.6</v>
      </c>
      <c r="BW27" s="56">
        <v>400.6</v>
      </c>
      <c r="BX27" s="56">
        <v>402.5</v>
      </c>
      <c r="BY27" s="56">
        <v>409.6</v>
      </c>
      <c r="BZ27" s="56">
        <v>439.5</v>
      </c>
      <c r="CA27" s="56">
        <v>448.4</v>
      </c>
      <c r="CB27" s="56">
        <v>457.1</v>
      </c>
      <c r="CC27" s="56">
        <v>467.4</v>
      </c>
      <c r="CD27" s="56">
        <v>463.2</v>
      </c>
      <c r="CE27" s="56">
        <v>472</v>
      </c>
      <c r="CF27" s="56">
        <v>477</v>
      </c>
      <c r="CG27" s="56">
        <v>476.2</v>
      </c>
      <c r="CH27" s="56">
        <v>459.6</v>
      </c>
      <c r="CI27" s="56">
        <v>461.4</v>
      </c>
      <c r="CJ27" s="56">
        <v>464.1</v>
      </c>
      <c r="CK27" s="56">
        <v>469.2</v>
      </c>
      <c r="CL27" s="56">
        <v>461.3</v>
      </c>
      <c r="CM27" s="56">
        <v>470.2</v>
      </c>
      <c r="CN27" s="56">
        <v>479.4</v>
      </c>
      <c r="CO27" s="56">
        <v>499</v>
      </c>
      <c r="CP27" s="56">
        <v>480.3</v>
      </c>
      <c r="CQ27" s="56">
        <v>505.3</v>
      </c>
      <c r="CR27" s="56">
        <v>515.6</v>
      </c>
      <c r="CS27" s="56">
        <v>529.5</v>
      </c>
      <c r="CT27" s="56">
        <v>526.70000000000005</v>
      </c>
      <c r="CU27" s="56">
        <v>555.9</v>
      </c>
      <c r="CV27" s="56">
        <v>544.20000000000005</v>
      </c>
      <c r="CW27" s="56">
        <v>553.4</v>
      </c>
      <c r="CX27" s="56">
        <v>567.70000000000005</v>
      </c>
      <c r="CY27" s="56">
        <v>594.4</v>
      </c>
      <c r="CZ27" s="56">
        <v>591.5</v>
      </c>
      <c r="DA27" s="56">
        <v>607.6</v>
      </c>
      <c r="DB27" s="56">
        <v>636.4</v>
      </c>
      <c r="DC27" s="56">
        <v>673.6</v>
      </c>
      <c r="DD27" s="56">
        <v>674.2</v>
      </c>
      <c r="DE27" s="56">
        <v>689.4</v>
      </c>
      <c r="DF27" s="56">
        <v>724.3</v>
      </c>
      <c r="DG27" s="56">
        <v>739.3</v>
      </c>
      <c r="DH27" s="56">
        <v>757</v>
      </c>
      <c r="DI27" s="56">
        <v>778.6</v>
      </c>
      <c r="DJ27" s="56">
        <v>800.6</v>
      </c>
      <c r="DK27" s="56">
        <v>820.9</v>
      </c>
      <c r="DL27" s="56">
        <v>841.6</v>
      </c>
      <c r="DM27" s="56">
        <v>861.7</v>
      </c>
      <c r="DN27" s="56">
        <v>869.8</v>
      </c>
      <c r="DO27" s="56">
        <v>885.8</v>
      </c>
      <c r="DP27" s="56">
        <v>904.2</v>
      </c>
      <c r="DQ27" s="56">
        <v>930</v>
      </c>
      <c r="DR27" s="56">
        <v>976.6</v>
      </c>
      <c r="DS27" s="56">
        <v>986.9</v>
      </c>
      <c r="DT27" s="56">
        <v>1011.1</v>
      </c>
      <c r="DU27" s="56">
        <v>1023.9</v>
      </c>
      <c r="DV27" s="56">
        <v>1051</v>
      </c>
      <c r="DW27" s="56">
        <v>1049</v>
      </c>
      <c r="DX27" s="56">
        <v>881.7</v>
      </c>
      <c r="DY27" s="56">
        <v>1002.4</v>
      </c>
      <c r="DZ27" s="56">
        <v>847.8</v>
      </c>
      <c r="EA27" s="56">
        <v>836.7</v>
      </c>
      <c r="EB27" s="56">
        <v>825.3</v>
      </c>
      <c r="EC27" s="56">
        <v>819.6</v>
      </c>
      <c r="ED27" s="56">
        <v>803.5</v>
      </c>
      <c r="EE27" s="56">
        <v>812.9</v>
      </c>
      <c r="EF27" s="56">
        <v>716.5</v>
      </c>
      <c r="EG27" s="56">
        <v>781.6</v>
      </c>
      <c r="EH27" s="56">
        <v>773.2</v>
      </c>
      <c r="EI27" s="56">
        <v>792.4</v>
      </c>
      <c r="EJ27" s="56">
        <v>816.7</v>
      </c>
      <c r="EK27" s="56">
        <v>829.8</v>
      </c>
      <c r="EL27" s="56">
        <v>902.9</v>
      </c>
      <c r="EM27" s="56">
        <v>925.8</v>
      </c>
      <c r="EN27" s="56">
        <v>949.5</v>
      </c>
      <c r="EO27" s="56">
        <v>970.6</v>
      </c>
      <c r="EP27" s="56">
        <v>1025.5</v>
      </c>
      <c r="EQ27" s="56">
        <v>1041.2</v>
      </c>
      <c r="ER27" s="56">
        <v>1060.9000000000001</v>
      </c>
      <c r="ES27" s="56">
        <v>1095.8</v>
      </c>
      <c r="ET27" s="56">
        <v>1146</v>
      </c>
      <c r="EU27" s="56">
        <v>1163.9000000000001</v>
      </c>
      <c r="EV27" s="56">
        <v>1179.3</v>
      </c>
      <c r="EW27" s="56">
        <v>1194.4000000000001</v>
      </c>
      <c r="EX27" s="56">
        <v>1201.7</v>
      </c>
      <c r="EY27" s="56">
        <v>1191.3</v>
      </c>
      <c r="EZ27" s="56">
        <v>1173.7</v>
      </c>
      <c r="FA27" s="56">
        <v>1139.8</v>
      </c>
      <c r="FB27" s="56">
        <v>921.2</v>
      </c>
      <c r="FC27" s="56">
        <v>855.5</v>
      </c>
      <c r="FD27" s="56">
        <v>842</v>
      </c>
      <c r="FE27" s="56">
        <v>847.5</v>
      </c>
      <c r="FF27" s="56">
        <v>903.4</v>
      </c>
      <c r="FG27" s="56">
        <v>935.2</v>
      </c>
      <c r="FH27" s="56">
        <v>958.5</v>
      </c>
      <c r="FI27" s="56">
        <v>977.2</v>
      </c>
      <c r="FJ27" s="56">
        <v>1111.4000000000001</v>
      </c>
      <c r="FK27" s="56">
        <v>1126.5</v>
      </c>
      <c r="FL27" s="56">
        <v>1144.2</v>
      </c>
      <c r="FM27" s="56">
        <v>1141</v>
      </c>
      <c r="FN27" s="56">
        <v>1138.3</v>
      </c>
      <c r="FO27" s="56">
        <v>1150.5999999999999</v>
      </c>
      <c r="FP27" s="56">
        <v>1163.8</v>
      </c>
      <c r="FQ27" s="56">
        <v>1212.9000000000001</v>
      </c>
      <c r="FR27" s="56">
        <v>1273.5</v>
      </c>
      <c r="FS27" s="56">
        <v>1296.4000000000001</v>
      </c>
      <c r="FT27" s="56">
        <v>1308.3</v>
      </c>
      <c r="FU27" s="56">
        <v>1333.2</v>
      </c>
      <c r="FV27" s="56">
        <v>1369.1</v>
      </c>
      <c r="FW27" s="56">
        <v>1389</v>
      </c>
      <c r="FX27" s="56">
        <v>1413.3</v>
      </c>
      <c r="FY27" s="56">
        <v>1443.5</v>
      </c>
      <c r="FZ27" s="56">
        <v>1509.1</v>
      </c>
      <c r="GA27" s="56">
        <v>1527.7</v>
      </c>
      <c r="GB27" s="56">
        <v>1540.9</v>
      </c>
      <c r="GC27" s="56">
        <v>1552.6</v>
      </c>
      <c r="GD27" s="56">
        <v>1526.8</v>
      </c>
      <c r="GE27" s="56">
        <v>1536.7</v>
      </c>
      <c r="GF27" s="56">
        <v>1553.8</v>
      </c>
      <c r="GG27" s="56">
        <v>1574.5</v>
      </c>
      <c r="GH27" s="56">
        <v>1580</v>
      </c>
      <c r="GI27" s="56">
        <v>1600.1</v>
      </c>
      <c r="GJ27" s="56">
        <v>1623.2</v>
      </c>
      <c r="GK27" s="56">
        <v>1649.1</v>
      </c>
      <c r="GL27" s="56">
        <v>1597.3</v>
      </c>
      <c r="GM27" s="56">
        <v>1607.2</v>
      </c>
      <c r="GN27" s="56">
        <v>1624.8</v>
      </c>
      <c r="GO27" s="56">
        <v>1627.8</v>
      </c>
      <c r="GP27" s="56">
        <v>1681.9</v>
      </c>
      <c r="GQ27" s="56">
        <v>1686.7</v>
      </c>
      <c r="GR27" s="56">
        <v>1699.8</v>
      </c>
      <c r="GS27" s="56">
        <v>1736.2</v>
      </c>
      <c r="GT27" s="56">
        <v>1755.2</v>
      </c>
      <c r="GU27" s="56">
        <v>1622.1</v>
      </c>
      <c r="GV27" s="56">
        <v>1736.6</v>
      </c>
      <c r="GW27" s="56">
        <v>1849.4</v>
      </c>
      <c r="GX27" s="56">
        <v>1988.7</v>
      </c>
      <c r="GY27" s="56">
        <v>2089.5</v>
      </c>
      <c r="GZ27" s="56">
        <v>2173.6</v>
      </c>
      <c r="HA27" s="56">
        <v>2248</v>
      </c>
      <c r="HB27" s="56">
        <v>2597.4</v>
      </c>
      <c r="HC27">
        <v>2604.3000000000002</v>
      </c>
      <c r="HD27">
        <v>2628.3</v>
      </c>
      <c r="HE27">
        <v>2595.6999999999998</v>
      </c>
      <c r="HF27">
        <v>2256.3000000000002</v>
      </c>
      <c r="HG27">
        <v>2246.8000000000002</v>
      </c>
      <c r="HH27">
        <v>2260.5</v>
      </c>
      <c r="HI27">
        <v>2282.1999999999998</v>
      </c>
      <c r="HJ27">
        <v>2356.1</v>
      </c>
      <c r="HK27">
        <v>2375.4</v>
      </c>
      <c r="HL27">
        <v>2398.6999999999998</v>
      </c>
      <c r="HM27">
        <v>2447.1999999999998</v>
      </c>
      <c r="HN27">
        <v>2514.8000000000002</v>
      </c>
      <c r="HO27">
        <v>2553.1</v>
      </c>
    </row>
    <row r="28" spans="1:223" x14ac:dyDescent="0.35">
      <c r="A28" s="56" t="s">
        <v>2263</v>
      </c>
      <c r="B28" s="56">
        <v>17.899999999999999</v>
      </c>
      <c r="C28" s="56">
        <v>18.100000000000001</v>
      </c>
      <c r="D28" s="56">
        <v>18.2</v>
      </c>
      <c r="E28" s="56">
        <v>18.2</v>
      </c>
      <c r="F28" s="56">
        <v>19.399999999999999</v>
      </c>
      <c r="G28" s="56">
        <v>18.7</v>
      </c>
      <c r="H28" s="56">
        <v>18.899999999999999</v>
      </c>
      <c r="I28" s="56">
        <v>19</v>
      </c>
      <c r="J28" s="56">
        <v>18.2</v>
      </c>
      <c r="K28" s="56">
        <v>18.3</v>
      </c>
      <c r="L28" s="56">
        <v>18.5</v>
      </c>
      <c r="M28" s="56">
        <v>19</v>
      </c>
      <c r="N28" s="56">
        <v>19.5</v>
      </c>
      <c r="O28" s="56">
        <v>19.899999999999999</v>
      </c>
      <c r="P28" s="56">
        <v>19.7</v>
      </c>
      <c r="Q28" s="56">
        <v>20.100000000000001</v>
      </c>
      <c r="R28" s="56">
        <v>19.8</v>
      </c>
      <c r="S28" s="56">
        <v>20.100000000000001</v>
      </c>
      <c r="T28" s="56">
        <v>20.2</v>
      </c>
      <c r="U28" s="56">
        <v>20.2</v>
      </c>
      <c r="V28" s="56">
        <v>19.8</v>
      </c>
      <c r="W28" s="56">
        <v>21.3</v>
      </c>
      <c r="X28" s="56">
        <v>23.3</v>
      </c>
      <c r="Y28" s="56">
        <v>23.9</v>
      </c>
      <c r="Z28" s="56">
        <v>20.8</v>
      </c>
      <c r="AA28" s="56">
        <v>21.3</v>
      </c>
      <c r="AB28" s="56">
        <v>21.7</v>
      </c>
      <c r="AC28" s="56">
        <v>21.7</v>
      </c>
      <c r="AD28" s="56">
        <v>22</v>
      </c>
      <c r="AE28" s="56">
        <v>22.5</v>
      </c>
      <c r="AF28" s="56">
        <v>23.2</v>
      </c>
      <c r="AG28" s="56">
        <v>23.2</v>
      </c>
      <c r="AH28" s="56">
        <v>24</v>
      </c>
      <c r="AI28" s="56">
        <v>25.4</v>
      </c>
      <c r="AJ28" s="56">
        <v>25.5</v>
      </c>
      <c r="AK28" s="56">
        <v>26.3</v>
      </c>
      <c r="AL28" s="56">
        <v>25.9</v>
      </c>
      <c r="AM28" s="56">
        <v>25.9</v>
      </c>
      <c r="AN28" s="56">
        <v>25.3</v>
      </c>
      <c r="AO28" s="56">
        <v>25.6</v>
      </c>
      <c r="AP28" s="56">
        <v>27.6</v>
      </c>
      <c r="AQ28" s="56">
        <v>33.6</v>
      </c>
      <c r="AR28" s="56">
        <v>36.1</v>
      </c>
      <c r="AS28" s="56">
        <v>37.299999999999997</v>
      </c>
      <c r="AT28" s="56">
        <v>50.7</v>
      </c>
      <c r="AU28" s="56">
        <v>51.8</v>
      </c>
      <c r="AV28" s="56">
        <v>49.1</v>
      </c>
      <c r="AW28" s="56">
        <v>48.1</v>
      </c>
      <c r="AX28" s="56">
        <v>43.5</v>
      </c>
      <c r="AY28" s="56">
        <v>40</v>
      </c>
      <c r="AZ28" s="56">
        <v>40.1</v>
      </c>
      <c r="BA28" s="56">
        <v>40.299999999999997</v>
      </c>
      <c r="BB28" s="56">
        <v>41.1</v>
      </c>
      <c r="BC28" s="56">
        <v>45.3</v>
      </c>
      <c r="BD28" s="56">
        <v>45.5</v>
      </c>
      <c r="BE28" s="56">
        <v>45.8</v>
      </c>
      <c r="BF28" s="56">
        <v>47</v>
      </c>
      <c r="BG28" s="56">
        <v>47.5</v>
      </c>
      <c r="BH28" s="56">
        <v>47.4</v>
      </c>
      <c r="BI28" s="56">
        <v>47.3</v>
      </c>
      <c r="BJ28" s="56">
        <v>46.4</v>
      </c>
      <c r="BK28" s="56">
        <v>45.7</v>
      </c>
      <c r="BL28" s="56">
        <v>46.8</v>
      </c>
      <c r="BM28" s="56">
        <v>45.4</v>
      </c>
      <c r="BN28" s="56">
        <v>44.5</v>
      </c>
      <c r="BO28" s="56">
        <v>42.9</v>
      </c>
      <c r="BP28" s="56">
        <v>43.8</v>
      </c>
      <c r="BQ28" s="56">
        <v>43.6</v>
      </c>
      <c r="BR28" s="56">
        <v>44.1</v>
      </c>
      <c r="BS28" s="56">
        <v>45.8</v>
      </c>
      <c r="BT28" s="56">
        <v>46.4</v>
      </c>
      <c r="BU28" s="56">
        <v>47.4</v>
      </c>
      <c r="BV28" s="56">
        <v>49.6</v>
      </c>
      <c r="BW28" s="56">
        <v>49.3</v>
      </c>
      <c r="BX28" s="56">
        <v>50.2</v>
      </c>
      <c r="BY28" s="56">
        <v>50.2</v>
      </c>
      <c r="BZ28" s="56">
        <v>50.8</v>
      </c>
      <c r="CA28" s="56">
        <v>49.2</v>
      </c>
      <c r="CB28" s="56">
        <v>50</v>
      </c>
      <c r="CC28" s="56">
        <v>48.9</v>
      </c>
      <c r="CD28" s="56">
        <v>50.3</v>
      </c>
      <c r="CE28" s="56">
        <v>50.8</v>
      </c>
      <c r="CF28" s="56">
        <v>51.1</v>
      </c>
      <c r="CG28" s="56">
        <v>51.5</v>
      </c>
      <c r="CH28" s="56">
        <v>59.7</v>
      </c>
      <c r="CI28" s="56">
        <v>61.3</v>
      </c>
      <c r="CJ28" s="56">
        <v>61.8</v>
      </c>
      <c r="CK28" s="56">
        <v>64.2</v>
      </c>
      <c r="CL28" s="56">
        <v>63.6</v>
      </c>
      <c r="CM28" s="56">
        <v>63.1</v>
      </c>
      <c r="CN28" s="56">
        <v>61.9</v>
      </c>
      <c r="CO28" s="56">
        <v>64.599999999999994</v>
      </c>
      <c r="CP28" s="56">
        <v>62.2</v>
      </c>
      <c r="CQ28" s="56">
        <v>64.8</v>
      </c>
      <c r="CR28" s="56">
        <v>65.400000000000006</v>
      </c>
      <c r="CS28" s="56">
        <v>73.099999999999994</v>
      </c>
      <c r="CT28" s="56">
        <v>75.5</v>
      </c>
      <c r="CU28" s="56">
        <v>78.599999999999994</v>
      </c>
      <c r="CV28" s="56">
        <v>80.5</v>
      </c>
      <c r="CW28" s="56">
        <v>81.400000000000006</v>
      </c>
      <c r="CX28" s="56">
        <v>76.599999999999994</v>
      </c>
      <c r="CY28" s="56">
        <v>75.7</v>
      </c>
      <c r="CZ28" s="56">
        <v>75.400000000000006</v>
      </c>
      <c r="DA28" s="56">
        <v>74.5</v>
      </c>
      <c r="DB28" s="56">
        <v>72.599999999999994</v>
      </c>
      <c r="DC28" s="56">
        <v>71.2</v>
      </c>
      <c r="DD28" s="56">
        <v>71.7</v>
      </c>
      <c r="DE28" s="56">
        <v>75.900000000000006</v>
      </c>
      <c r="DF28" s="56">
        <v>72</v>
      </c>
      <c r="DG28" s="56">
        <v>79.7</v>
      </c>
      <c r="DH28" s="56">
        <v>79.900000000000006</v>
      </c>
      <c r="DI28" s="56">
        <v>79.7</v>
      </c>
      <c r="DJ28" s="56">
        <v>79.5</v>
      </c>
      <c r="DK28" s="56">
        <v>80.099999999999994</v>
      </c>
      <c r="DL28" s="56">
        <v>81.5</v>
      </c>
      <c r="DM28" s="56">
        <v>81.7</v>
      </c>
      <c r="DN28" s="56">
        <v>81.3</v>
      </c>
      <c r="DO28" s="56">
        <v>81.599999999999994</v>
      </c>
      <c r="DP28" s="56">
        <v>83.8</v>
      </c>
      <c r="DQ28" s="56">
        <v>87</v>
      </c>
      <c r="DR28" s="56">
        <v>86.1</v>
      </c>
      <c r="DS28" s="56">
        <v>88.4</v>
      </c>
      <c r="DT28" s="56">
        <v>87.5</v>
      </c>
      <c r="DU28" s="56">
        <v>87</v>
      </c>
      <c r="DV28" s="56">
        <v>87.1</v>
      </c>
      <c r="DW28" s="56">
        <v>86.3</v>
      </c>
      <c r="DX28" s="56">
        <v>83.6</v>
      </c>
      <c r="DY28" s="56">
        <v>84.1</v>
      </c>
      <c r="DZ28" s="56">
        <v>84.7</v>
      </c>
      <c r="EA28" s="56">
        <v>87.3</v>
      </c>
      <c r="EB28" s="56">
        <v>88</v>
      </c>
      <c r="EC28" s="56">
        <v>87.3</v>
      </c>
      <c r="ED28" s="56">
        <v>90.1</v>
      </c>
      <c r="EE28" s="56">
        <v>90</v>
      </c>
      <c r="EF28" s="56">
        <v>89.6</v>
      </c>
      <c r="EG28" s="56">
        <v>91.1</v>
      </c>
      <c r="EH28" s="56">
        <v>94.1</v>
      </c>
      <c r="EI28" s="56">
        <v>94.8</v>
      </c>
      <c r="EJ28" s="56">
        <v>95.9</v>
      </c>
      <c r="EK28" s="56">
        <v>96.2</v>
      </c>
      <c r="EL28" s="56">
        <v>97.2</v>
      </c>
      <c r="EM28" s="56">
        <v>101.4</v>
      </c>
      <c r="EN28" s="56">
        <v>100.3</v>
      </c>
      <c r="EO28" s="56">
        <v>98.7</v>
      </c>
      <c r="EP28" s="56">
        <v>99.1</v>
      </c>
      <c r="EQ28" s="56">
        <v>99.5</v>
      </c>
      <c r="ER28" s="56">
        <v>100.2</v>
      </c>
      <c r="ES28" s="56">
        <v>98.1</v>
      </c>
      <c r="ET28" s="56">
        <v>93.9</v>
      </c>
      <c r="EU28" s="56">
        <v>93.7</v>
      </c>
      <c r="EV28" s="56">
        <v>95.4</v>
      </c>
      <c r="EW28" s="56">
        <v>95.5</v>
      </c>
      <c r="EX28" s="56">
        <v>93.2</v>
      </c>
      <c r="EY28" s="56">
        <v>95.3</v>
      </c>
      <c r="EZ28" s="56">
        <v>93.7</v>
      </c>
      <c r="FA28" s="56">
        <v>93.7</v>
      </c>
      <c r="FB28" s="56">
        <v>86.7</v>
      </c>
      <c r="FC28" s="56">
        <v>94.3</v>
      </c>
      <c r="FD28" s="56">
        <v>91.4</v>
      </c>
      <c r="FE28" s="56">
        <v>93.2</v>
      </c>
      <c r="FF28" s="56">
        <v>93.1</v>
      </c>
      <c r="FG28" s="56">
        <v>96.4</v>
      </c>
      <c r="FH28" s="56">
        <v>98.9</v>
      </c>
      <c r="FI28" s="56">
        <v>98.7</v>
      </c>
      <c r="FJ28" s="56">
        <v>104.7</v>
      </c>
      <c r="FK28" s="56">
        <v>109.1</v>
      </c>
      <c r="FL28" s="56">
        <v>109.4</v>
      </c>
      <c r="FM28" s="56">
        <v>111.4</v>
      </c>
      <c r="FN28" s="56">
        <v>113.9</v>
      </c>
      <c r="FO28" s="56">
        <v>114.4</v>
      </c>
      <c r="FP28" s="56">
        <v>114.7</v>
      </c>
      <c r="FQ28" s="56">
        <v>117.6</v>
      </c>
      <c r="FR28" s="56">
        <v>122.3</v>
      </c>
      <c r="FS28" s="56">
        <v>124.4</v>
      </c>
      <c r="FT28" s="56">
        <v>126.4</v>
      </c>
      <c r="FU28" s="56">
        <v>128.80000000000001</v>
      </c>
      <c r="FV28" s="56">
        <v>136.69999999999999</v>
      </c>
      <c r="FW28" s="56">
        <v>135.5</v>
      </c>
      <c r="FX28" s="56">
        <v>137.4</v>
      </c>
      <c r="FY28" s="56">
        <v>137.19999999999999</v>
      </c>
      <c r="FZ28" s="56">
        <v>141.19999999999999</v>
      </c>
      <c r="GA28" s="56">
        <v>145.1</v>
      </c>
      <c r="GB28" s="56">
        <v>137.80000000000001</v>
      </c>
      <c r="GC28" s="56">
        <v>143.30000000000001</v>
      </c>
      <c r="GD28" s="56">
        <v>139.5</v>
      </c>
      <c r="GE28" s="56">
        <v>136.6</v>
      </c>
      <c r="GF28" s="56">
        <v>136.6</v>
      </c>
      <c r="GG28" s="56">
        <v>136.4</v>
      </c>
      <c r="GH28" s="56">
        <v>127.6</v>
      </c>
      <c r="GI28" s="56">
        <v>131.69999999999999</v>
      </c>
      <c r="GJ28" s="56">
        <v>131.80000000000001</v>
      </c>
      <c r="GK28" s="56">
        <v>134.69999999999999</v>
      </c>
      <c r="GL28" s="56">
        <v>150.1</v>
      </c>
      <c r="GM28" s="56">
        <v>155.69999999999999</v>
      </c>
      <c r="GN28" s="56">
        <v>163.4</v>
      </c>
      <c r="GO28" s="56">
        <v>184.6</v>
      </c>
      <c r="GP28" s="56">
        <v>174.8</v>
      </c>
      <c r="GQ28" s="56">
        <v>169.2</v>
      </c>
      <c r="GR28" s="56">
        <v>176.8</v>
      </c>
      <c r="GS28" s="56">
        <v>178.8</v>
      </c>
      <c r="GT28" s="56">
        <v>184.1</v>
      </c>
      <c r="GU28" s="56">
        <v>129.30000000000001</v>
      </c>
      <c r="GV28" s="56">
        <v>149.30000000000001</v>
      </c>
      <c r="GW28" s="56">
        <v>158.69999999999999</v>
      </c>
      <c r="GX28" s="56">
        <v>162.19999999999999</v>
      </c>
      <c r="GY28" s="56">
        <v>180.5</v>
      </c>
      <c r="GZ28" s="56">
        <v>183.8</v>
      </c>
      <c r="HA28" s="56">
        <v>195.8</v>
      </c>
      <c r="HB28" s="56">
        <v>207.1</v>
      </c>
      <c r="HC28">
        <v>209</v>
      </c>
      <c r="HD28">
        <v>200.3</v>
      </c>
      <c r="HE28">
        <v>190</v>
      </c>
      <c r="HF28">
        <v>179.7</v>
      </c>
      <c r="HG28">
        <v>175.8</v>
      </c>
      <c r="HH28">
        <v>172.2</v>
      </c>
      <c r="HI28">
        <v>169.3</v>
      </c>
      <c r="HJ28">
        <v>177.2</v>
      </c>
      <c r="HK28">
        <v>172.4</v>
      </c>
      <c r="HL28">
        <v>181.4</v>
      </c>
      <c r="HM28">
        <v>182.5</v>
      </c>
      <c r="HN28">
        <v>191.3</v>
      </c>
      <c r="HO28">
        <v>363.4</v>
      </c>
    </row>
    <row r="29" spans="1:223" x14ac:dyDescent="0.35">
      <c r="A29" s="56" t="s">
        <v>2264</v>
      </c>
      <c r="B29" s="56">
        <v>27</v>
      </c>
      <c r="C29" s="56">
        <v>27</v>
      </c>
      <c r="D29" s="56">
        <v>27.9</v>
      </c>
      <c r="E29" s="56">
        <v>26.6</v>
      </c>
      <c r="F29" s="56">
        <v>29.9</v>
      </c>
      <c r="G29" s="56">
        <v>30.7</v>
      </c>
      <c r="H29" s="56">
        <v>29.8</v>
      </c>
      <c r="I29" s="56">
        <v>30.1</v>
      </c>
      <c r="J29" s="56">
        <v>31.8</v>
      </c>
      <c r="K29" s="56">
        <v>32</v>
      </c>
      <c r="L29" s="56">
        <v>33.1</v>
      </c>
      <c r="M29" s="56">
        <v>36.6</v>
      </c>
      <c r="N29" s="56">
        <v>39.299999999999997</v>
      </c>
      <c r="O29" s="56">
        <v>39.4</v>
      </c>
      <c r="P29" s="56">
        <v>37.6</v>
      </c>
      <c r="Q29" s="56">
        <v>39.4</v>
      </c>
      <c r="R29" s="56">
        <v>37.4</v>
      </c>
      <c r="S29" s="56">
        <v>39.299999999999997</v>
      </c>
      <c r="T29" s="56">
        <v>43.5</v>
      </c>
      <c r="U29" s="56">
        <v>38.1</v>
      </c>
      <c r="V29" s="56">
        <v>31.5</v>
      </c>
      <c r="W29" s="56">
        <v>34.200000000000003</v>
      </c>
      <c r="X29" s="56">
        <v>43.2</v>
      </c>
      <c r="Y29" s="56">
        <v>43.9</v>
      </c>
      <c r="Z29" s="56">
        <v>49.9</v>
      </c>
      <c r="AA29" s="56">
        <v>49</v>
      </c>
      <c r="AB29" s="56">
        <v>48.5</v>
      </c>
      <c r="AC29" s="56">
        <v>47.5</v>
      </c>
      <c r="AD29" s="56">
        <v>51</v>
      </c>
      <c r="AE29" s="56">
        <v>55.7</v>
      </c>
      <c r="AF29" s="56">
        <v>57.9</v>
      </c>
      <c r="AG29" s="56">
        <v>58.1</v>
      </c>
      <c r="AH29" s="56">
        <v>54.4</v>
      </c>
      <c r="AI29" s="56">
        <v>66.2</v>
      </c>
      <c r="AJ29" s="56">
        <v>66.7</v>
      </c>
      <c r="AK29" s="56">
        <v>70.3</v>
      </c>
      <c r="AL29" s="56">
        <v>66.599999999999994</v>
      </c>
      <c r="AM29" s="56">
        <v>66.5</v>
      </c>
      <c r="AN29" s="56">
        <v>65.3</v>
      </c>
      <c r="AO29" s="56">
        <v>62.1</v>
      </c>
      <c r="AP29" s="56">
        <v>67</v>
      </c>
      <c r="AQ29" s="56">
        <v>49.8</v>
      </c>
      <c r="AR29" s="56">
        <v>56</v>
      </c>
      <c r="AS29" s="56">
        <v>61.7</v>
      </c>
      <c r="AT29" s="56">
        <v>58.5</v>
      </c>
      <c r="AU29" s="56">
        <v>50.7</v>
      </c>
      <c r="AV29" s="56">
        <v>52.7</v>
      </c>
      <c r="AW29" s="56">
        <v>44.8</v>
      </c>
      <c r="AX29" s="56">
        <v>33.5</v>
      </c>
      <c r="AY29" s="56">
        <v>34.700000000000003</v>
      </c>
      <c r="AZ29" s="56">
        <v>35.4</v>
      </c>
      <c r="BA29" s="56">
        <v>31.7</v>
      </c>
      <c r="BB29" s="56">
        <v>34.299999999999997</v>
      </c>
      <c r="BC29" s="56">
        <v>46.3</v>
      </c>
      <c r="BD29" s="56">
        <v>53.3</v>
      </c>
      <c r="BE29" s="56">
        <v>54.6</v>
      </c>
      <c r="BF29" s="56">
        <v>64.8</v>
      </c>
      <c r="BG29" s="56">
        <v>63.8</v>
      </c>
      <c r="BH29" s="56">
        <v>53.8</v>
      </c>
      <c r="BI29" s="56">
        <v>54.3</v>
      </c>
      <c r="BJ29" s="56">
        <v>57.7</v>
      </c>
      <c r="BK29" s="56">
        <v>56.3</v>
      </c>
      <c r="BL29" s="56">
        <v>60.8</v>
      </c>
      <c r="BM29" s="56">
        <v>59</v>
      </c>
      <c r="BN29" s="56">
        <v>63</v>
      </c>
      <c r="BO29" s="56">
        <v>63.4</v>
      </c>
      <c r="BP29" s="56">
        <v>64.599999999999994</v>
      </c>
      <c r="BQ29" s="56">
        <v>73.099999999999994</v>
      </c>
      <c r="BR29" s="56">
        <v>76</v>
      </c>
      <c r="BS29" s="56">
        <v>87.3</v>
      </c>
      <c r="BT29" s="56">
        <v>91.3</v>
      </c>
      <c r="BU29" s="56">
        <v>87.1</v>
      </c>
      <c r="BV29" s="56">
        <v>84.5</v>
      </c>
      <c r="BW29" s="56">
        <v>90</v>
      </c>
      <c r="BX29" s="56">
        <v>97.8</v>
      </c>
      <c r="BY29" s="56">
        <v>102.7</v>
      </c>
      <c r="BZ29" s="56">
        <v>104.9</v>
      </c>
      <c r="CA29" s="56">
        <v>94.4</v>
      </c>
      <c r="CB29" s="56">
        <v>91.6</v>
      </c>
      <c r="CC29" s="56">
        <v>91.4</v>
      </c>
      <c r="CD29" s="56">
        <v>91.1</v>
      </c>
      <c r="CE29" s="56">
        <v>94.7</v>
      </c>
      <c r="CF29" s="56">
        <v>97</v>
      </c>
      <c r="CG29" s="56">
        <v>95.4</v>
      </c>
      <c r="CH29" s="56">
        <v>91.5</v>
      </c>
      <c r="CI29" s="56">
        <v>87.5</v>
      </c>
      <c r="CJ29" s="56">
        <v>88.2</v>
      </c>
      <c r="CK29" s="56">
        <v>89.5</v>
      </c>
      <c r="CL29" s="56">
        <v>99.8</v>
      </c>
      <c r="CM29" s="56">
        <v>102</v>
      </c>
      <c r="CN29" s="56">
        <v>98.9</v>
      </c>
      <c r="CO29" s="56">
        <v>107.2</v>
      </c>
      <c r="CP29" s="56">
        <v>111.5</v>
      </c>
      <c r="CQ29" s="56">
        <v>121.9</v>
      </c>
      <c r="CR29" s="56">
        <v>115.5</v>
      </c>
      <c r="CS29" s="56">
        <v>141</v>
      </c>
      <c r="CT29" s="56">
        <v>122.4</v>
      </c>
      <c r="CU29" s="56">
        <v>129.30000000000001</v>
      </c>
      <c r="CV29" s="56">
        <v>142.4</v>
      </c>
      <c r="CW29" s="56">
        <v>150.9</v>
      </c>
      <c r="CX29" s="56">
        <v>155.30000000000001</v>
      </c>
      <c r="CY29" s="56">
        <v>153.1</v>
      </c>
      <c r="CZ29" s="56">
        <v>159.1</v>
      </c>
      <c r="DA29" s="56">
        <v>156.19999999999999</v>
      </c>
      <c r="DB29" s="56">
        <v>162.4</v>
      </c>
      <c r="DC29" s="56">
        <v>171.9</v>
      </c>
      <c r="DD29" s="56">
        <v>172.6</v>
      </c>
      <c r="DE29" s="56">
        <v>175.3</v>
      </c>
      <c r="DF29" s="56">
        <v>176.9</v>
      </c>
      <c r="DG29" s="56">
        <v>180.5</v>
      </c>
      <c r="DH29" s="56">
        <v>190.5</v>
      </c>
      <c r="DI29" s="56">
        <v>181.5</v>
      </c>
      <c r="DJ29" s="56">
        <v>178.8</v>
      </c>
      <c r="DK29" s="56">
        <v>175.4</v>
      </c>
      <c r="DL29" s="56">
        <v>180.1</v>
      </c>
      <c r="DM29" s="56">
        <v>176.4</v>
      </c>
      <c r="DN29" s="56">
        <v>186</v>
      </c>
      <c r="DO29" s="56">
        <v>184.4</v>
      </c>
      <c r="DP29" s="56">
        <v>187.7</v>
      </c>
      <c r="DQ29" s="56">
        <v>192.1</v>
      </c>
      <c r="DR29" s="56">
        <v>202.2</v>
      </c>
      <c r="DS29" s="56">
        <v>201.1</v>
      </c>
      <c r="DT29" s="56">
        <v>185.6</v>
      </c>
      <c r="DU29" s="56">
        <v>187.6</v>
      </c>
      <c r="DV29" s="56">
        <v>154.9</v>
      </c>
      <c r="DW29" s="56">
        <v>148.69999999999999</v>
      </c>
      <c r="DX29" s="56">
        <v>130.9</v>
      </c>
      <c r="DY29" s="56">
        <v>115.8</v>
      </c>
      <c r="DZ29" s="56">
        <v>115.5</v>
      </c>
      <c r="EA29" s="56">
        <v>119.9</v>
      </c>
      <c r="EB29" s="56">
        <v>126.5</v>
      </c>
      <c r="EC29" s="56">
        <v>142</v>
      </c>
      <c r="ED29" s="56">
        <v>161.5</v>
      </c>
      <c r="EE29" s="56">
        <v>160.9</v>
      </c>
      <c r="EF29" s="56">
        <v>180.3</v>
      </c>
      <c r="EG29" s="56">
        <v>200.4</v>
      </c>
      <c r="EH29" s="56">
        <v>209.2</v>
      </c>
      <c r="EI29" s="56">
        <v>226</v>
      </c>
      <c r="EJ29" s="56">
        <v>244.5</v>
      </c>
      <c r="EK29" s="56">
        <v>249.2</v>
      </c>
      <c r="EL29" s="56">
        <v>315.3</v>
      </c>
      <c r="EM29" s="56">
        <v>306.10000000000002</v>
      </c>
      <c r="EN29" s="56">
        <v>311.89999999999998</v>
      </c>
      <c r="EO29" s="56">
        <v>344.7</v>
      </c>
      <c r="EP29" s="56">
        <v>357.2</v>
      </c>
      <c r="EQ29" s="56">
        <v>367.3</v>
      </c>
      <c r="ER29" s="56">
        <v>384.8</v>
      </c>
      <c r="ES29" s="56">
        <v>354.6</v>
      </c>
      <c r="ET29" s="56">
        <v>354.5</v>
      </c>
      <c r="EU29" s="56">
        <v>347.7</v>
      </c>
      <c r="EV29" s="56">
        <v>314.60000000000002</v>
      </c>
      <c r="EW29" s="56">
        <v>296.2</v>
      </c>
      <c r="EX29" s="56">
        <v>241.7</v>
      </c>
      <c r="EY29" s="56">
        <v>227.1</v>
      </c>
      <c r="EZ29" s="56">
        <v>211.5</v>
      </c>
      <c r="FA29" s="56">
        <v>127.5</v>
      </c>
      <c r="FB29" s="56">
        <v>122.7</v>
      </c>
      <c r="FC29" s="56">
        <v>138.9</v>
      </c>
      <c r="FD29" s="56">
        <v>159.4</v>
      </c>
      <c r="FE29" s="56">
        <v>190.8</v>
      </c>
      <c r="FF29" s="56">
        <v>204.7</v>
      </c>
      <c r="FG29" s="56">
        <v>212.2</v>
      </c>
      <c r="FH29" s="56">
        <v>227.1</v>
      </c>
      <c r="FI29" s="56">
        <v>233.6</v>
      </c>
      <c r="FJ29" s="56">
        <v>228.9</v>
      </c>
      <c r="FK29" s="56">
        <v>227.2</v>
      </c>
      <c r="FL29" s="56">
        <v>201.7</v>
      </c>
      <c r="FM29" s="56">
        <v>238</v>
      </c>
      <c r="FN29" s="56">
        <v>261.5</v>
      </c>
      <c r="FO29" s="56">
        <v>275.5</v>
      </c>
      <c r="FP29" s="56">
        <v>280.8</v>
      </c>
      <c r="FQ29" s="56">
        <v>280.89999999999998</v>
      </c>
      <c r="FR29" s="56">
        <v>298</v>
      </c>
      <c r="FS29" s="56">
        <v>292.89999999999998</v>
      </c>
      <c r="FT29" s="56">
        <v>300.60000000000002</v>
      </c>
      <c r="FU29" s="56">
        <v>302.2</v>
      </c>
      <c r="FV29" s="56">
        <v>337.4</v>
      </c>
      <c r="FW29" s="56">
        <v>359</v>
      </c>
      <c r="FX29" s="56">
        <v>329.6</v>
      </c>
      <c r="FY29" s="56">
        <v>332.6</v>
      </c>
      <c r="FZ29" s="56">
        <v>345.4</v>
      </c>
      <c r="GA29" s="56">
        <v>350.7</v>
      </c>
      <c r="GB29" s="56">
        <v>324.7</v>
      </c>
      <c r="GC29" s="56">
        <v>295.60000000000002</v>
      </c>
      <c r="GD29" s="56">
        <v>310.8</v>
      </c>
      <c r="GE29" s="56">
        <v>314.7</v>
      </c>
      <c r="GF29" s="56">
        <v>322.60000000000002</v>
      </c>
      <c r="GG29" s="56">
        <v>299.2</v>
      </c>
      <c r="GH29" s="56">
        <v>211.8</v>
      </c>
      <c r="GI29" s="56">
        <v>225.7</v>
      </c>
      <c r="GJ29" s="56">
        <v>241.5</v>
      </c>
      <c r="GK29" s="56">
        <v>242.4</v>
      </c>
      <c r="GL29" s="56">
        <v>215.5</v>
      </c>
      <c r="GM29" s="56">
        <v>229.1</v>
      </c>
      <c r="GN29" s="56">
        <v>225.5</v>
      </c>
      <c r="GO29" s="56">
        <v>229.7</v>
      </c>
      <c r="GP29" s="56">
        <v>197.4</v>
      </c>
      <c r="GQ29" s="56">
        <v>205.6</v>
      </c>
      <c r="GR29" s="56">
        <v>206.9</v>
      </c>
      <c r="GS29" s="56">
        <v>231.9</v>
      </c>
      <c r="GT29" s="56">
        <v>191.5</v>
      </c>
      <c r="GU29" s="56">
        <v>199.6</v>
      </c>
      <c r="GV29" s="56">
        <v>258.60000000000002</v>
      </c>
      <c r="GW29" s="56">
        <v>251.2</v>
      </c>
      <c r="GX29" s="56">
        <v>289.89999999999998</v>
      </c>
      <c r="GY29" s="56">
        <v>343.9</v>
      </c>
      <c r="GZ29" s="56">
        <v>344.5</v>
      </c>
      <c r="HA29" s="56">
        <v>357.9</v>
      </c>
      <c r="HB29">
        <v>379.6</v>
      </c>
      <c r="HC29">
        <v>417.1</v>
      </c>
      <c r="HD29">
        <v>402.2</v>
      </c>
      <c r="HE29">
        <v>406.9</v>
      </c>
      <c r="HF29">
        <v>434.3</v>
      </c>
      <c r="HG29">
        <v>429.4</v>
      </c>
      <c r="HH29">
        <v>451.9</v>
      </c>
      <c r="HI29">
        <v>464.8</v>
      </c>
      <c r="HJ29">
        <v>459.9</v>
      </c>
      <c r="HK29">
        <v>493.4</v>
      </c>
      <c r="HL29">
        <v>493.1</v>
      </c>
      <c r="HM29">
        <v>512.1</v>
      </c>
      <c r="HN29">
        <v>519.79999999999995</v>
      </c>
    </row>
    <row r="30" spans="1:223" x14ac:dyDescent="0.35">
      <c r="A30" s="56" t="s">
        <v>2265</v>
      </c>
      <c r="B30" s="56">
        <v>45.1</v>
      </c>
      <c r="C30" s="56">
        <v>45.4</v>
      </c>
      <c r="D30" s="56">
        <v>45.9</v>
      </c>
      <c r="E30" s="56">
        <v>45.6</v>
      </c>
      <c r="F30" s="56">
        <v>49.6</v>
      </c>
      <c r="G30" s="56">
        <v>50.2</v>
      </c>
      <c r="H30" s="56">
        <v>50.5</v>
      </c>
      <c r="I30" s="56">
        <v>51</v>
      </c>
      <c r="J30" s="56">
        <v>57.3</v>
      </c>
      <c r="K30" s="56">
        <v>57.9</v>
      </c>
      <c r="L30" s="56">
        <v>58.5</v>
      </c>
      <c r="M30" s="56">
        <v>59.4</v>
      </c>
      <c r="N30" s="56">
        <v>72.7</v>
      </c>
      <c r="O30" s="56">
        <v>73.8</v>
      </c>
      <c r="P30" s="56">
        <v>75.099999999999994</v>
      </c>
      <c r="Q30" s="56">
        <v>76.599999999999994</v>
      </c>
      <c r="R30" s="56">
        <v>82.1</v>
      </c>
      <c r="S30" s="56">
        <v>83.6</v>
      </c>
      <c r="T30" s="56">
        <v>85.2</v>
      </c>
      <c r="U30" s="56">
        <v>85.4</v>
      </c>
      <c r="V30" s="56">
        <v>86.5</v>
      </c>
      <c r="W30" s="56">
        <v>86.8</v>
      </c>
      <c r="X30" s="56">
        <v>88.5</v>
      </c>
      <c r="Y30" s="56">
        <v>90.5</v>
      </c>
      <c r="Z30" s="56">
        <v>97.5</v>
      </c>
      <c r="AA30" s="56">
        <v>98.9</v>
      </c>
      <c r="AB30" s="56">
        <v>100.6</v>
      </c>
      <c r="AC30" s="56">
        <v>102.1</v>
      </c>
      <c r="AD30" s="56">
        <v>107.5</v>
      </c>
      <c r="AE30" s="56">
        <v>110.1</v>
      </c>
      <c r="AF30" s="56">
        <v>112.2</v>
      </c>
      <c r="AG30" s="56">
        <v>114.4</v>
      </c>
      <c r="AH30" s="56">
        <v>121.6</v>
      </c>
      <c r="AI30" s="56">
        <v>126.5</v>
      </c>
      <c r="AJ30" s="56">
        <v>130.80000000000001</v>
      </c>
      <c r="AK30" s="56">
        <v>136</v>
      </c>
      <c r="AL30" s="56">
        <v>143.1</v>
      </c>
      <c r="AM30" s="56">
        <v>147.4</v>
      </c>
      <c r="AN30" s="56">
        <v>152.4</v>
      </c>
      <c r="AO30" s="56">
        <v>156.30000000000001</v>
      </c>
      <c r="AP30" s="56">
        <v>159.30000000000001</v>
      </c>
      <c r="AQ30" s="56">
        <v>161</v>
      </c>
      <c r="AR30" s="56">
        <v>164.2</v>
      </c>
      <c r="AS30" s="56">
        <v>170.1</v>
      </c>
      <c r="AT30" s="56">
        <v>187.3</v>
      </c>
      <c r="AU30" s="56">
        <v>190.9</v>
      </c>
      <c r="AV30" s="56">
        <v>195.6</v>
      </c>
      <c r="AW30" s="56">
        <v>198.2</v>
      </c>
      <c r="AX30" s="56">
        <v>203.2</v>
      </c>
      <c r="AY30" s="56">
        <v>205.2</v>
      </c>
      <c r="AZ30" s="56">
        <v>207.5</v>
      </c>
      <c r="BA30" s="56">
        <v>208.3</v>
      </c>
      <c r="BB30" s="56">
        <v>216.1</v>
      </c>
      <c r="BC30" s="56">
        <v>220.2</v>
      </c>
      <c r="BD30" s="56">
        <v>224.8</v>
      </c>
      <c r="BE30" s="56">
        <v>231.2</v>
      </c>
      <c r="BF30" s="56">
        <v>246.3</v>
      </c>
      <c r="BG30" s="56">
        <v>252.1</v>
      </c>
      <c r="BH30" s="56">
        <v>257.10000000000002</v>
      </c>
      <c r="BI30" s="56">
        <v>261.10000000000002</v>
      </c>
      <c r="BJ30" s="56">
        <v>271</v>
      </c>
      <c r="BK30" s="56">
        <v>275</v>
      </c>
      <c r="BL30" s="56">
        <v>279.7</v>
      </c>
      <c r="BM30" s="56">
        <v>285.89999999999998</v>
      </c>
      <c r="BN30" s="56">
        <v>292.7</v>
      </c>
      <c r="BO30" s="56">
        <v>296.10000000000002</v>
      </c>
      <c r="BP30" s="56">
        <v>300.8</v>
      </c>
      <c r="BQ30" s="56">
        <v>306.2</v>
      </c>
      <c r="BR30" s="56">
        <v>310.7</v>
      </c>
      <c r="BS30" s="56">
        <v>314.5</v>
      </c>
      <c r="BT30" s="56">
        <v>319</v>
      </c>
      <c r="BU30" s="56">
        <v>325.60000000000002</v>
      </c>
      <c r="BV30" s="56">
        <v>344.7</v>
      </c>
      <c r="BW30" s="56">
        <v>351.7</v>
      </c>
      <c r="BX30" s="56">
        <v>357.7</v>
      </c>
      <c r="BY30" s="56">
        <v>365</v>
      </c>
      <c r="BZ30" s="56">
        <v>370.9</v>
      </c>
      <c r="CA30" s="56">
        <v>375.4</v>
      </c>
      <c r="CB30" s="56">
        <v>379.8</v>
      </c>
      <c r="CC30" s="56">
        <v>385.6</v>
      </c>
      <c r="CD30" s="56">
        <v>394</v>
      </c>
      <c r="CE30" s="56">
        <v>399</v>
      </c>
      <c r="CF30" s="56">
        <v>406.4</v>
      </c>
      <c r="CG30" s="56">
        <v>408.9</v>
      </c>
      <c r="CH30" s="56">
        <v>412</v>
      </c>
      <c r="CI30" s="56">
        <v>418.3</v>
      </c>
      <c r="CJ30" s="56">
        <v>423.7</v>
      </c>
      <c r="CK30" s="56">
        <v>428.4</v>
      </c>
      <c r="CL30" s="56">
        <v>439.9</v>
      </c>
      <c r="CM30" s="56">
        <v>445.1</v>
      </c>
      <c r="CN30" s="56">
        <v>447.9</v>
      </c>
      <c r="CO30" s="56">
        <v>442.9</v>
      </c>
      <c r="CP30" s="56">
        <v>462.1</v>
      </c>
      <c r="CQ30" s="56">
        <v>462.4</v>
      </c>
      <c r="CR30" s="56">
        <v>466.8</v>
      </c>
      <c r="CS30" s="56">
        <v>470.8</v>
      </c>
      <c r="CT30" s="56">
        <v>485.8</v>
      </c>
      <c r="CU30" s="56">
        <v>493</v>
      </c>
      <c r="CV30" s="56">
        <v>499</v>
      </c>
      <c r="CW30" s="56">
        <v>506.8</v>
      </c>
      <c r="CX30" s="56">
        <v>514.20000000000005</v>
      </c>
      <c r="CY30" s="56">
        <v>519</v>
      </c>
      <c r="CZ30" s="56">
        <v>524.6</v>
      </c>
      <c r="DA30" s="56">
        <v>529.9</v>
      </c>
      <c r="DB30" s="56">
        <v>532.9</v>
      </c>
      <c r="DC30" s="56">
        <v>541.70000000000005</v>
      </c>
      <c r="DD30" s="56">
        <v>549.5</v>
      </c>
      <c r="DE30" s="56">
        <v>557.5</v>
      </c>
      <c r="DF30" s="56">
        <v>566</v>
      </c>
      <c r="DG30" s="56">
        <v>574</v>
      </c>
      <c r="DH30" s="56">
        <v>582.9</v>
      </c>
      <c r="DI30" s="56">
        <v>594.79999999999995</v>
      </c>
      <c r="DJ30" s="56">
        <v>602.79999999999995</v>
      </c>
      <c r="DK30" s="56">
        <v>612.29999999999995</v>
      </c>
      <c r="DL30" s="56">
        <v>622.20000000000005</v>
      </c>
      <c r="DM30" s="56">
        <v>632.20000000000005</v>
      </c>
      <c r="DN30" s="56">
        <v>643.5</v>
      </c>
      <c r="DO30" s="56">
        <v>649.29999999999995</v>
      </c>
      <c r="DP30" s="56">
        <v>656.7</v>
      </c>
      <c r="DQ30" s="56">
        <v>669.8</v>
      </c>
      <c r="DR30" s="56">
        <v>689.4</v>
      </c>
      <c r="DS30" s="56">
        <v>691.5</v>
      </c>
      <c r="DT30" s="56">
        <v>704.2</v>
      </c>
      <c r="DU30" s="56">
        <v>709.2</v>
      </c>
      <c r="DV30" s="56">
        <v>723.4</v>
      </c>
      <c r="DW30" s="56">
        <v>723.4</v>
      </c>
      <c r="DX30" s="56">
        <v>722</v>
      </c>
      <c r="DY30" s="56">
        <v>724.2</v>
      </c>
      <c r="DZ30" s="56">
        <v>732</v>
      </c>
      <c r="EA30" s="56">
        <v>739.9</v>
      </c>
      <c r="EB30" s="56">
        <v>742</v>
      </c>
      <c r="EC30" s="56">
        <v>743.8</v>
      </c>
      <c r="ED30" s="56">
        <v>749.1</v>
      </c>
      <c r="EE30" s="56">
        <v>758.6</v>
      </c>
      <c r="EF30" s="56">
        <v>767.2</v>
      </c>
      <c r="EG30" s="56">
        <v>778.2</v>
      </c>
      <c r="EH30" s="56">
        <v>790</v>
      </c>
      <c r="EI30" s="56">
        <v>803.5</v>
      </c>
      <c r="EJ30" s="56">
        <v>818.4</v>
      </c>
      <c r="EK30" s="56">
        <v>824</v>
      </c>
      <c r="EL30" s="56">
        <v>837.4</v>
      </c>
      <c r="EM30" s="56">
        <v>846</v>
      </c>
      <c r="EN30" s="56">
        <v>859.8</v>
      </c>
      <c r="EO30" s="56">
        <v>870.4</v>
      </c>
      <c r="EP30" s="56">
        <v>895.1</v>
      </c>
      <c r="EQ30" s="56">
        <v>900.8</v>
      </c>
      <c r="ER30" s="56">
        <v>906.2</v>
      </c>
      <c r="ES30" s="56">
        <v>920.6</v>
      </c>
      <c r="ET30" s="56">
        <v>940.9</v>
      </c>
      <c r="EU30" s="56">
        <v>943.1</v>
      </c>
      <c r="EV30" s="56">
        <v>946.7</v>
      </c>
      <c r="EW30" s="56">
        <v>958.4</v>
      </c>
      <c r="EX30" s="56">
        <v>970.2</v>
      </c>
      <c r="EY30" s="56">
        <v>972.3</v>
      </c>
      <c r="EZ30" s="56">
        <v>977.6</v>
      </c>
      <c r="FA30" s="56">
        <v>977.8</v>
      </c>
      <c r="FB30" s="56">
        <v>946</v>
      </c>
      <c r="FC30" s="56">
        <v>952.6</v>
      </c>
      <c r="FD30" s="56">
        <v>950.3</v>
      </c>
      <c r="FE30" s="56">
        <v>953.9</v>
      </c>
      <c r="FF30" s="56">
        <v>960.6</v>
      </c>
      <c r="FG30" s="56">
        <v>971.7</v>
      </c>
      <c r="FH30" s="56">
        <v>974.6</v>
      </c>
      <c r="FI30" s="56">
        <v>976.6</v>
      </c>
      <c r="FJ30" s="56">
        <v>898.3</v>
      </c>
      <c r="FK30" s="56">
        <v>900.9</v>
      </c>
      <c r="FL30" s="56">
        <v>909.4</v>
      </c>
      <c r="FM30" s="56">
        <v>904.2</v>
      </c>
      <c r="FN30" s="56">
        <v>927.5</v>
      </c>
      <c r="FO30" s="56">
        <v>932.2</v>
      </c>
      <c r="FP30" s="56">
        <v>935.2</v>
      </c>
      <c r="FQ30" s="56">
        <v>957</v>
      </c>
      <c r="FR30" s="56">
        <v>1078.5999999999999</v>
      </c>
      <c r="FS30" s="56">
        <v>1090.7</v>
      </c>
      <c r="FT30" s="56">
        <v>1093.5999999999999</v>
      </c>
      <c r="FU30" s="56">
        <v>1104.2</v>
      </c>
      <c r="FV30" s="56">
        <v>1126.5999999999999</v>
      </c>
      <c r="FW30" s="56">
        <v>1131</v>
      </c>
      <c r="FX30" s="56">
        <v>1142.5</v>
      </c>
      <c r="FY30" s="56">
        <v>1160.0999999999999</v>
      </c>
      <c r="FZ30" s="56">
        <v>1175.2</v>
      </c>
      <c r="GA30" s="56">
        <v>1187</v>
      </c>
      <c r="GB30" s="56">
        <v>1196.8</v>
      </c>
      <c r="GC30" s="56">
        <v>1204.0999999999999</v>
      </c>
      <c r="GD30" s="56">
        <v>1211</v>
      </c>
      <c r="GE30" s="56">
        <v>1217</v>
      </c>
      <c r="GF30" s="56">
        <v>1228</v>
      </c>
      <c r="GG30" s="56">
        <v>1241.5</v>
      </c>
      <c r="GH30" s="56">
        <v>1262.7</v>
      </c>
      <c r="GI30" s="56">
        <v>1275.0999999999999</v>
      </c>
      <c r="GJ30" s="56">
        <v>1290.3</v>
      </c>
      <c r="GK30" s="56">
        <v>1309.0999999999999</v>
      </c>
      <c r="GL30" s="56">
        <v>1328.9</v>
      </c>
      <c r="GM30" s="56">
        <v>1338.7</v>
      </c>
      <c r="GN30" s="56">
        <v>1355.2</v>
      </c>
      <c r="GO30" s="56">
        <v>1363.7</v>
      </c>
      <c r="GP30" s="56">
        <v>1396</v>
      </c>
      <c r="GQ30" s="56">
        <v>1403.5</v>
      </c>
      <c r="GR30" s="56">
        <v>1410.3</v>
      </c>
      <c r="GS30" s="56">
        <v>1428.2</v>
      </c>
      <c r="GT30" s="56">
        <v>1453.2</v>
      </c>
      <c r="GU30" s="56">
        <v>1383.7</v>
      </c>
      <c r="GV30" s="56">
        <v>1433</v>
      </c>
      <c r="GW30" s="56">
        <v>1470.2</v>
      </c>
      <c r="GX30" s="56">
        <v>1487.2</v>
      </c>
      <c r="GY30" s="56">
        <v>1522.5</v>
      </c>
      <c r="GZ30" s="56">
        <v>1559</v>
      </c>
      <c r="HA30" s="56">
        <v>1603.5</v>
      </c>
      <c r="HB30" s="56">
        <v>1642.9</v>
      </c>
      <c r="HC30">
        <v>1665.9</v>
      </c>
      <c r="HD30">
        <v>1713.2</v>
      </c>
      <c r="HE30">
        <v>1729.9</v>
      </c>
      <c r="HF30">
        <v>1761.2</v>
      </c>
      <c r="HG30">
        <v>1789.9</v>
      </c>
      <c r="HH30">
        <v>1818</v>
      </c>
      <c r="HI30">
        <v>1836.2</v>
      </c>
      <c r="HJ30">
        <v>1864.1</v>
      </c>
      <c r="HK30">
        <v>1869.4</v>
      </c>
      <c r="HL30">
        <v>1876.4</v>
      </c>
      <c r="HM30">
        <v>1903.2</v>
      </c>
      <c r="HN30">
        <v>1934.6</v>
      </c>
      <c r="HO30">
        <v>1954.7</v>
      </c>
    </row>
    <row r="31" spans="1:223" x14ac:dyDescent="0.35">
      <c r="A31" s="56" t="s">
        <v>2266</v>
      </c>
      <c r="B31" s="56">
        <v>48.3</v>
      </c>
      <c r="C31" s="56">
        <v>57.5</v>
      </c>
      <c r="D31" s="56">
        <v>56.9</v>
      </c>
      <c r="E31" s="56">
        <v>59.8</v>
      </c>
      <c r="F31" s="56">
        <v>61</v>
      </c>
      <c r="G31" s="56">
        <v>67.900000000000006</v>
      </c>
      <c r="H31" s="56">
        <v>67.2</v>
      </c>
      <c r="I31" s="56">
        <v>68.2</v>
      </c>
      <c r="J31" s="56">
        <v>70.2</v>
      </c>
      <c r="K31" s="56">
        <v>70.2</v>
      </c>
      <c r="L31" s="56">
        <v>70.3</v>
      </c>
      <c r="M31" s="56">
        <v>80.599999999999994</v>
      </c>
      <c r="N31" s="56">
        <v>82.2</v>
      </c>
      <c r="O31" s="56">
        <v>83.6</v>
      </c>
      <c r="P31" s="56">
        <v>85.1</v>
      </c>
      <c r="Q31" s="56">
        <v>87.3</v>
      </c>
      <c r="R31" s="56">
        <v>94.1</v>
      </c>
      <c r="S31" s="56">
        <v>100.7</v>
      </c>
      <c r="T31" s="56">
        <v>106.4</v>
      </c>
      <c r="U31" s="56">
        <v>112</v>
      </c>
      <c r="V31" s="56">
        <v>120.5</v>
      </c>
      <c r="W31" s="56">
        <v>134.19999999999999</v>
      </c>
      <c r="X31" s="56">
        <v>136.80000000000001</v>
      </c>
      <c r="Y31" s="56">
        <v>137.80000000000001</v>
      </c>
      <c r="Z31" s="56">
        <v>141.30000000000001</v>
      </c>
      <c r="AA31" s="56">
        <v>139.6</v>
      </c>
      <c r="AB31" s="56">
        <v>145.4</v>
      </c>
      <c r="AC31" s="56">
        <v>147.69999999999999</v>
      </c>
      <c r="AD31" s="56">
        <v>149.80000000000001</v>
      </c>
      <c r="AE31" s="56">
        <v>148.9</v>
      </c>
      <c r="AF31" s="56">
        <v>154.4</v>
      </c>
      <c r="AG31" s="56">
        <v>156.6</v>
      </c>
      <c r="AH31" s="56">
        <v>158.5</v>
      </c>
      <c r="AI31" s="56">
        <v>158</v>
      </c>
      <c r="AJ31" s="56">
        <v>165.9</v>
      </c>
      <c r="AK31" s="56">
        <v>168.3</v>
      </c>
      <c r="AL31" s="56">
        <v>172.5</v>
      </c>
      <c r="AM31" s="56">
        <v>175.7</v>
      </c>
      <c r="AN31" s="56">
        <v>190.1</v>
      </c>
      <c r="AO31" s="56">
        <v>193.8</v>
      </c>
      <c r="AP31" s="56">
        <v>202.1</v>
      </c>
      <c r="AQ31" s="56">
        <v>207.3</v>
      </c>
      <c r="AR31" s="56">
        <v>235.4</v>
      </c>
      <c r="AS31" s="56">
        <v>236.4</v>
      </c>
      <c r="AT31" s="56">
        <v>240.5</v>
      </c>
      <c r="AU31" s="56">
        <v>241.6</v>
      </c>
      <c r="AV31" s="56">
        <v>259.3</v>
      </c>
      <c r="AW31" s="56">
        <v>261.5</v>
      </c>
      <c r="AX31" s="56">
        <v>265.2</v>
      </c>
      <c r="AY31" s="56">
        <v>272.2</v>
      </c>
      <c r="AZ31" s="56">
        <v>287.5</v>
      </c>
      <c r="BA31" s="56">
        <v>302.60000000000002</v>
      </c>
      <c r="BB31" s="56">
        <v>302.2</v>
      </c>
      <c r="BC31" s="56">
        <v>307.39999999999998</v>
      </c>
      <c r="BD31" s="56">
        <v>301.3</v>
      </c>
      <c r="BE31" s="56">
        <v>303.5</v>
      </c>
      <c r="BF31" s="56">
        <v>306.39999999999998</v>
      </c>
      <c r="BG31" s="56">
        <v>308.39999999999998</v>
      </c>
      <c r="BH31" s="56">
        <v>309.10000000000002</v>
      </c>
      <c r="BI31" s="56">
        <v>315.10000000000002</v>
      </c>
      <c r="BJ31" s="56">
        <v>323.2</v>
      </c>
      <c r="BK31" s="56">
        <v>324.2</v>
      </c>
      <c r="BL31" s="56">
        <v>327.5</v>
      </c>
      <c r="BM31" s="56">
        <v>328.5</v>
      </c>
      <c r="BN31" s="56">
        <v>338.3</v>
      </c>
      <c r="BO31" s="56">
        <v>342</v>
      </c>
      <c r="BP31" s="56">
        <v>347.8</v>
      </c>
      <c r="BQ31" s="56">
        <v>348.9</v>
      </c>
      <c r="BR31" s="56">
        <v>353.6</v>
      </c>
      <c r="BS31" s="56">
        <v>357.6</v>
      </c>
      <c r="BT31" s="56">
        <v>357.9</v>
      </c>
      <c r="BU31" s="56">
        <v>359.7</v>
      </c>
      <c r="BV31" s="56">
        <v>375</v>
      </c>
      <c r="BW31" s="56">
        <v>376.1</v>
      </c>
      <c r="BX31" s="56">
        <v>379.3</v>
      </c>
      <c r="BY31" s="56">
        <v>383</v>
      </c>
      <c r="BZ31" s="56">
        <v>403.9</v>
      </c>
      <c r="CA31" s="56">
        <v>408.3</v>
      </c>
      <c r="CB31" s="56">
        <v>413.7</v>
      </c>
      <c r="CC31" s="56">
        <v>420.9</v>
      </c>
      <c r="CD31" s="56">
        <v>437.5</v>
      </c>
      <c r="CE31" s="56">
        <v>443.4</v>
      </c>
      <c r="CF31" s="56">
        <v>447.9</v>
      </c>
      <c r="CG31" s="56">
        <v>459.4</v>
      </c>
      <c r="CH31" s="56">
        <v>481</v>
      </c>
      <c r="CI31" s="56">
        <v>491.3</v>
      </c>
      <c r="CJ31" s="56">
        <v>495.1</v>
      </c>
      <c r="CK31" s="56">
        <v>508.5</v>
      </c>
      <c r="CL31" s="56">
        <v>540</v>
      </c>
      <c r="CM31" s="56">
        <v>550.5</v>
      </c>
      <c r="CN31" s="56">
        <v>555.5</v>
      </c>
      <c r="CO31" s="56">
        <v>561.1</v>
      </c>
      <c r="CP31" s="56">
        <v>577.6</v>
      </c>
      <c r="CQ31" s="56">
        <v>582</v>
      </c>
      <c r="CR31" s="56">
        <v>585.70000000000005</v>
      </c>
      <c r="CS31" s="56">
        <v>589.6</v>
      </c>
      <c r="CT31" s="56">
        <v>601.79999999999995</v>
      </c>
      <c r="CU31" s="56">
        <v>606.20000000000005</v>
      </c>
      <c r="CV31" s="56">
        <v>610</v>
      </c>
      <c r="CW31" s="56">
        <v>618.1</v>
      </c>
      <c r="CX31" s="56">
        <v>637.6</v>
      </c>
      <c r="CY31" s="56">
        <v>644.9</v>
      </c>
      <c r="CZ31" s="56">
        <v>650</v>
      </c>
      <c r="DA31" s="56">
        <v>655.8</v>
      </c>
      <c r="DB31" s="56">
        <v>675</v>
      </c>
      <c r="DC31" s="56">
        <v>680.7</v>
      </c>
      <c r="DD31" s="56">
        <v>683.7</v>
      </c>
      <c r="DE31" s="56">
        <v>688.9</v>
      </c>
      <c r="DF31" s="56">
        <v>704.5</v>
      </c>
      <c r="DG31" s="56">
        <v>707.5</v>
      </c>
      <c r="DH31" s="56">
        <v>709.2</v>
      </c>
      <c r="DI31" s="56">
        <v>710.2</v>
      </c>
      <c r="DJ31" s="56">
        <v>719.7</v>
      </c>
      <c r="DK31" s="56">
        <v>720.7</v>
      </c>
      <c r="DL31" s="56">
        <v>723.5</v>
      </c>
      <c r="DM31" s="56">
        <v>724.7</v>
      </c>
      <c r="DN31" s="56">
        <v>735.5</v>
      </c>
      <c r="DO31" s="56">
        <v>738.6</v>
      </c>
      <c r="DP31" s="56">
        <v>741.1</v>
      </c>
      <c r="DQ31" s="56">
        <v>744.2</v>
      </c>
      <c r="DR31" s="56">
        <v>756.8</v>
      </c>
      <c r="DS31" s="56">
        <v>772.9</v>
      </c>
      <c r="DT31" s="56">
        <v>777.5</v>
      </c>
      <c r="DU31" s="56">
        <v>786.5</v>
      </c>
      <c r="DV31" s="56">
        <v>817.3</v>
      </c>
      <c r="DW31" s="56">
        <v>831</v>
      </c>
      <c r="DX31" s="56">
        <v>849.4</v>
      </c>
      <c r="DY31" s="56">
        <v>865.2</v>
      </c>
      <c r="DZ31" s="56">
        <v>895</v>
      </c>
      <c r="EA31" s="56">
        <v>921</v>
      </c>
      <c r="EB31" s="56">
        <v>925.2</v>
      </c>
      <c r="EC31" s="56">
        <v>930.8</v>
      </c>
      <c r="ED31" s="56">
        <v>947.7</v>
      </c>
      <c r="EE31" s="56">
        <v>964.3</v>
      </c>
      <c r="EF31" s="56">
        <v>973.7</v>
      </c>
      <c r="EG31" s="56">
        <v>984.3</v>
      </c>
      <c r="EH31" s="56">
        <v>1003.6</v>
      </c>
      <c r="EI31" s="56">
        <v>1013.5</v>
      </c>
      <c r="EJ31" s="56">
        <v>1024.0999999999999</v>
      </c>
      <c r="EK31" s="56">
        <v>1036.9000000000001</v>
      </c>
      <c r="EL31" s="56">
        <v>1065.3</v>
      </c>
      <c r="EM31" s="56">
        <v>1076</v>
      </c>
      <c r="EN31" s="56">
        <v>1091.8</v>
      </c>
      <c r="EO31" s="56">
        <v>1104.4000000000001</v>
      </c>
      <c r="EP31" s="56">
        <v>1172.7</v>
      </c>
      <c r="EQ31" s="56">
        <v>1184</v>
      </c>
      <c r="ER31" s="56">
        <v>1194.0999999999999</v>
      </c>
      <c r="ES31" s="56">
        <v>1205.5999999999999</v>
      </c>
      <c r="ET31" s="56">
        <v>1240.0999999999999</v>
      </c>
      <c r="EU31" s="56">
        <v>1256.7</v>
      </c>
      <c r="EV31" s="56">
        <v>1270.2</v>
      </c>
      <c r="EW31" s="56">
        <v>1286.3</v>
      </c>
      <c r="EX31" s="56">
        <v>1321.9</v>
      </c>
      <c r="EY31" s="56">
        <v>1657</v>
      </c>
      <c r="EZ31" s="56">
        <v>1445.3</v>
      </c>
      <c r="FA31" s="56">
        <v>1428.7</v>
      </c>
      <c r="FB31" s="56">
        <v>1521.8</v>
      </c>
      <c r="FC31" s="56">
        <v>1648</v>
      </c>
      <c r="FD31" s="56">
        <v>1634.5</v>
      </c>
      <c r="FE31" s="56">
        <v>1653.9</v>
      </c>
      <c r="FF31" s="56">
        <v>1753.5</v>
      </c>
      <c r="FG31" s="56">
        <v>1755.7</v>
      </c>
      <c r="FH31" s="56">
        <v>1758.8</v>
      </c>
      <c r="FI31" s="56">
        <v>1761.9</v>
      </c>
      <c r="FJ31" s="56">
        <v>1768.6</v>
      </c>
      <c r="FK31" s="56">
        <v>1777.4</v>
      </c>
      <c r="FL31" s="56">
        <v>1782.4</v>
      </c>
      <c r="FM31" s="56">
        <v>1789.3</v>
      </c>
      <c r="FN31" s="56">
        <v>1772.9</v>
      </c>
      <c r="FO31" s="56">
        <v>1777.5</v>
      </c>
      <c r="FP31" s="56">
        <v>1783.6</v>
      </c>
      <c r="FQ31" s="56">
        <v>1793.4</v>
      </c>
      <c r="FR31" s="56">
        <v>1817.3</v>
      </c>
      <c r="FS31" s="56">
        <v>1815.5</v>
      </c>
      <c r="FT31" s="56">
        <v>1823.2</v>
      </c>
      <c r="FU31" s="56">
        <v>1830.1</v>
      </c>
      <c r="FV31" s="56">
        <v>1848.1</v>
      </c>
      <c r="FW31" s="56">
        <v>1876.8</v>
      </c>
      <c r="FX31" s="56">
        <v>1890.5</v>
      </c>
      <c r="FY31" s="56">
        <v>1909</v>
      </c>
      <c r="FZ31" s="56">
        <v>1945.5</v>
      </c>
      <c r="GA31" s="56">
        <v>1966.6</v>
      </c>
      <c r="GB31" s="56">
        <v>1977.6</v>
      </c>
      <c r="GC31" s="56">
        <v>1989.7</v>
      </c>
      <c r="GD31" s="56">
        <v>2006.2</v>
      </c>
      <c r="GE31" s="56">
        <v>2018</v>
      </c>
      <c r="GF31" s="56">
        <v>2029.1</v>
      </c>
      <c r="GG31" s="56">
        <v>2043.5</v>
      </c>
      <c r="GH31" s="56">
        <v>2074</v>
      </c>
      <c r="GI31" s="56">
        <v>2087.4</v>
      </c>
      <c r="GJ31" s="56">
        <v>2105.5</v>
      </c>
      <c r="GK31" s="56">
        <v>2124.1999999999998</v>
      </c>
      <c r="GL31" s="56">
        <v>2171.5</v>
      </c>
      <c r="GM31" s="56">
        <v>2184.4</v>
      </c>
      <c r="GN31" s="56">
        <v>2200.6</v>
      </c>
      <c r="GO31" s="56">
        <v>2223</v>
      </c>
      <c r="GP31" s="56">
        <v>2303.8000000000002</v>
      </c>
      <c r="GQ31" s="56">
        <v>2321.6999999999998</v>
      </c>
      <c r="GR31" s="56">
        <v>2337.1</v>
      </c>
      <c r="GS31" s="56">
        <v>2349.5</v>
      </c>
      <c r="GT31" s="56">
        <v>2414.4</v>
      </c>
      <c r="GU31" s="56">
        <v>4654.1000000000004</v>
      </c>
      <c r="GV31" s="56">
        <v>3504.7</v>
      </c>
      <c r="GW31" s="56">
        <v>2888.4</v>
      </c>
      <c r="GX31" s="56">
        <v>5138.1000000000004</v>
      </c>
      <c r="GY31" s="56">
        <v>3397.8</v>
      </c>
      <c r="GZ31" s="56">
        <v>3124.9</v>
      </c>
      <c r="HA31" s="56">
        <v>2952.6</v>
      </c>
      <c r="HB31" s="56">
        <v>2970.9</v>
      </c>
      <c r="HC31">
        <v>2976.2</v>
      </c>
      <c r="HD31">
        <v>2970.4</v>
      </c>
      <c r="HE31">
        <v>3024.4</v>
      </c>
      <c r="HF31">
        <v>3038.4</v>
      </c>
      <c r="HG31">
        <v>3049.1</v>
      </c>
      <c r="HH31">
        <v>3078</v>
      </c>
      <c r="HI31">
        <v>3095.6</v>
      </c>
      <c r="HJ31">
        <v>3201.1</v>
      </c>
      <c r="HK31">
        <v>3243.1</v>
      </c>
      <c r="HL31">
        <v>3283.8</v>
      </c>
      <c r="HM31">
        <v>3328.6</v>
      </c>
      <c r="HN31">
        <v>3452.4</v>
      </c>
      <c r="HO31">
        <v>3574.9</v>
      </c>
    </row>
    <row r="32" spans="1:223" x14ac:dyDescent="0.35">
      <c r="A32" s="56" t="s">
        <v>2267</v>
      </c>
      <c r="B32" s="56">
        <v>16.600000000000001</v>
      </c>
      <c r="C32" s="56">
        <v>17.899999999999999</v>
      </c>
      <c r="D32" s="56">
        <v>19.2</v>
      </c>
      <c r="E32" s="56">
        <v>19.8</v>
      </c>
      <c r="F32" s="56">
        <v>20.5</v>
      </c>
      <c r="G32" s="56">
        <v>22.1</v>
      </c>
      <c r="H32" s="56">
        <v>22.4</v>
      </c>
      <c r="I32" s="56">
        <v>23.7</v>
      </c>
      <c r="J32" s="56">
        <v>24.4</v>
      </c>
      <c r="K32" s="56">
        <v>32.700000000000003</v>
      </c>
      <c r="L32" s="56">
        <v>25.6</v>
      </c>
      <c r="M32" s="56">
        <v>39.299999999999997</v>
      </c>
      <c r="N32" s="56">
        <v>34.299999999999997</v>
      </c>
      <c r="O32" s="56">
        <v>33.4</v>
      </c>
      <c r="P32" s="56">
        <v>32.6</v>
      </c>
      <c r="Q32" s="56">
        <v>33.6</v>
      </c>
      <c r="R32" s="56">
        <v>33.299999999999997</v>
      </c>
      <c r="S32" s="56">
        <v>34.1</v>
      </c>
      <c r="T32" s="56">
        <v>35.4</v>
      </c>
      <c r="U32" s="56">
        <v>36.799999999999997</v>
      </c>
      <c r="V32" s="56">
        <v>39.299999999999997</v>
      </c>
      <c r="W32" s="56">
        <v>44.3</v>
      </c>
      <c r="X32" s="56">
        <v>45</v>
      </c>
      <c r="Y32" s="56">
        <v>45.9</v>
      </c>
      <c r="Z32" s="56">
        <v>47</v>
      </c>
      <c r="AA32" s="56">
        <v>47.8</v>
      </c>
      <c r="AB32" s="56">
        <v>48.7</v>
      </c>
      <c r="AC32" s="56">
        <v>52.7</v>
      </c>
      <c r="AD32" s="56">
        <v>50.7</v>
      </c>
      <c r="AE32" s="56">
        <v>53.7</v>
      </c>
      <c r="AF32" s="56">
        <v>57.3</v>
      </c>
      <c r="AG32" s="56">
        <v>57.3</v>
      </c>
      <c r="AH32" s="56">
        <v>61.5</v>
      </c>
      <c r="AI32" s="56">
        <v>64.099999999999994</v>
      </c>
      <c r="AJ32" s="56">
        <v>63.4</v>
      </c>
      <c r="AK32" s="56">
        <v>64.900000000000006</v>
      </c>
      <c r="AL32" s="56">
        <v>62.1</v>
      </c>
      <c r="AM32" s="56">
        <v>62.6</v>
      </c>
      <c r="AN32" s="56">
        <v>65.2</v>
      </c>
      <c r="AO32" s="56">
        <v>65.900000000000006</v>
      </c>
      <c r="AP32" s="56">
        <v>66.7</v>
      </c>
      <c r="AQ32" s="56">
        <v>68.2</v>
      </c>
      <c r="AR32" s="56">
        <v>70.7</v>
      </c>
      <c r="AS32" s="56">
        <v>73.099999999999994</v>
      </c>
      <c r="AT32" s="56">
        <v>71.5</v>
      </c>
      <c r="AU32" s="56">
        <v>71.400000000000006</v>
      </c>
      <c r="AV32" s="56">
        <v>68.8</v>
      </c>
      <c r="AW32" s="56">
        <v>66</v>
      </c>
      <c r="AX32" s="56">
        <v>65.8</v>
      </c>
      <c r="AY32" s="56">
        <v>67.3</v>
      </c>
      <c r="AZ32" s="56">
        <v>65.599999999999994</v>
      </c>
      <c r="BA32" s="56">
        <v>66.3</v>
      </c>
      <c r="BB32" s="56">
        <v>67.2</v>
      </c>
      <c r="BC32" s="56">
        <v>69.2</v>
      </c>
      <c r="BD32" s="56">
        <v>68.400000000000006</v>
      </c>
      <c r="BE32" s="56">
        <v>67</v>
      </c>
      <c r="BF32" s="56">
        <v>71.3</v>
      </c>
      <c r="BG32" s="56">
        <v>73.099999999999994</v>
      </c>
      <c r="BH32" s="56">
        <v>70.7</v>
      </c>
      <c r="BI32" s="56">
        <v>74.3</v>
      </c>
      <c r="BJ32" s="56">
        <v>74.8</v>
      </c>
      <c r="BK32" s="56">
        <v>75.3</v>
      </c>
      <c r="BL32" s="56">
        <v>76.400000000000006</v>
      </c>
      <c r="BM32" s="56">
        <v>78.099999999999994</v>
      </c>
      <c r="BN32" s="56">
        <v>79.7</v>
      </c>
      <c r="BO32" s="56">
        <v>83.8</v>
      </c>
      <c r="BP32" s="56">
        <v>86.7</v>
      </c>
      <c r="BQ32" s="56">
        <v>79.5</v>
      </c>
      <c r="BR32" s="56">
        <v>76.900000000000006</v>
      </c>
      <c r="BS32" s="56">
        <v>80.2</v>
      </c>
      <c r="BT32" s="56">
        <v>78.2</v>
      </c>
      <c r="BU32" s="56">
        <v>78.2</v>
      </c>
      <c r="BV32" s="56">
        <v>84.1</v>
      </c>
      <c r="BW32" s="56">
        <v>84.1</v>
      </c>
      <c r="BX32" s="56">
        <v>87</v>
      </c>
      <c r="BY32" s="56">
        <v>87.7</v>
      </c>
      <c r="BZ32" s="56">
        <v>88.7</v>
      </c>
      <c r="CA32" s="56">
        <v>89.1</v>
      </c>
      <c r="CB32" s="56">
        <v>95</v>
      </c>
      <c r="CC32" s="56">
        <v>94.5</v>
      </c>
      <c r="CD32" s="56">
        <v>99.9</v>
      </c>
      <c r="CE32" s="56">
        <v>103.2</v>
      </c>
      <c r="CF32" s="56">
        <v>105.5</v>
      </c>
      <c r="CG32" s="56">
        <v>108.8</v>
      </c>
      <c r="CH32" s="56">
        <v>115.6</v>
      </c>
      <c r="CI32" s="56">
        <v>120.5</v>
      </c>
      <c r="CJ32" s="56">
        <v>127</v>
      </c>
      <c r="CK32" s="56">
        <v>132.9</v>
      </c>
      <c r="CL32" s="56">
        <v>136.19999999999999</v>
      </c>
      <c r="CM32" s="56">
        <v>139</v>
      </c>
      <c r="CN32" s="56">
        <v>145</v>
      </c>
      <c r="CO32" s="56">
        <v>146.5</v>
      </c>
      <c r="CP32" s="56">
        <v>148.80000000000001</v>
      </c>
      <c r="CQ32" s="56">
        <v>151.4</v>
      </c>
      <c r="CR32" s="56">
        <v>157.19999999999999</v>
      </c>
      <c r="CS32" s="56">
        <v>165.5</v>
      </c>
      <c r="CT32" s="56">
        <v>162.4</v>
      </c>
      <c r="CU32" s="56">
        <v>164.9</v>
      </c>
      <c r="CV32" s="56">
        <v>167.3</v>
      </c>
      <c r="CW32" s="56">
        <v>172.8</v>
      </c>
      <c r="CX32" s="56">
        <v>175.6</v>
      </c>
      <c r="CY32" s="56">
        <v>174.8</v>
      </c>
      <c r="CZ32" s="56">
        <v>175.8</v>
      </c>
      <c r="DA32" s="56">
        <v>171.7</v>
      </c>
      <c r="DB32" s="56">
        <v>177.1</v>
      </c>
      <c r="DC32" s="56">
        <v>185.5</v>
      </c>
      <c r="DD32" s="56">
        <v>182.9</v>
      </c>
      <c r="DE32" s="56">
        <v>180.3</v>
      </c>
      <c r="DF32" s="56">
        <v>184.6</v>
      </c>
      <c r="DG32" s="56">
        <v>184.2</v>
      </c>
      <c r="DH32" s="56">
        <v>187.5</v>
      </c>
      <c r="DI32" s="56">
        <v>196.3</v>
      </c>
      <c r="DJ32" s="56">
        <v>197.3</v>
      </c>
      <c r="DK32" s="56">
        <v>197</v>
      </c>
      <c r="DL32" s="56">
        <v>201.8</v>
      </c>
      <c r="DM32" s="56">
        <v>207</v>
      </c>
      <c r="DN32" s="56">
        <v>214.7</v>
      </c>
      <c r="DO32" s="56">
        <v>211.8</v>
      </c>
      <c r="DP32" s="56">
        <v>223.1</v>
      </c>
      <c r="DQ32" s="56">
        <v>227</v>
      </c>
      <c r="DR32" s="56">
        <v>224.5</v>
      </c>
      <c r="DS32" s="56">
        <v>227.4</v>
      </c>
      <c r="DT32" s="56">
        <v>239.5</v>
      </c>
      <c r="DU32" s="56">
        <v>241.1</v>
      </c>
      <c r="DV32" s="56">
        <v>254</v>
      </c>
      <c r="DW32" s="56">
        <v>262.2</v>
      </c>
      <c r="DX32" s="56">
        <v>258.5</v>
      </c>
      <c r="DY32" s="56">
        <v>270.39999999999998</v>
      </c>
      <c r="DZ32" s="56">
        <v>277.3</v>
      </c>
      <c r="EA32" s="56">
        <v>285.7</v>
      </c>
      <c r="EB32" s="56">
        <v>294.3</v>
      </c>
      <c r="EC32" s="56">
        <v>297.39999999999998</v>
      </c>
      <c r="ED32" s="56">
        <v>299.60000000000002</v>
      </c>
      <c r="EE32" s="56">
        <v>323.3</v>
      </c>
      <c r="EF32" s="56">
        <v>329.6</v>
      </c>
      <c r="EG32" s="56">
        <v>334.3</v>
      </c>
      <c r="EH32" s="56">
        <v>328</v>
      </c>
      <c r="EI32" s="56">
        <v>332.8</v>
      </c>
      <c r="EJ32" s="56">
        <v>328.4</v>
      </c>
      <c r="EK32" s="56">
        <v>340</v>
      </c>
      <c r="EL32" s="56">
        <v>341.6</v>
      </c>
      <c r="EM32" s="56">
        <v>344.8</v>
      </c>
      <c r="EN32" s="56">
        <v>342.5</v>
      </c>
      <c r="EO32" s="56">
        <v>345.1</v>
      </c>
      <c r="EP32" s="56">
        <v>340</v>
      </c>
      <c r="EQ32" s="56">
        <v>341.5</v>
      </c>
      <c r="ER32" s="56">
        <v>347.9</v>
      </c>
      <c r="ES32" s="56">
        <v>334.7</v>
      </c>
      <c r="ET32" s="56">
        <v>358.4</v>
      </c>
      <c r="EU32" s="56">
        <v>359.4</v>
      </c>
      <c r="EV32" s="56">
        <v>359.8</v>
      </c>
      <c r="EW32" s="56">
        <v>358.9</v>
      </c>
      <c r="EX32" s="56">
        <v>365.7</v>
      </c>
      <c r="EY32" s="56">
        <v>371.5</v>
      </c>
      <c r="EZ32" s="56">
        <v>368.8</v>
      </c>
      <c r="FA32" s="56">
        <v>378.6</v>
      </c>
      <c r="FB32" s="56">
        <v>421.1</v>
      </c>
      <c r="FC32" s="56">
        <v>473.9</v>
      </c>
      <c r="FD32" s="56">
        <v>465.4</v>
      </c>
      <c r="FE32" s="56">
        <v>472.1</v>
      </c>
      <c r="FF32" s="56">
        <v>496.2</v>
      </c>
      <c r="FG32" s="56">
        <v>492.6</v>
      </c>
      <c r="FH32" s="56">
        <v>517.79999999999995</v>
      </c>
      <c r="FI32" s="56">
        <v>514.4</v>
      </c>
      <c r="FJ32" s="56">
        <v>500.5</v>
      </c>
      <c r="FK32" s="56">
        <v>503.4</v>
      </c>
      <c r="FL32" s="56">
        <v>448.3</v>
      </c>
      <c r="FM32" s="56">
        <v>437.7</v>
      </c>
      <c r="FN32" s="56">
        <v>441.7</v>
      </c>
      <c r="FO32" s="56">
        <v>447.9</v>
      </c>
      <c r="FP32" s="56">
        <v>440</v>
      </c>
      <c r="FQ32" s="56">
        <v>448.2</v>
      </c>
      <c r="FR32" s="56">
        <v>440</v>
      </c>
      <c r="FS32" s="56">
        <v>459.2</v>
      </c>
      <c r="FT32" s="56">
        <v>454</v>
      </c>
      <c r="FU32" s="56">
        <v>447.3</v>
      </c>
      <c r="FV32" s="56">
        <v>467.8</v>
      </c>
      <c r="FW32" s="56">
        <v>492.5</v>
      </c>
      <c r="FX32" s="56">
        <v>511.1</v>
      </c>
      <c r="FY32" s="56">
        <v>508.8</v>
      </c>
      <c r="FZ32" s="56">
        <v>524.79999999999995</v>
      </c>
      <c r="GA32" s="56">
        <v>528.9</v>
      </c>
      <c r="GB32" s="56">
        <v>530.4</v>
      </c>
      <c r="GC32" s="56">
        <v>548.20000000000005</v>
      </c>
      <c r="GD32" s="56">
        <v>544.4</v>
      </c>
      <c r="GE32" s="56">
        <v>546.6</v>
      </c>
      <c r="GF32" s="56">
        <v>562.79999999999995</v>
      </c>
      <c r="GG32" s="56">
        <v>573.1</v>
      </c>
      <c r="GH32" s="56">
        <v>562.79999999999995</v>
      </c>
      <c r="GI32" s="56">
        <v>542.4</v>
      </c>
      <c r="GJ32" s="56">
        <v>562.9</v>
      </c>
      <c r="GK32" s="56">
        <v>573.6</v>
      </c>
      <c r="GL32" s="56">
        <v>582</v>
      </c>
      <c r="GM32" s="56">
        <v>576.70000000000005</v>
      </c>
      <c r="GN32" s="56">
        <v>581.4</v>
      </c>
      <c r="GO32" s="56">
        <v>590.1</v>
      </c>
      <c r="GP32" s="56">
        <v>591.20000000000005</v>
      </c>
      <c r="GQ32" s="56">
        <v>610.70000000000005</v>
      </c>
      <c r="GR32" s="56">
        <v>608.79999999999995</v>
      </c>
      <c r="GS32" s="56">
        <v>625</v>
      </c>
      <c r="GT32" s="56">
        <v>635</v>
      </c>
      <c r="GU32" s="56">
        <v>1387</v>
      </c>
      <c r="GV32" s="56">
        <v>734.9</v>
      </c>
      <c r="GW32" s="56">
        <v>757.9</v>
      </c>
      <c r="GX32" s="56">
        <v>777.7</v>
      </c>
      <c r="GY32" s="56">
        <v>1640.8</v>
      </c>
      <c r="GZ32" s="56">
        <v>1085.5999999999999</v>
      </c>
      <c r="HA32" s="56">
        <v>936.3</v>
      </c>
      <c r="HB32" s="56">
        <v>930</v>
      </c>
      <c r="HC32">
        <v>951.4</v>
      </c>
      <c r="HD32">
        <v>956.4</v>
      </c>
      <c r="HE32">
        <v>955.4</v>
      </c>
      <c r="HF32">
        <v>977.7</v>
      </c>
      <c r="HG32">
        <v>967.9</v>
      </c>
      <c r="HH32">
        <v>915.6</v>
      </c>
      <c r="HI32">
        <v>941.4</v>
      </c>
      <c r="HJ32">
        <v>941</v>
      </c>
      <c r="HK32">
        <v>949.1</v>
      </c>
      <c r="HL32">
        <v>981.6</v>
      </c>
      <c r="HM32">
        <v>981.1</v>
      </c>
      <c r="HN32">
        <v>953.4</v>
      </c>
      <c r="HO32">
        <v>971.5</v>
      </c>
    </row>
    <row r="33" spans="1:223" x14ac:dyDescent="0.35">
      <c r="A33" s="56" t="s">
        <v>2268</v>
      </c>
      <c r="B33" s="56">
        <v>14</v>
      </c>
      <c r="C33" s="56">
        <v>14.1</v>
      </c>
      <c r="D33" s="56">
        <v>14.3</v>
      </c>
      <c r="E33" s="56">
        <v>14.4</v>
      </c>
      <c r="F33" s="56">
        <v>14.7</v>
      </c>
      <c r="G33" s="56">
        <v>15.6</v>
      </c>
      <c r="H33" s="56">
        <v>16</v>
      </c>
      <c r="I33" s="56">
        <v>17.3</v>
      </c>
      <c r="J33" s="56">
        <v>19.5</v>
      </c>
      <c r="K33" s="56">
        <v>21</v>
      </c>
      <c r="L33" s="56">
        <v>21.2</v>
      </c>
      <c r="M33" s="56">
        <v>21.8</v>
      </c>
      <c r="N33" s="56">
        <v>21.9</v>
      </c>
      <c r="O33" s="56">
        <v>22.3</v>
      </c>
      <c r="P33" s="56">
        <v>23.1</v>
      </c>
      <c r="Q33" s="56">
        <v>24</v>
      </c>
      <c r="R33" s="56">
        <v>23.3</v>
      </c>
      <c r="S33" s="56">
        <v>24.1</v>
      </c>
      <c r="T33" s="56">
        <v>25.2</v>
      </c>
      <c r="U33" s="56">
        <v>25.6</v>
      </c>
      <c r="V33" s="56">
        <v>25.7</v>
      </c>
      <c r="W33" s="56">
        <v>26.5</v>
      </c>
      <c r="X33" s="56">
        <v>27.2</v>
      </c>
      <c r="Y33" s="56">
        <v>28.2</v>
      </c>
      <c r="Z33" s="56">
        <v>29.5</v>
      </c>
      <c r="AA33" s="56">
        <v>30.6</v>
      </c>
      <c r="AB33" s="56">
        <v>31.6</v>
      </c>
      <c r="AC33" s="56">
        <v>32.6</v>
      </c>
      <c r="AD33" s="56">
        <v>33.5</v>
      </c>
      <c r="AE33" s="56">
        <v>34.700000000000003</v>
      </c>
      <c r="AF33" s="56">
        <v>35.9</v>
      </c>
      <c r="AG33" s="56">
        <v>37.299999999999997</v>
      </c>
      <c r="AH33" s="56">
        <v>38.6</v>
      </c>
      <c r="AI33" s="56">
        <v>40.1</v>
      </c>
      <c r="AJ33" s="56">
        <v>40.9</v>
      </c>
      <c r="AK33" s="56">
        <v>42.1</v>
      </c>
      <c r="AL33" s="56">
        <v>42</v>
      </c>
      <c r="AM33" s="56">
        <v>42.1</v>
      </c>
      <c r="AN33" s="56">
        <v>45.4</v>
      </c>
      <c r="AO33" s="56">
        <v>46.6</v>
      </c>
      <c r="AP33" s="56">
        <v>46.6</v>
      </c>
      <c r="AQ33" s="56">
        <v>48</v>
      </c>
      <c r="AR33" s="56">
        <v>49.4</v>
      </c>
      <c r="AS33" s="56">
        <v>51.6</v>
      </c>
      <c r="AT33" s="56">
        <v>52.5</v>
      </c>
      <c r="AU33" s="56">
        <v>53.7</v>
      </c>
      <c r="AV33" s="56">
        <v>55.5</v>
      </c>
      <c r="AW33" s="56">
        <v>56.8</v>
      </c>
      <c r="AX33" s="56">
        <v>57.3</v>
      </c>
      <c r="AY33" s="56">
        <v>58.1</v>
      </c>
      <c r="AZ33" s="56">
        <v>60.4</v>
      </c>
      <c r="BA33" s="56">
        <v>60.8</v>
      </c>
      <c r="BB33" s="56">
        <v>61.3</v>
      </c>
      <c r="BC33" s="56">
        <v>64.3</v>
      </c>
      <c r="BD33" s="56">
        <v>68.099999999999994</v>
      </c>
      <c r="BE33" s="56">
        <v>70.7</v>
      </c>
      <c r="BF33" s="56">
        <v>73.3</v>
      </c>
      <c r="BG33" s="56">
        <v>75.8</v>
      </c>
      <c r="BH33" s="56">
        <v>76.8</v>
      </c>
      <c r="BI33" s="56">
        <v>78.2</v>
      </c>
      <c r="BJ33" s="56">
        <v>79.3</v>
      </c>
      <c r="BK33" s="56">
        <v>80.900000000000006</v>
      </c>
      <c r="BL33" s="56">
        <v>81.5</v>
      </c>
      <c r="BM33" s="56">
        <v>83.7</v>
      </c>
      <c r="BN33" s="56">
        <v>84.5</v>
      </c>
      <c r="BO33" s="56">
        <v>85</v>
      </c>
      <c r="BP33" s="56">
        <v>87.5</v>
      </c>
      <c r="BQ33" s="56">
        <v>91.8</v>
      </c>
      <c r="BR33" s="56">
        <v>92.4</v>
      </c>
      <c r="BS33" s="56">
        <v>101.5</v>
      </c>
      <c r="BT33" s="56">
        <v>94.1</v>
      </c>
      <c r="BU33" s="56">
        <v>98.4</v>
      </c>
      <c r="BV33" s="56">
        <v>99.4</v>
      </c>
      <c r="BW33" s="56">
        <v>97.2</v>
      </c>
      <c r="BX33" s="56">
        <v>104.1</v>
      </c>
      <c r="BY33" s="56">
        <v>107.6</v>
      </c>
      <c r="BZ33" s="56">
        <v>113.4</v>
      </c>
      <c r="CA33" s="56">
        <v>118.3</v>
      </c>
      <c r="CB33" s="56">
        <v>114.5</v>
      </c>
      <c r="CC33" s="56">
        <v>112.4</v>
      </c>
      <c r="CD33" s="56">
        <v>119.4</v>
      </c>
      <c r="CE33" s="56">
        <v>122.6</v>
      </c>
      <c r="CF33" s="56">
        <v>123.7</v>
      </c>
      <c r="CG33" s="56">
        <v>124.6</v>
      </c>
      <c r="CH33" s="56">
        <v>121.2</v>
      </c>
      <c r="CI33" s="56">
        <v>124.5</v>
      </c>
      <c r="CJ33" s="56">
        <v>126.1</v>
      </c>
      <c r="CK33" s="56">
        <v>129.5</v>
      </c>
      <c r="CL33" s="56">
        <v>127.6</v>
      </c>
      <c r="CM33" s="56">
        <v>136.9</v>
      </c>
      <c r="CN33" s="56">
        <v>136.80000000000001</v>
      </c>
      <c r="CO33" s="56">
        <v>140</v>
      </c>
      <c r="CP33" s="56">
        <v>136.69999999999999</v>
      </c>
      <c r="CQ33" s="56">
        <v>138.30000000000001</v>
      </c>
      <c r="CR33" s="56">
        <v>143.6</v>
      </c>
      <c r="CS33" s="56">
        <v>145.80000000000001</v>
      </c>
      <c r="CT33" s="56">
        <v>146.9</v>
      </c>
      <c r="CU33" s="56">
        <v>141.9</v>
      </c>
      <c r="CV33" s="56">
        <v>151.19999999999999</v>
      </c>
      <c r="CW33" s="56">
        <v>152</v>
      </c>
      <c r="CX33" s="56">
        <v>156.9</v>
      </c>
      <c r="CY33" s="56">
        <v>152.4</v>
      </c>
      <c r="CZ33" s="56">
        <v>160.69999999999999</v>
      </c>
      <c r="DA33" s="56">
        <v>162.4</v>
      </c>
      <c r="DB33" s="56">
        <v>165.3</v>
      </c>
      <c r="DC33" s="56">
        <v>165.9</v>
      </c>
      <c r="DD33" s="56">
        <v>169.3</v>
      </c>
      <c r="DE33" s="56">
        <v>174.1</v>
      </c>
      <c r="DF33" s="56">
        <v>177.8</v>
      </c>
      <c r="DG33" s="56">
        <v>176.9</v>
      </c>
      <c r="DH33" s="56">
        <v>184.1</v>
      </c>
      <c r="DI33" s="56">
        <v>189.2</v>
      </c>
      <c r="DJ33" s="56">
        <v>195.6</v>
      </c>
      <c r="DK33" s="56">
        <v>201.4</v>
      </c>
      <c r="DL33" s="56">
        <v>201.6</v>
      </c>
      <c r="DM33" s="56">
        <v>206.3</v>
      </c>
      <c r="DN33" s="56">
        <v>208.2</v>
      </c>
      <c r="DO33" s="56">
        <v>209.4</v>
      </c>
      <c r="DP33" s="56">
        <v>216.4</v>
      </c>
      <c r="DQ33" s="56">
        <v>224</v>
      </c>
      <c r="DR33" s="56">
        <v>232.2</v>
      </c>
      <c r="DS33" s="56">
        <v>243.3</v>
      </c>
      <c r="DT33" s="56">
        <v>236.6</v>
      </c>
      <c r="DU33" s="56">
        <v>234.8</v>
      </c>
      <c r="DV33" s="56">
        <v>250.9</v>
      </c>
      <c r="DW33" s="56">
        <v>259.89999999999998</v>
      </c>
      <c r="DX33" s="56">
        <v>231.9</v>
      </c>
      <c r="DY33" s="56">
        <v>229.3</v>
      </c>
      <c r="DZ33" s="56">
        <v>227.4</v>
      </c>
      <c r="EA33" s="56">
        <v>214.3</v>
      </c>
      <c r="EB33" s="56">
        <v>218.8</v>
      </c>
      <c r="EC33" s="56">
        <v>218.9</v>
      </c>
      <c r="ED33" s="56">
        <v>217.9</v>
      </c>
      <c r="EE33" s="56">
        <v>207.9</v>
      </c>
      <c r="EF33" s="56">
        <v>234.2</v>
      </c>
      <c r="EG33" s="56">
        <v>239.7</v>
      </c>
      <c r="EH33" s="56">
        <v>239</v>
      </c>
      <c r="EI33" s="56">
        <v>234.3</v>
      </c>
      <c r="EJ33" s="56">
        <v>247.7</v>
      </c>
      <c r="EK33" s="56">
        <v>261.8</v>
      </c>
      <c r="EL33" s="56">
        <v>269.39999999999998</v>
      </c>
      <c r="EM33" s="56">
        <v>270.39999999999998</v>
      </c>
      <c r="EN33" s="56">
        <v>276</v>
      </c>
      <c r="EO33" s="56">
        <v>285.2</v>
      </c>
      <c r="EP33" s="56">
        <v>294.89999999999998</v>
      </c>
      <c r="EQ33" s="56">
        <v>310.10000000000002</v>
      </c>
      <c r="ER33" s="56">
        <v>297.7</v>
      </c>
      <c r="ES33" s="56">
        <v>301.7</v>
      </c>
      <c r="ET33" s="56">
        <v>320.5</v>
      </c>
      <c r="EU33" s="56">
        <v>332</v>
      </c>
      <c r="EV33" s="56">
        <v>319.60000000000002</v>
      </c>
      <c r="EW33" s="56">
        <v>314.2</v>
      </c>
      <c r="EX33" s="56">
        <v>333.4</v>
      </c>
      <c r="EY33" s="56">
        <v>361.1</v>
      </c>
      <c r="EZ33" s="56">
        <v>323.8</v>
      </c>
      <c r="FA33" s="56">
        <v>305.10000000000002</v>
      </c>
      <c r="FB33" s="56">
        <v>281.10000000000002</v>
      </c>
      <c r="FC33" s="56">
        <v>275.60000000000002</v>
      </c>
      <c r="FD33" s="56">
        <v>293.3</v>
      </c>
      <c r="FE33" s="56">
        <v>293.3</v>
      </c>
      <c r="FF33" s="56">
        <v>288.39999999999998</v>
      </c>
      <c r="FG33" s="56">
        <v>278</v>
      </c>
      <c r="FH33" s="56">
        <v>297.8</v>
      </c>
      <c r="FI33" s="56">
        <v>311.89999999999998</v>
      </c>
      <c r="FJ33" s="56">
        <v>315.2</v>
      </c>
      <c r="FK33" s="56">
        <v>319.39999999999998</v>
      </c>
      <c r="FL33" s="56">
        <v>327.2</v>
      </c>
      <c r="FM33" s="56">
        <v>329.9</v>
      </c>
      <c r="FN33" s="56">
        <v>330.1</v>
      </c>
      <c r="FO33" s="56">
        <v>337</v>
      </c>
      <c r="FP33" s="56">
        <v>346.2</v>
      </c>
      <c r="FQ33" s="56">
        <v>359.2</v>
      </c>
      <c r="FR33" s="56">
        <v>377.3</v>
      </c>
      <c r="FS33" s="56">
        <v>387.5</v>
      </c>
      <c r="FT33" s="56">
        <v>368</v>
      </c>
      <c r="FU33" s="56">
        <v>365.9</v>
      </c>
      <c r="FV33" s="56">
        <v>376.7</v>
      </c>
      <c r="FW33" s="56">
        <v>370.5</v>
      </c>
      <c r="FX33" s="56">
        <v>386.5</v>
      </c>
      <c r="FY33" s="56">
        <v>394.1</v>
      </c>
      <c r="FZ33" s="56">
        <v>396.4</v>
      </c>
      <c r="GA33" s="56">
        <v>416.2</v>
      </c>
      <c r="GB33" s="56">
        <v>407.4</v>
      </c>
      <c r="GC33" s="56">
        <v>413.2</v>
      </c>
      <c r="GD33" s="56">
        <v>398.5</v>
      </c>
      <c r="GE33" s="56">
        <v>407.3</v>
      </c>
      <c r="GF33" s="56">
        <v>418.7</v>
      </c>
      <c r="GG33" s="56">
        <v>418.7</v>
      </c>
      <c r="GH33" s="56">
        <v>424.3</v>
      </c>
      <c r="GI33" s="56">
        <v>412.2</v>
      </c>
      <c r="GJ33" s="56">
        <v>431.9</v>
      </c>
      <c r="GK33" s="56">
        <v>474.6</v>
      </c>
      <c r="GL33" s="56">
        <v>474.3</v>
      </c>
      <c r="GM33" s="56">
        <v>450.9</v>
      </c>
      <c r="GN33" s="56">
        <v>460.4</v>
      </c>
      <c r="GO33" s="56">
        <v>453.8</v>
      </c>
      <c r="GP33" s="56">
        <v>473.5</v>
      </c>
      <c r="GQ33" s="56">
        <v>531</v>
      </c>
      <c r="GR33" s="56">
        <v>495.6</v>
      </c>
      <c r="GS33" s="56">
        <v>490.1</v>
      </c>
      <c r="GT33" s="56">
        <v>492.5</v>
      </c>
      <c r="GU33" s="56">
        <v>485.2</v>
      </c>
      <c r="GV33" s="56">
        <v>511.6</v>
      </c>
      <c r="GW33" s="56">
        <v>528.4</v>
      </c>
      <c r="GX33" s="56">
        <v>559</v>
      </c>
      <c r="GY33" s="56">
        <v>586.1</v>
      </c>
      <c r="GZ33" s="56">
        <v>576.4</v>
      </c>
      <c r="HA33" s="56">
        <v>599.1</v>
      </c>
      <c r="HB33" s="56">
        <v>656.7</v>
      </c>
      <c r="HC33">
        <v>693.1</v>
      </c>
      <c r="HD33">
        <v>596.6</v>
      </c>
      <c r="HE33">
        <v>607.6</v>
      </c>
      <c r="HF33">
        <v>578</v>
      </c>
      <c r="HG33">
        <v>581.6</v>
      </c>
      <c r="HH33">
        <v>605.5</v>
      </c>
      <c r="HI33">
        <v>612.1</v>
      </c>
      <c r="HJ33">
        <v>609.5</v>
      </c>
      <c r="HK33">
        <v>630</v>
      </c>
      <c r="HL33">
        <v>655.5</v>
      </c>
      <c r="HM33">
        <v>670.5</v>
      </c>
      <c r="HN33">
        <v>677.6</v>
      </c>
      <c r="HO33">
        <v>691.1</v>
      </c>
    </row>
    <row r="34" spans="1:223" x14ac:dyDescent="0.35">
      <c r="A34" s="56" t="s">
        <v>2269</v>
      </c>
      <c r="B34" s="56">
        <v>70.599999999999994</v>
      </c>
      <c r="C34" s="56">
        <v>72.400000000000006</v>
      </c>
      <c r="D34" s="56">
        <v>74.3</v>
      </c>
      <c r="E34" s="56">
        <v>76</v>
      </c>
      <c r="F34" s="56">
        <v>78.3</v>
      </c>
      <c r="G34" s="56">
        <v>80.2</v>
      </c>
      <c r="H34" s="56">
        <v>82.8</v>
      </c>
      <c r="I34" s="56">
        <v>84.7</v>
      </c>
      <c r="J34" s="56">
        <v>86.4</v>
      </c>
      <c r="K34" s="56">
        <v>88.5</v>
      </c>
      <c r="L34" s="56">
        <v>90.4</v>
      </c>
      <c r="M34" s="56">
        <v>92.5</v>
      </c>
      <c r="N34" s="56">
        <v>95.1</v>
      </c>
      <c r="O34" s="56">
        <v>96.3</v>
      </c>
      <c r="P34" s="56">
        <v>98.7</v>
      </c>
      <c r="Q34" s="56">
        <v>99.6</v>
      </c>
      <c r="R34" s="56">
        <v>101</v>
      </c>
      <c r="S34" s="56">
        <v>104</v>
      </c>
      <c r="T34" s="56">
        <v>106.8</v>
      </c>
      <c r="U34" s="56">
        <v>107.5</v>
      </c>
      <c r="V34" s="56">
        <v>109</v>
      </c>
      <c r="W34" s="56">
        <v>111.7</v>
      </c>
      <c r="X34" s="56">
        <v>114.9</v>
      </c>
      <c r="Y34" s="56">
        <v>117.3</v>
      </c>
      <c r="Z34" s="56">
        <v>120.9</v>
      </c>
      <c r="AA34" s="56">
        <v>123.5</v>
      </c>
      <c r="AB34" s="56">
        <v>126</v>
      </c>
      <c r="AC34" s="56">
        <v>129.6</v>
      </c>
      <c r="AD34" s="56">
        <v>132.9</v>
      </c>
      <c r="AE34" s="56">
        <v>135.5</v>
      </c>
      <c r="AF34" s="56">
        <v>138.30000000000001</v>
      </c>
      <c r="AG34" s="56">
        <v>141.1</v>
      </c>
      <c r="AH34" s="56">
        <v>143</v>
      </c>
      <c r="AI34" s="56">
        <v>147.69999999999999</v>
      </c>
      <c r="AJ34" s="56">
        <v>144.19999999999999</v>
      </c>
      <c r="AK34" s="56">
        <v>147.6</v>
      </c>
      <c r="AL34" s="56">
        <v>150.6</v>
      </c>
      <c r="AM34" s="56">
        <v>152.6</v>
      </c>
      <c r="AN34" s="56">
        <v>155.6</v>
      </c>
      <c r="AO34" s="56">
        <v>159</v>
      </c>
      <c r="AP34" s="56">
        <v>161.9</v>
      </c>
      <c r="AQ34" s="56">
        <v>163.30000000000001</v>
      </c>
      <c r="AR34" s="56">
        <v>168.2</v>
      </c>
      <c r="AS34" s="56">
        <v>173.3</v>
      </c>
      <c r="AT34" s="56">
        <v>180.2</v>
      </c>
      <c r="AU34" s="56">
        <v>183.7</v>
      </c>
      <c r="AV34" s="56">
        <v>188.3</v>
      </c>
      <c r="AW34" s="56">
        <v>190.7</v>
      </c>
      <c r="AX34" s="56">
        <v>193.9</v>
      </c>
      <c r="AY34" s="56">
        <v>198.3</v>
      </c>
      <c r="AZ34" s="56">
        <v>201.7</v>
      </c>
      <c r="BA34" s="56">
        <v>206</v>
      </c>
      <c r="BB34" s="56">
        <v>209.6</v>
      </c>
      <c r="BC34" s="56">
        <v>216</v>
      </c>
      <c r="BD34" s="56">
        <v>222</v>
      </c>
      <c r="BE34" s="56">
        <v>228</v>
      </c>
      <c r="BF34" s="56">
        <v>234.7</v>
      </c>
      <c r="BG34" s="56">
        <v>240.3</v>
      </c>
      <c r="BH34" s="56">
        <v>244.7</v>
      </c>
      <c r="BI34" s="56">
        <v>250.2</v>
      </c>
      <c r="BJ34" s="56">
        <v>254.7</v>
      </c>
      <c r="BK34" s="56">
        <v>260</v>
      </c>
      <c r="BL34" s="56">
        <v>265.10000000000002</v>
      </c>
      <c r="BM34" s="56">
        <v>268.5</v>
      </c>
      <c r="BN34" s="56">
        <v>273</v>
      </c>
      <c r="BO34" s="56">
        <v>276.60000000000002</v>
      </c>
      <c r="BP34" s="56">
        <v>282.3</v>
      </c>
      <c r="BQ34" s="56">
        <v>286.8</v>
      </c>
      <c r="BR34" s="56">
        <v>291.89999999999998</v>
      </c>
      <c r="BS34" s="56">
        <v>298.5</v>
      </c>
      <c r="BT34" s="56">
        <v>306</v>
      </c>
      <c r="BU34" s="56">
        <v>310</v>
      </c>
      <c r="BV34" s="56">
        <v>315.7</v>
      </c>
      <c r="BW34" s="56">
        <v>323.2</v>
      </c>
      <c r="BX34" s="56">
        <v>327.3</v>
      </c>
      <c r="BY34" s="56">
        <v>332.4</v>
      </c>
      <c r="BZ34" s="56">
        <v>340.2</v>
      </c>
      <c r="CA34" s="56">
        <v>348.2</v>
      </c>
      <c r="CB34" s="56">
        <v>353.9</v>
      </c>
      <c r="CC34" s="56">
        <v>354.2</v>
      </c>
      <c r="CD34" s="56">
        <v>369.3</v>
      </c>
      <c r="CE34" s="56">
        <v>368.7</v>
      </c>
      <c r="CF34" s="56">
        <v>375.6</v>
      </c>
      <c r="CG34" s="56">
        <v>382.7</v>
      </c>
      <c r="CH34" s="56">
        <v>384.3</v>
      </c>
      <c r="CI34" s="56">
        <v>390.2</v>
      </c>
      <c r="CJ34" s="56">
        <v>399.4</v>
      </c>
      <c r="CK34" s="56">
        <v>407.3</v>
      </c>
      <c r="CL34" s="56">
        <v>412.8</v>
      </c>
      <c r="CM34" s="56">
        <v>418.2</v>
      </c>
      <c r="CN34" s="56">
        <v>424.1</v>
      </c>
      <c r="CO34" s="56">
        <v>425.3</v>
      </c>
      <c r="CP34" s="56">
        <v>427.5</v>
      </c>
      <c r="CQ34" s="56">
        <v>432.8</v>
      </c>
      <c r="CR34" s="56">
        <v>439.5</v>
      </c>
      <c r="CS34" s="56">
        <v>447.2</v>
      </c>
      <c r="CT34" s="56">
        <v>456</v>
      </c>
      <c r="CU34" s="56">
        <v>465.8</v>
      </c>
      <c r="CV34" s="56">
        <v>470</v>
      </c>
      <c r="CW34" s="56">
        <v>473.3</v>
      </c>
      <c r="CX34" s="56">
        <v>478.8</v>
      </c>
      <c r="CY34" s="56">
        <v>477.9</v>
      </c>
      <c r="CZ34" s="56">
        <v>483.5</v>
      </c>
      <c r="DA34" s="56">
        <v>489.3</v>
      </c>
      <c r="DB34" s="56">
        <v>497.8</v>
      </c>
      <c r="DC34" s="56">
        <v>506.5</v>
      </c>
      <c r="DD34" s="56">
        <v>510.1</v>
      </c>
      <c r="DE34" s="56">
        <v>517.29999999999995</v>
      </c>
      <c r="DF34" s="56">
        <v>523.79999999999995</v>
      </c>
      <c r="DG34" s="56">
        <v>530.70000000000005</v>
      </c>
      <c r="DH34" s="56">
        <v>536.6</v>
      </c>
      <c r="DI34" s="56">
        <v>544</v>
      </c>
      <c r="DJ34" s="56">
        <v>549.6</v>
      </c>
      <c r="DK34" s="56">
        <v>555.4</v>
      </c>
      <c r="DL34" s="56">
        <v>561.6</v>
      </c>
      <c r="DM34" s="56">
        <v>568.6</v>
      </c>
      <c r="DN34" s="56">
        <v>576.20000000000005</v>
      </c>
      <c r="DO34" s="56">
        <v>585.4</v>
      </c>
      <c r="DP34" s="56">
        <v>595.20000000000005</v>
      </c>
      <c r="DQ34" s="56">
        <v>603.70000000000005</v>
      </c>
      <c r="DR34" s="56">
        <v>612.4</v>
      </c>
      <c r="DS34" s="56">
        <v>618.9</v>
      </c>
      <c r="DT34" s="56">
        <v>623.70000000000005</v>
      </c>
      <c r="DU34" s="56">
        <v>630.1</v>
      </c>
      <c r="DV34" s="56">
        <v>637.1</v>
      </c>
      <c r="DW34" s="56">
        <v>637.79999999999995</v>
      </c>
      <c r="DX34" s="56">
        <v>641.70000000000005</v>
      </c>
      <c r="DY34" s="56">
        <v>653</v>
      </c>
      <c r="DZ34" s="56">
        <v>659.3</v>
      </c>
      <c r="EA34" s="56">
        <v>664</v>
      </c>
      <c r="EB34" s="56">
        <v>680.5</v>
      </c>
      <c r="EC34" s="56">
        <v>689</v>
      </c>
      <c r="ED34" s="56">
        <v>698.5</v>
      </c>
      <c r="EE34" s="56">
        <v>709.9</v>
      </c>
      <c r="EF34" s="56">
        <v>723.4</v>
      </c>
      <c r="EG34" s="56">
        <v>729.8</v>
      </c>
      <c r="EH34" s="56">
        <v>753.2</v>
      </c>
      <c r="EI34" s="56">
        <v>765.1</v>
      </c>
      <c r="EJ34" s="56">
        <v>775.4</v>
      </c>
      <c r="EK34" s="56">
        <v>797.6</v>
      </c>
      <c r="EL34" s="56">
        <v>817.9</v>
      </c>
      <c r="EM34" s="56">
        <v>835.9</v>
      </c>
      <c r="EN34" s="56">
        <v>851.8</v>
      </c>
      <c r="EO34" s="56">
        <v>866.6</v>
      </c>
      <c r="EP34" s="56">
        <v>882.7</v>
      </c>
      <c r="EQ34" s="56">
        <v>892.2</v>
      </c>
      <c r="ER34" s="56">
        <v>903.9</v>
      </c>
      <c r="ES34" s="56">
        <v>912.4</v>
      </c>
      <c r="ET34" s="56">
        <v>931.9</v>
      </c>
      <c r="EU34" s="56">
        <v>939.4</v>
      </c>
      <c r="EV34" s="56">
        <v>940.4</v>
      </c>
      <c r="EW34" s="56">
        <v>957.1</v>
      </c>
      <c r="EX34" s="56">
        <v>952.5</v>
      </c>
      <c r="EY34" s="56">
        <v>959.4</v>
      </c>
      <c r="EZ34" s="56">
        <v>964.8</v>
      </c>
      <c r="FA34" s="56">
        <v>946.3</v>
      </c>
      <c r="FB34" s="56">
        <v>929.2</v>
      </c>
      <c r="FC34" s="56">
        <v>923</v>
      </c>
      <c r="FD34" s="56">
        <v>937.4</v>
      </c>
      <c r="FE34" s="56">
        <v>952.1</v>
      </c>
      <c r="FF34" s="56">
        <v>951.6</v>
      </c>
      <c r="FG34" s="56">
        <v>965.7</v>
      </c>
      <c r="FH34" s="56">
        <v>970.1</v>
      </c>
      <c r="FI34" s="56">
        <v>977.7</v>
      </c>
      <c r="FJ34" s="56">
        <v>986.8</v>
      </c>
      <c r="FK34" s="56">
        <v>996.4</v>
      </c>
      <c r="FL34" s="56">
        <v>994.5</v>
      </c>
      <c r="FM34" s="56">
        <v>1002.7</v>
      </c>
      <c r="FN34" s="56">
        <v>1016.9</v>
      </c>
      <c r="FO34" s="56">
        <v>1019.5</v>
      </c>
      <c r="FP34" s="56">
        <v>1016.6</v>
      </c>
      <c r="FQ34" s="56">
        <v>1030.8</v>
      </c>
      <c r="FR34" s="56">
        <v>1053.0999999999999</v>
      </c>
      <c r="FS34" s="56">
        <v>1054.9000000000001</v>
      </c>
      <c r="FT34" s="56">
        <v>1063.8</v>
      </c>
      <c r="FU34" s="56">
        <v>1069.5</v>
      </c>
      <c r="FV34" s="56">
        <v>1079.3</v>
      </c>
      <c r="FW34" s="56">
        <v>1099.4000000000001</v>
      </c>
      <c r="FX34" s="56">
        <v>1108.2</v>
      </c>
      <c r="FY34" s="56">
        <v>1117.2</v>
      </c>
      <c r="FZ34" s="56">
        <v>1117.9000000000001</v>
      </c>
      <c r="GA34" s="56">
        <v>1125.8</v>
      </c>
      <c r="GB34" s="56">
        <v>1138</v>
      </c>
      <c r="GC34" s="56">
        <v>1144.7</v>
      </c>
      <c r="GD34" s="56">
        <v>1153</v>
      </c>
      <c r="GE34" s="56">
        <v>1160.9000000000001</v>
      </c>
      <c r="GF34" s="56">
        <v>1183.5999999999999</v>
      </c>
      <c r="GG34" s="56">
        <v>1190</v>
      </c>
      <c r="GH34" s="56">
        <v>1209.4000000000001</v>
      </c>
      <c r="GI34" s="56">
        <v>1221.8</v>
      </c>
      <c r="GJ34" s="56">
        <v>1240.2</v>
      </c>
      <c r="GK34" s="56">
        <v>1258.8</v>
      </c>
      <c r="GL34" s="56">
        <v>1273.2</v>
      </c>
      <c r="GM34" s="56">
        <v>1285.3</v>
      </c>
      <c r="GN34" s="56">
        <v>1300.2</v>
      </c>
      <c r="GO34" s="56">
        <v>1315.9</v>
      </c>
      <c r="GP34" s="56">
        <v>1333.5</v>
      </c>
      <c r="GQ34" s="56">
        <v>1351</v>
      </c>
      <c r="GR34" s="56">
        <v>1376.8</v>
      </c>
      <c r="GS34" s="56">
        <v>1373.6</v>
      </c>
      <c r="GT34" s="56">
        <v>1373.1</v>
      </c>
      <c r="GU34" s="56">
        <v>1288.7</v>
      </c>
      <c r="GV34" s="56">
        <v>1390.2</v>
      </c>
      <c r="GW34" s="56">
        <v>1411.7</v>
      </c>
      <c r="GX34" s="56">
        <v>1436.2</v>
      </c>
      <c r="GY34" s="56">
        <v>1524.3</v>
      </c>
      <c r="GZ34" s="56">
        <v>1538.3</v>
      </c>
      <c r="HA34" s="56">
        <v>1579.3</v>
      </c>
      <c r="HB34" s="56">
        <v>1605.3</v>
      </c>
      <c r="HC34">
        <v>1644.2</v>
      </c>
      <c r="HD34">
        <v>1668.2</v>
      </c>
      <c r="HE34">
        <v>1676.9</v>
      </c>
      <c r="HF34">
        <v>1697.8</v>
      </c>
      <c r="HG34">
        <v>1709.4</v>
      </c>
      <c r="HH34">
        <v>1724</v>
      </c>
      <c r="HI34">
        <v>1744.3</v>
      </c>
      <c r="HJ34">
        <v>1760.8</v>
      </c>
      <c r="HK34">
        <v>1782.3</v>
      </c>
      <c r="HL34">
        <v>1794.5</v>
      </c>
      <c r="HM34">
        <v>1821.7</v>
      </c>
      <c r="HN34">
        <v>1845.9</v>
      </c>
      <c r="HO34">
        <v>1866.5</v>
      </c>
    </row>
    <row r="35" spans="1:223" x14ac:dyDescent="0.35">
      <c r="A35" s="56" t="s">
        <v>2270</v>
      </c>
      <c r="B35" s="56">
        <v>3.8</v>
      </c>
      <c r="C35" s="56">
        <v>3.7</v>
      </c>
      <c r="D35" s="56">
        <v>3.8</v>
      </c>
      <c r="E35" s="56">
        <v>3.6</v>
      </c>
      <c r="F35" s="56">
        <v>4.0999999999999996</v>
      </c>
      <c r="G35" s="56">
        <v>4.2</v>
      </c>
      <c r="H35" s="56">
        <v>4.4000000000000004</v>
      </c>
      <c r="I35" s="56">
        <v>4.5</v>
      </c>
      <c r="J35" s="56">
        <v>5</v>
      </c>
      <c r="K35" s="56">
        <v>5</v>
      </c>
      <c r="L35" s="56">
        <v>5.2</v>
      </c>
      <c r="M35" s="56">
        <v>5.7</v>
      </c>
      <c r="N35" s="56">
        <v>6</v>
      </c>
      <c r="O35" s="56">
        <v>6.1</v>
      </c>
      <c r="P35" s="56">
        <v>5.9</v>
      </c>
      <c r="Q35" s="56">
        <v>6.1</v>
      </c>
      <c r="R35" s="56">
        <v>6.3</v>
      </c>
      <c r="S35" s="56">
        <v>6.6</v>
      </c>
      <c r="T35" s="56">
        <v>7.3</v>
      </c>
      <c r="U35" s="56">
        <v>6.5</v>
      </c>
      <c r="V35" s="56">
        <v>6.1</v>
      </c>
      <c r="W35" s="56">
        <v>6.6</v>
      </c>
      <c r="X35" s="56">
        <v>8.1999999999999993</v>
      </c>
      <c r="Y35" s="56">
        <v>8.4</v>
      </c>
      <c r="Z35" s="56">
        <v>9.6999999999999993</v>
      </c>
      <c r="AA35" s="56">
        <v>9.6</v>
      </c>
      <c r="AB35" s="56">
        <v>9.6999999999999993</v>
      </c>
      <c r="AC35" s="56">
        <v>9.6</v>
      </c>
      <c r="AD35" s="56">
        <v>10.5</v>
      </c>
      <c r="AE35" s="56">
        <v>11.4</v>
      </c>
      <c r="AF35" s="56">
        <v>11.8</v>
      </c>
      <c r="AG35" s="56">
        <v>12</v>
      </c>
      <c r="AH35" s="56">
        <v>10.5</v>
      </c>
      <c r="AI35" s="56">
        <v>12.4</v>
      </c>
      <c r="AJ35" s="56">
        <v>12.5</v>
      </c>
      <c r="AK35" s="56">
        <v>13.1</v>
      </c>
      <c r="AL35" s="56">
        <v>13.7</v>
      </c>
      <c r="AM35" s="56">
        <v>13.8</v>
      </c>
      <c r="AN35" s="56">
        <v>13.6</v>
      </c>
      <c r="AO35" s="56">
        <v>13.2</v>
      </c>
      <c r="AP35" s="56">
        <v>16.100000000000001</v>
      </c>
      <c r="AQ35" s="56">
        <v>12.8</v>
      </c>
      <c r="AR35" s="56">
        <v>14</v>
      </c>
      <c r="AS35" s="56">
        <v>15.1</v>
      </c>
      <c r="AT35" s="56">
        <v>16.8</v>
      </c>
      <c r="AU35" s="56">
        <v>15.2</v>
      </c>
      <c r="AV35" s="56">
        <v>15.7</v>
      </c>
      <c r="AW35" s="56">
        <v>14.1</v>
      </c>
      <c r="AX35" s="56">
        <v>14.1</v>
      </c>
      <c r="AY35" s="56">
        <v>14.3</v>
      </c>
      <c r="AZ35" s="56">
        <v>14.4</v>
      </c>
      <c r="BA35" s="56">
        <v>13.3</v>
      </c>
      <c r="BB35" s="56">
        <v>12.8</v>
      </c>
      <c r="BC35" s="56">
        <v>15.7</v>
      </c>
      <c r="BD35" s="56">
        <v>17.399999999999999</v>
      </c>
      <c r="BE35" s="56">
        <v>17.7</v>
      </c>
      <c r="BF35" s="56">
        <v>20.100000000000001</v>
      </c>
      <c r="BG35" s="56">
        <v>19.899999999999999</v>
      </c>
      <c r="BH35" s="56">
        <v>17.5</v>
      </c>
      <c r="BI35" s="56">
        <v>17.7</v>
      </c>
      <c r="BJ35" s="56">
        <v>20</v>
      </c>
      <c r="BK35" s="56">
        <v>19.600000000000001</v>
      </c>
      <c r="BL35" s="56">
        <v>20.9</v>
      </c>
      <c r="BM35" s="56">
        <v>20.5</v>
      </c>
      <c r="BN35" s="56">
        <v>21.4</v>
      </c>
      <c r="BO35" s="56">
        <v>22</v>
      </c>
      <c r="BP35" s="56">
        <v>22.4</v>
      </c>
      <c r="BQ35" s="56">
        <v>24.8</v>
      </c>
      <c r="BR35" s="56">
        <v>22.7</v>
      </c>
      <c r="BS35" s="56">
        <v>24.5</v>
      </c>
      <c r="BT35" s="56">
        <v>24.8</v>
      </c>
      <c r="BU35" s="56">
        <v>23.6</v>
      </c>
      <c r="BV35" s="56">
        <v>23.4</v>
      </c>
      <c r="BW35" s="56">
        <v>25.2</v>
      </c>
      <c r="BX35" s="56">
        <v>27.3</v>
      </c>
      <c r="BY35" s="56">
        <v>28.2</v>
      </c>
      <c r="BZ35" s="56">
        <v>27.8</v>
      </c>
      <c r="CA35" s="56">
        <v>24.2</v>
      </c>
      <c r="CB35" s="56">
        <v>22.8</v>
      </c>
      <c r="CC35" s="56">
        <v>22.1</v>
      </c>
      <c r="CD35" s="56">
        <v>21.4</v>
      </c>
      <c r="CE35" s="56">
        <v>22.1</v>
      </c>
      <c r="CF35" s="56">
        <v>23</v>
      </c>
      <c r="CG35" s="56">
        <v>23.4</v>
      </c>
      <c r="CH35" s="56">
        <v>23.8</v>
      </c>
      <c r="CI35" s="56">
        <v>23.4</v>
      </c>
      <c r="CJ35" s="56">
        <v>23.7</v>
      </c>
      <c r="CK35" s="56">
        <v>23.6</v>
      </c>
      <c r="CL35" s="56">
        <v>25.2</v>
      </c>
      <c r="CM35" s="56">
        <v>24.7</v>
      </c>
      <c r="CN35" s="56">
        <v>23.2</v>
      </c>
      <c r="CO35" s="56">
        <v>24.4</v>
      </c>
      <c r="CP35" s="56">
        <v>24.8</v>
      </c>
      <c r="CQ35" s="56">
        <v>26.8</v>
      </c>
      <c r="CR35" s="56">
        <v>25.2</v>
      </c>
      <c r="CS35" s="56">
        <v>30.8</v>
      </c>
      <c r="CT35" s="56">
        <v>27.1</v>
      </c>
      <c r="CU35" s="56">
        <v>28.7</v>
      </c>
      <c r="CV35" s="56">
        <v>31.4</v>
      </c>
      <c r="CW35" s="56">
        <v>32.700000000000003</v>
      </c>
      <c r="CX35" s="56">
        <v>32.5</v>
      </c>
      <c r="CY35" s="56">
        <v>31.3</v>
      </c>
      <c r="CZ35" s="56">
        <v>31.9</v>
      </c>
      <c r="DA35" s="56">
        <v>30.9</v>
      </c>
      <c r="DB35" s="56">
        <v>31.9</v>
      </c>
      <c r="DC35" s="56">
        <v>33.5</v>
      </c>
      <c r="DD35" s="56">
        <v>33.299999999999997</v>
      </c>
      <c r="DE35" s="56">
        <v>33.4</v>
      </c>
      <c r="DF35" s="56">
        <v>33.1</v>
      </c>
      <c r="DG35" s="56">
        <v>33.6</v>
      </c>
      <c r="DH35" s="56">
        <v>35.5</v>
      </c>
      <c r="DI35" s="56">
        <v>34.4</v>
      </c>
      <c r="DJ35" s="56">
        <v>34.700000000000003</v>
      </c>
      <c r="DK35" s="56">
        <v>34.5</v>
      </c>
      <c r="DL35" s="56">
        <v>35.700000000000003</v>
      </c>
      <c r="DM35" s="56">
        <v>34.799999999999997</v>
      </c>
      <c r="DN35" s="56">
        <v>36.299999999999997</v>
      </c>
      <c r="DO35" s="56">
        <v>35.5</v>
      </c>
      <c r="DP35" s="56">
        <v>35.6</v>
      </c>
      <c r="DQ35" s="56">
        <v>35.9</v>
      </c>
      <c r="DR35" s="56">
        <v>37.200000000000003</v>
      </c>
      <c r="DS35" s="56">
        <v>36.5</v>
      </c>
      <c r="DT35" s="56">
        <v>33.5</v>
      </c>
      <c r="DU35" s="56">
        <v>33.700000000000003</v>
      </c>
      <c r="DV35" s="56">
        <v>30.1</v>
      </c>
      <c r="DW35" s="56">
        <v>30.4</v>
      </c>
      <c r="DX35" s="56">
        <v>28.3</v>
      </c>
      <c r="DY35" s="56">
        <v>26.6</v>
      </c>
      <c r="DZ35" s="56">
        <v>28.3</v>
      </c>
      <c r="EA35" s="56">
        <v>30.2</v>
      </c>
      <c r="EB35" s="56">
        <v>31.5</v>
      </c>
      <c r="EC35" s="56">
        <v>33.5</v>
      </c>
      <c r="ED35" s="56">
        <v>34.5</v>
      </c>
      <c r="EE35" s="56">
        <v>31.7</v>
      </c>
      <c r="EF35" s="56">
        <v>33.6</v>
      </c>
      <c r="EG35" s="56">
        <v>36.200000000000003</v>
      </c>
      <c r="EH35" s="56">
        <v>37.799999999999997</v>
      </c>
      <c r="EI35" s="56">
        <v>40.799999999999997</v>
      </c>
      <c r="EJ35" s="56">
        <v>43.9</v>
      </c>
      <c r="EK35" s="56">
        <v>44.3</v>
      </c>
      <c r="EL35" s="56">
        <v>55.3</v>
      </c>
      <c r="EM35" s="56">
        <v>53</v>
      </c>
      <c r="EN35" s="56">
        <v>53.3</v>
      </c>
      <c r="EO35" s="56">
        <v>58.2</v>
      </c>
      <c r="EP35" s="56">
        <v>59.6</v>
      </c>
      <c r="EQ35" s="56">
        <v>60.3</v>
      </c>
      <c r="ER35" s="56">
        <v>61.8</v>
      </c>
      <c r="ES35" s="56">
        <v>55.2</v>
      </c>
      <c r="ET35" s="56">
        <v>59.2</v>
      </c>
      <c r="EU35" s="56">
        <v>59.4</v>
      </c>
      <c r="EV35" s="56">
        <v>56.3</v>
      </c>
      <c r="EW35" s="56">
        <v>56.6</v>
      </c>
      <c r="EX35" s="56">
        <v>50.2</v>
      </c>
      <c r="EY35" s="56">
        <v>51.6</v>
      </c>
      <c r="EZ35" s="56">
        <v>52.8</v>
      </c>
      <c r="FA35" s="56">
        <v>35.1</v>
      </c>
      <c r="FB35" s="56">
        <v>43.7</v>
      </c>
      <c r="FC35" s="56">
        <v>49.6</v>
      </c>
      <c r="FD35" s="56">
        <v>41.3</v>
      </c>
      <c r="FE35" s="56">
        <v>43.4</v>
      </c>
      <c r="FF35" s="56">
        <v>45.1</v>
      </c>
      <c r="FG35" s="56">
        <v>43.4</v>
      </c>
      <c r="FH35" s="56">
        <v>45.5</v>
      </c>
      <c r="FI35" s="56">
        <v>50.4</v>
      </c>
      <c r="FJ35" s="56">
        <v>48.4</v>
      </c>
      <c r="FK35" s="56">
        <v>49.8</v>
      </c>
      <c r="FL35" s="56">
        <v>46.4</v>
      </c>
      <c r="FM35" s="56">
        <v>49</v>
      </c>
      <c r="FN35" s="56">
        <v>49.2</v>
      </c>
      <c r="FO35" s="56">
        <v>49.5</v>
      </c>
      <c r="FP35" s="56">
        <v>52.1</v>
      </c>
      <c r="FQ35" s="56">
        <v>51.9</v>
      </c>
      <c r="FR35" s="56">
        <v>52.6</v>
      </c>
      <c r="FS35" s="56">
        <v>54.3</v>
      </c>
      <c r="FT35" s="56">
        <v>53.3</v>
      </c>
      <c r="FU35" s="56">
        <v>54.4</v>
      </c>
      <c r="FV35" s="56">
        <v>55.2</v>
      </c>
      <c r="FW35" s="56">
        <v>55.3</v>
      </c>
      <c r="FX35" s="56">
        <v>57.1</v>
      </c>
      <c r="FY35" s="56">
        <v>57.8</v>
      </c>
      <c r="FZ35" s="56">
        <v>57.3</v>
      </c>
      <c r="GA35" s="56">
        <v>57.6</v>
      </c>
      <c r="GB35" s="56">
        <v>55.6</v>
      </c>
      <c r="GC35" s="56">
        <v>53.7</v>
      </c>
      <c r="GD35" s="56">
        <v>53.3</v>
      </c>
      <c r="GE35" s="56">
        <v>52.4</v>
      </c>
      <c r="GF35" s="56">
        <v>52.9</v>
      </c>
      <c r="GG35" s="56">
        <v>54.2</v>
      </c>
      <c r="GH35" s="56">
        <v>55.1</v>
      </c>
      <c r="GI35" s="56">
        <v>53.8</v>
      </c>
      <c r="GJ35" s="56">
        <v>54.2</v>
      </c>
      <c r="GK35" s="56">
        <v>54.5</v>
      </c>
      <c r="GL35" s="56">
        <v>54.9</v>
      </c>
      <c r="GM35" s="56">
        <v>60.4</v>
      </c>
      <c r="GN35" s="56">
        <v>61.6</v>
      </c>
      <c r="GO35" s="56">
        <v>63.6</v>
      </c>
      <c r="GP35" s="56">
        <v>71.8</v>
      </c>
      <c r="GQ35" s="56">
        <v>76.8</v>
      </c>
      <c r="GR35" s="56">
        <v>74.099999999999994</v>
      </c>
      <c r="GS35" s="56">
        <v>70.3</v>
      </c>
      <c r="GT35" s="56">
        <v>64.5</v>
      </c>
      <c r="GU35" s="56">
        <v>66.400000000000006</v>
      </c>
      <c r="GV35" s="56">
        <v>81.5</v>
      </c>
      <c r="GW35" s="56">
        <v>82.4</v>
      </c>
      <c r="GX35" s="56">
        <v>83.1</v>
      </c>
      <c r="GY35" s="56">
        <v>93.7</v>
      </c>
      <c r="GZ35" s="56">
        <v>119.3</v>
      </c>
      <c r="HA35" s="56">
        <v>168.1</v>
      </c>
      <c r="HB35">
        <v>170.8</v>
      </c>
      <c r="HC35">
        <v>157.6</v>
      </c>
      <c r="HD35">
        <v>159.1</v>
      </c>
      <c r="HE35">
        <v>162.19999999999999</v>
      </c>
      <c r="HF35">
        <v>158.69999999999999</v>
      </c>
      <c r="HG35">
        <v>162.4</v>
      </c>
      <c r="HH35">
        <v>165.9</v>
      </c>
      <c r="HI35">
        <v>166.9</v>
      </c>
      <c r="HJ35">
        <v>170.4</v>
      </c>
      <c r="HK35">
        <v>164</v>
      </c>
      <c r="HL35">
        <v>162.6</v>
      </c>
      <c r="HM35">
        <v>164.2</v>
      </c>
      <c r="HN35">
        <v>174.7</v>
      </c>
    </row>
    <row r="36" spans="1:223" x14ac:dyDescent="0.35">
      <c r="A36" s="56" t="s">
        <v>2271</v>
      </c>
      <c r="B36" s="56">
        <v>1.1000000000000001</v>
      </c>
      <c r="C36" s="56">
        <v>1.1000000000000001</v>
      </c>
      <c r="D36" s="56">
        <v>1.1000000000000001</v>
      </c>
      <c r="E36" s="56">
        <v>1.1000000000000001</v>
      </c>
      <c r="F36" s="56">
        <v>1.1000000000000001</v>
      </c>
      <c r="G36" s="56">
        <v>1.2</v>
      </c>
      <c r="H36" s="56">
        <v>1.2</v>
      </c>
      <c r="I36" s="56">
        <v>1.2</v>
      </c>
      <c r="J36" s="56">
        <v>1.3</v>
      </c>
      <c r="K36" s="56">
        <v>1.3</v>
      </c>
      <c r="L36" s="56">
        <v>1.3</v>
      </c>
      <c r="M36" s="56">
        <v>1.4</v>
      </c>
      <c r="N36" s="56">
        <v>1.4</v>
      </c>
      <c r="O36" s="56">
        <v>1.5</v>
      </c>
      <c r="P36" s="56">
        <v>1.5</v>
      </c>
      <c r="Q36" s="56">
        <v>1.6</v>
      </c>
      <c r="R36" s="56">
        <v>1.6</v>
      </c>
      <c r="S36" s="56">
        <v>1.6</v>
      </c>
      <c r="T36" s="56">
        <v>1.7</v>
      </c>
      <c r="U36" s="56">
        <v>1.7</v>
      </c>
      <c r="V36" s="56">
        <v>1.8</v>
      </c>
      <c r="W36" s="56">
        <v>1.8</v>
      </c>
      <c r="X36" s="56">
        <v>1.9</v>
      </c>
      <c r="Y36" s="56">
        <v>2</v>
      </c>
      <c r="Z36" s="56">
        <v>2</v>
      </c>
      <c r="AA36" s="56">
        <v>2.1</v>
      </c>
      <c r="AB36" s="56">
        <v>2.2000000000000002</v>
      </c>
      <c r="AC36" s="56">
        <v>2.2999999999999998</v>
      </c>
      <c r="AD36" s="56">
        <v>2.5</v>
      </c>
      <c r="AE36" s="56">
        <v>2.7</v>
      </c>
      <c r="AF36" s="56">
        <v>2.9</v>
      </c>
      <c r="AG36" s="56">
        <v>3</v>
      </c>
      <c r="AH36" s="56">
        <v>3.2</v>
      </c>
      <c r="AI36" s="56">
        <v>3.3</v>
      </c>
      <c r="AJ36" s="56">
        <v>3.5</v>
      </c>
      <c r="AK36" s="56">
        <v>3.6</v>
      </c>
      <c r="AL36" s="56">
        <v>3.8</v>
      </c>
      <c r="AM36" s="56">
        <v>3.9</v>
      </c>
      <c r="AN36" s="56">
        <v>3.9</v>
      </c>
      <c r="AO36" s="56">
        <v>4</v>
      </c>
      <c r="AP36" s="56">
        <v>3.6</v>
      </c>
      <c r="AQ36" s="56">
        <v>2.9</v>
      </c>
      <c r="AR36" s="56">
        <v>3.8</v>
      </c>
      <c r="AS36" s="56">
        <v>4</v>
      </c>
      <c r="AT36" s="56">
        <v>3.7</v>
      </c>
      <c r="AU36" s="56">
        <v>3.8</v>
      </c>
      <c r="AV36" s="56">
        <v>3.9</v>
      </c>
      <c r="AW36" s="56">
        <v>4</v>
      </c>
      <c r="AX36" s="56">
        <v>4</v>
      </c>
      <c r="AY36" s="56">
        <v>4</v>
      </c>
      <c r="AZ36" s="56">
        <v>4.0999999999999996</v>
      </c>
      <c r="BA36" s="56">
        <v>4.0999999999999996</v>
      </c>
      <c r="BB36" s="56">
        <v>4</v>
      </c>
      <c r="BC36" s="56">
        <v>4.0999999999999996</v>
      </c>
      <c r="BD36" s="56">
        <v>4.0999999999999996</v>
      </c>
      <c r="BE36" s="56">
        <v>4.3</v>
      </c>
      <c r="BF36" s="56">
        <v>4.5</v>
      </c>
      <c r="BG36" s="56">
        <v>4.7</v>
      </c>
      <c r="BH36" s="56">
        <v>4.8</v>
      </c>
      <c r="BI36" s="56">
        <v>4.8</v>
      </c>
      <c r="BJ36" s="56">
        <v>4.7</v>
      </c>
      <c r="BK36" s="56">
        <v>4.8</v>
      </c>
      <c r="BL36" s="56">
        <v>4.9000000000000004</v>
      </c>
      <c r="BM36" s="56">
        <v>5.2</v>
      </c>
      <c r="BN36" s="56">
        <v>5.5</v>
      </c>
      <c r="BO36" s="56">
        <v>5.8</v>
      </c>
      <c r="BP36" s="56">
        <v>6.1</v>
      </c>
      <c r="BQ36" s="56">
        <v>6.4</v>
      </c>
      <c r="BR36" s="56">
        <v>6.7</v>
      </c>
      <c r="BS36" s="56">
        <v>7</v>
      </c>
      <c r="BT36" s="56">
        <v>7.3</v>
      </c>
      <c r="BU36" s="56">
        <v>7.7</v>
      </c>
      <c r="BV36" s="56">
        <v>8</v>
      </c>
      <c r="BW36" s="56">
        <v>8.3000000000000007</v>
      </c>
      <c r="BX36" s="56">
        <v>8.5</v>
      </c>
      <c r="BY36" s="56">
        <v>8.6999999999999993</v>
      </c>
      <c r="BZ36" s="56">
        <v>8.8000000000000007</v>
      </c>
      <c r="CA36" s="56">
        <v>8.9</v>
      </c>
      <c r="CB36" s="56">
        <v>9</v>
      </c>
      <c r="CC36" s="56">
        <v>9.3000000000000007</v>
      </c>
      <c r="CD36" s="56">
        <v>9.5</v>
      </c>
      <c r="CE36" s="56">
        <v>9.9</v>
      </c>
      <c r="CF36" s="56">
        <v>10.199999999999999</v>
      </c>
      <c r="CG36" s="56">
        <v>10.5</v>
      </c>
      <c r="CH36" s="56">
        <v>11</v>
      </c>
      <c r="CI36" s="56">
        <v>11.4</v>
      </c>
      <c r="CJ36" s="56">
        <v>11.8</v>
      </c>
      <c r="CK36" s="56">
        <v>12.2</v>
      </c>
      <c r="CL36" s="56">
        <v>12.6</v>
      </c>
      <c r="CM36" s="56">
        <v>13</v>
      </c>
      <c r="CN36" s="56">
        <v>13.3</v>
      </c>
      <c r="CO36" s="56">
        <v>13.6</v>
      </c>
      <c r="CP36" s="56">
        <v>13.8</v>
      </c>
      <c r="CQ36" s="56">
        <v>14.1</v>
      </c>
      <c r="CR36" s="56">
        <v>14.2</v>
      </c>
      <c r="CS36" s="56">
        <v>14.4</v>
      </c>
      <c r="CT36" s="56">
        <v>14.6</v>
      </c>
      <c r="CU36" s="56">
        <v>14.6</v>
      </c>
      <c r="CV36" s="56">
        <v>14.5</v>
      </c>
      <c r="CW36" s="56">
        <v>14.4</v>
      </c>
      <c r="CX36" s="56">
        <v>14</v>
      </c>
      <c r="CY36" s="56">
        <v>13.7</v>
      </c>
      <c r="CZ36" s="56">
        <v>13.5</v>
      </c>
      <c r="DA36" s="56">
        <v>13.2</v>
      </c>
      <c r="DB36" s="56">
        <v>13</v>
      </c>
      <c r="DC36" s="56">
        <v>12.7</v>
      </c>
      <c r="DD36" s="56">
        <v>12.3</v>
      </c>
      <c r="DE36" s="56">
        <v>11.9</v>
      </c>
      <c r="DF36" s="56">
        <v>11.3</v>
      </c>
      <c r="DG36" s="56">
        <v>10.9</v>
      </c>
      <c r="DH36" s="56">
        <v>10.6</v>
      </c>
      <c r="DI36" s="56">
        <v>10.5</v>
      </c>
      <c r="DJ36" s="56">
        <v>10.5</v>
      </c>
      <c r="DK36" s="56">
        <v>10.5</v>
      </c>
      <c r="DL36" s="56">
        <v>10.3</v>
      </c>
      <c r="DM36" s="56">
        <v>10.1</v>
      </c>
      <c r="DN36" s="56">
        <v>9.9</v>
      </c>
      <c r="DO36" s="56">
        <v>9.6999999999999993</v>
      </c>
      <c r="DP36" s="56">
        <v>9.6999999999999993</v>
      </c>
      <c r="DQ36" s="56">
        <v>9.8000000000000007</v>
      </c>
      <c r="DR36" s="56">
        <v>10</v>
      </c>
      <c r="DS36" s="56">
        <v>10.4</v>
      </c>
      <c r="DT36" s="56">
        <v>11</v>
      </c>
      <c r="DU36" s="56">
        <v>11.8</v>
      </c>
      <c r="DV36" s="56">
        <v>12.7</v>
      </c>
      <c r="DW36" s="56">
        <v>13.5</v>
      </c>
      <c r="DX36" s="56">
        <v>14.1</v>
      </c>
      <c r="DY36" s="56">
        <v>14.5</v>
      </c>
      <c r="DZ36" s="56">
        <v>14.9</v>
      </c>
      <c r="EA36" s="56">
        <v>15.4</v>
      </c>
      <c r="EB36" s="56">
        <v>16.100000000000001</v>
      </c>
      <c r="EC36" s="56">
        <v>17</v>
      </c>
      <c r="ED36" s="56">
        <v>18</v>
      </c>
      <c r="EE36" s="56">
        <v>19.2</v>
      </c>
      <c r="EF36" s="56">
        <v>20.5</v>
      </c>
      <c r="EG36" s="56">
        <v>22</v>
      </c>
      <c r="EH36" s="56">
        <v>23.4</v>
      </c>
      <c r="EI36" s="56">
        <v>24.5</v>
      </c>
      <c r="EJ36" s="56">
        <v>25.2</v>
      </c>
      <c r="EK36" s="56">
        <v>25.5</v>
      </c>
      <c r="EL36" s="56">
        <v>25.3</v>
      </c>
      <c r="EM36" s="56">
        <v>25</v>
      </c>
      <c r="EN36" s="56">
        <v>24.4</v>
      </c>
      <c r="EO36" s="56">
        <v>23.7</v>
      </c>
      <c r="EP36" s="56">
        <v>22.8</v>
      </c>
      <c r="EQ36" s="56">
        <v>21.9</v>
      </c>
      <c r="ER36" s="56">
        <v>21</v>
      </c>
      <c r="ES36" s="56">
        <v>20.2</v>
      </c>
      <c r="ET36" s="56">
        <v>19.399999999999999</v>
      </c>
      <c r="EU36" s="56">
        <v>18.899999999999999</v>
      </c>
      <c r="EV36" s="56">
        <v>18.5</v>
      </c>
      <c r="EW36" s="56">
        <v>18.5</v>
      </c>
      <c r="EX36" s="56">
        <v>18.600000000000001</v>
      </c>
      <c r="EY36" s="56">
        <v>18.7</v>
      </c>
      <c r="EZ36" s="56">
        <v>18.7</v>
      </c>
      <c r="FA36" s="56">
        <v>18.8</v>
      </c>
      <c r="FB36" s="56">
        <v>18.8</v>
      </c>
      <c r="FC36" s="56">
        <v>18.7</v>
      </c>
      <c r="FD36" s="56">
        <v>18.5</v>
      </c>
      <c r="FE36" s="56">
        <v>18.3</v>
      </c>
      <c r="FF36" s="56">
        <v>18</v>
      </c>
      <c r="FG36" s="56">
        <v>17.7</v>
      </c>
      <c r="FH36" s="56">
        <v>17.7</v>
      </c>
      <c r="FI36" s="56">
        <v>17.7</v>
      </c>
      <c r="FJ36" s="56">
        <v>17.899999999999999</v>
      </c>
      <c r="FK36" s="56">
        <v>18</v>
      </c>
      <c r="FL36" s="56">
        <v>17.899999999999999</v>
      </c>
      <c r="FM36" s="56">
        <v>17.7</v>
      </c>
      <c r="FN36" s="56">
        <v>17.399999999999999</v>
      </c>
      <c r="FO36" s="56">
        <v>17.2</v>
      </c>
      <c r="FP36" s="56">
        <v>17.100000000000001</v>
      </c>
      <c r="FQ36" s="56">
        <v>17.100000000000001</v>
      </c>
      <c r="FR36" s="56">
        <v>17.3</v>
      </c>
      <c r="FS36" s="56">
        <v>17.5</v>
      </c>
      <c r="FT36" s="56">
        <v>17.8</v>
      </c>
      <c r="FU36" s="56">
        <v>18.100000000000001</v>
      </c>
      <c r="FV36" s="56">
        <v>18.399999999999999</v>
      </c>
      <c r="FW36" s="56">
        <v>18.7</v>
      </c>
      <c r="FX36" s="56">
        <v>18.899999999999999</v>
      </c>
      <c r="FY36" s="56">
        <v>19</v>
      </c>
      <c r="FZ36" s="56">
        <v>19</v>
      </c>
      <c r="GA36" s="56">
        <v>19.100000000000001</v>
      </c>
      <c r="GB36" s="56">
        <v>19.3</v>
      </c>
      <c r="GC36" s="56">
        <v>19.5</v>
      </c>
      <c r="GD36" s="56">
        <v>19.8</v>
      </c>
      <c r="GE36" s="56">
        <v>20</v>
      </c>
      <c r="GF36" s="56">
        <v>20</v>
      </c>
      <c r="GG36" s="56">
        <v>20</v>
      </c>
      <c r="GH36" s="56">
        <v>19.8</v>
      </c>
      <c r="GI36" s="56">
        <v>19.8</v>
      </c>
      <c r="GJ36" s="56">
        <v>19.8</v>
      </c>
      <c r="GK36" s="56">
        <v>20</v>
      </c>
      <c r="GL36" s="56">
        <v>20.2</v>
      </c>
      <c r="GM36" s="56">
        <v>20.399999999999999</v>
      </c>
      <c r="GN36" s="56">
        <v>20.6</v>
      </c>
      <c r="GO36" s="56">
        <v>20.6</v>
      </c>
      <c r="GP36" s="56">
        <v>20.8</v>
      </c>
      <c r="GQ36" s="56">
        <v>20.8</v>
      </c>
      <c r="GR36" s="56">
        <v>20.6</v>
      </c>
      <c r="GS36" s="56">
        <v>20.5</v>
      </c>
      <c r="GT36" s="56">
        <v>20.3</v>
      </c>
      <c r="GU36" s="56">
        <v>19.3</v>
      </c>
      <c r="GV36" s="56">
        <v>19.899999999999999</v>
      </c>
      <c r="GW36" s="56">
        <v>20.6</v>
      </c>
      <c r="GX36" s="56">
        <v>21.3</v>
      </c>
      <c r="GY36" s="56">
        <v>22</v>
      </c>
      <c r="GZ36" s="56">
        <v>22.6</v>
      </c>
      <c r="HA36" s="56">
        <v>23.1</v>
      </c>
      <c r="HB36" s="56">
        <v>23.4</v>
      </c>
      <c r="HC36">
        <v>23.1</v>
      </c>
      <c r="HD36">
        <v>22.7</v>
      </c>
      <c r="HE36">
        <v>21.8</v>
      </c>
      <c r="HF36">
        <v>20.8</v>
      </c>
      <c r="HG36">
        <v>20.5</v>
      </c>
      <c r="HH36">
        <v>21.2</v>
      </c>
      <c r="HI36">
        <v>22.8</v>
      </c>
      <c r="HJ36">
        <v>25</v>
      </c>
      <c r="HK36">
        <v>26.7</v>
      </c>
      <c r="HL36">
        <v>27.5</v>
      </c>
      <c r="HM36">
        <v>27.6</v>
      </c>
      <c r="HN36">
        <v>27</v>
      </c>
      <c r="HO36">
        <v>27.1</v>
      </c>
    </row>
    <row r="37" spans="1:223" x14ac:dyDescent="0.35">
      <c r="A37" s="56" t="s">
        <v>2272</v>
      </c>
      <c r="B37" s="56">
        <v>14.7</v>
      </c>
      <c r="C37" s="56">
        <v>15.6</v>
      </c>
      <c r="D37" s="56">
        <v>16.600000000000001</v>
      </c>
      <c r="E37" s="56">
        <v>17.5</v>
      </c>
      <c r="F37" s="56">
        <v>18.3</v>
      </c>
      <c r="G37" s="56">
        <v>19.100000000000001</v>
      </c>
      <c r="H37" s="56">
        <v>19.600000000000001</v>
      </c>
      <c r="I37" s="56">
        <v>20.3</v>
      </c>
      <c r="J37" s="56">
        <v>21.2</v>
      </c>
      <c r="K37" s="56">
        <v>21.6</v>
      </c>
      <c r="L37" s="56">
        <v>22.5</v>
      </c>
      <c r="M37" s="56">
        <v>22.5</v>
      </c>
      <c r="N37" s="56">
        <v>23.2</v>
      </c>
      <c r="O37" s="56">
        <v>24</v>
      </c>
      <c r="P37" s="56">
        <v>24.2</v>
      </c>
      <c r="Q37" s="56">
        <v>25</v>
      </c>
      <c r="R37" s="56">
        <v>23.4</v>
      </c>
      <c r="S37" s="56">
        <v>24.7</v>
      </c>
      <c r="T37" s="56">
        <v>25.9</v>
      </c>
      <c r="U37" s="56">
        <v>27.1</v>
      </c>
      <c r="V37" s="56">
        <v>29.2</v>
      </c>
      <c r="W37" s="56">
        <v>30.5</v>
      </c>
      <c r="X37" s="56">
        <v>31</v>
      </c>
      <c r="Y37" s="56">
        <v>32.6</v>
      </c>
      <c r="Z37" s="56">
        <v>33.4</v>
      </c>
      <c r="AA37" s="56">
        <v>33.4</v>
      </c>
      <c r="AB37" s="56">
        <v>34.700000000000003</v>
      </c>
      <c r="AC37" s="56">
        <v>35</v>
      </c>
      <c r="AD37" s="56">
        <v>35.700000000000003</v>
      </c>
      <c r="AE37" s="56">
        <v>37.5</v>
      </c>
      <c r="AF37" s="56">
        <v>37.299999999999997</v>
      </c>
      <c r="AG37" s="56">
        <v>37.700000000000003</v>
      </c>
      <c r="AH37" s="56">
        <v>39.200000000000003</v>
      </c>
      <c r="AI37" s="56">
        <v>41</v>
      </c>
      <c r="AJ37" s="56">
        <v>41.3</v>
      </c>
      <c r="AK37" s="56">
        <v>41.7</v>
      </c>
      <c r="AL37" s="56">
        <v>42.4</v>
      </c>
      <c r="AM37" s="56">
        <v>43.5</v>
      </c>
      <c r="AN37" s="56">
        <v>44.5</v>
      </c>
      <c r="AO37" s="56">
        <v>46.9</v>
      </c>
      <c r="AP37" s="56">
        <v>49.1</v>
      </c>
      <c r="AQ37" s="56">
        <v>49</v>
      </c>
      <c r="AR37" s="56">
        <v>52.4</v>
      </c>
      <c r="AS37" s="56">
        <v>54.3</v>
      </c>
      <c r="AT37" s="56">
        <v>55.6</v>
      </c>
      <c r="AU37" s="56">
        <v>57.4</v>
      </c>
      <c r="AV37" s="56">
        <v>57.7</v>
      </c>
      <c r="AW37" s="56">
        <v>57.7</v>
      </c>
      <c r="AX37" s="56">
        <v>59</v>
      </c>
      <c r="AY37" s="56">
        <v>61</v>
      </c>
      <c r="AZ37" s="56">
        <v>62.1</v>
      </c>
      <c r="BA37" s="56">
        <v>62.6</v>
      </c>
      <c r="BB37" s="56">
        <v>65.8</v>
      </c>
      <c r="BC37" s="56">
        <v>66.3</v>
      </c>
      <c r="BD37" s="56">
        <v>67.2</v>
      </c>
      <c r="BE37" s="56">
        <v>68.3</v>
      </c>
      <c r="BF37" s="56">
        <v>69.900000000000006</v>
      </c>
      <c r="BG37" s="56">
        <v>70.599999999999994</v>
      </c>
      <c r="BH37" s="56">
        <v>71.3</v>
      </c>
      <c r="BI37" s="56">
        <v>72.8</v>
      </c>
      <c r="BJ37" s="56">
        <v>74.900000000000006</v>
      </c>
      <c r="BK37" s="56">
        <v>76.3</v>
      </c>
      <c r="BL37" s="56">
        <v>78.099999999999994</v>
      </c>
      <c r="BM37" s="56">
        <v>79.8</v>
      </c>
      <c r="BN37" s="56">
        <v>81.599999999999994</v>
      </c>
      <c r="BO37" s="56">
        <v>83.6</v>
      </c>
      <c r="BP37" s="56">
        <v>85.3</v>
      </c>
      <c r="BQ37" s="56">
        <v>86.9</v>
      </c>
      <c r="BR37" s="56">
        <v>88.3</v>
      </c>
      <c r="BS37" s="56">
        <v>89.9</v>
      </c>
      <c r="BT37" s="56">
        <v>91.6</v>
      </c>
      <c r="BU37" s="56">
        <v>93.1</v>
      </c>
      <c r="BV37" s="56">
        <v>95.3</v>
      </c>
      <c r="BW37" s="56">
        <v>97.3</v>
      </c>
      <c r="BX37" s="56">
        <v>99.5</v>
      </c>
      <c r="BY37" s="56">
        <v>101.9</v>
      </c>
      <c r="BZ37" s="56">
        <v>104.2</v>
      </c>
      <c r="CA37" s="56">
        <v>107.3</v>
      </c>
      <c r="CB37" s="56">
        <v>111</v>
      </c>
      <c r="CC37" s="56">
        <v>114.8</v>
      </c>
      <c r="CD37" s="56">
        <v>118.8</v>
      </c>
      <c r="CE37" s="56">
        <v>124.2</v>
      </c>
      <c r="CF37" s="56">
        <v>130.30000000000001</v>
      </c>
      <c r="CG37" s="56">
        <v>137.4</v>
      </c>
      <c r="CH37" s="56">
        <v>141.5</v>
      </c>
      <c r="CI37" s="56">
        <v>152.19999999999999</v>
      </c>
      <c r="CJ37" s="56">
        <v>158.6</v>
      </c>
      <c r="CK37" s="56">
        <v>173.8</v>
      </c>
      <c r="CL37" s="56">
        <v>170.5</v>
      </c>
      <c r="CM37" s="56">
        <v>178.6</v>
      </c>
      <c r="CN37" s="56">
        <v>185.8</v>
      </c>
      <c r="CO37" s="56">
        <v>185</v>
      </c>
      <c r="CP37" s="56">
        <v>188.9</v>
      </c>
      <c r="CQ37" s="56">
        <v>189.7</v>
      </c>
      <c r="CR37" s="56">
        <v>200.6</v>
      </c>
      <c r="CS37" s="56">
        <v>201.7</v>
      </c>
      <c r="CT37" s="56">
        <v>203.6</v>
      </c>
      <c r="CU37" s="56">
        <v>203.9</v>
      </c>
      <c r="CV37" s="56">
        <v>203.7</v>
      </c>
      <c r="CW37" s="56">
        <v>215.7</v>
      </c>
      <c r="CX37" s="56">
        <v>220.4</v>
      </c>
      <c r="CY37" s="56">
        <v>220.7</v>
      </c>
      <c r="CZ37" s="56">
        <v>220.7</v>
      </c>
      <c r="DA37" s="56">
        <v>208.8</v>
      </c>
      <c r="DB37" s="56">
        <v>218.2</v>
      </c>
      <c r="DC37" s="56">
        <v>232.2</v>
      </c>
      <c r="DD37" s="56">
        <v>224.8</v>
      </c>
      <c r="DE37" s="56">
        <v>221.7</v>
      </c>
      <c r="DF37" s="56">
        <v>226</v>
      </c>
      <c r="DG37" s="56">
        <v>223.7</v>
      </c>
      <c r="DH37" s="56">
        <v>228</v>
      </c>
      <c r="DI37" s="56">
        <v>232.4</v>
      </c>
      <c r="DJ37" s="56">
        <v>232.1</v>
      </c>
      <c r="DK37" s="56">
        <v>235.3</v>
      </c>
      <c r="DL37" s="56">
        <v>233.9</v>
      </c>
      <c r="DM37" s="56">
        <v>241.7</v>
      </c>
      <c r="DN37" s="56">
        <v>247.8</v>
      </c>
      <c r="DO37" s="56">
        <v>246.4</v>
      </c>
      <c r="DP37" s="56">
        <v>255</v>
      </c>
      <c r="DQ37" s="56">
        <v>260.2</v>
      </c>
      <c r="DR37" s="56">
        <v>260.10000000000002</v>
      </c>
      <c r="DS37" s="56">
        <v>269.39999999999998</v>
      </c>
      <c r="DT37" s="56">
        <v>277.2</v>
      </c>
      <c r="DU37" s="56">
        <v>279.10000000000002</v>
      </c>
      <c r="DV37" s="56">
        <v>290.39999999999998</v>
      </c>
      <c r="DW37" s="56">
        <v>308</v>
      </c>
      <c r="DX37" s="56">
        <v>295.8</v>
      </c>
      <c r="DY37" s="56">
        <v>326</v>
      </c>
      <c r="DZ37" s="56">
        <v>326</v>
      </c>
      <c r="EA37" s="56">
        <v>326</v>
      </c>
      <c r="EB37" s="56">
        <v>334.7</v>
      </c>
      <c r="EC37" s="56">
        <v>345.4</v>
      </c>
      <c r="ED37" s="56">
        <v>347</v>
      </c>
      <c r="EE37" s="56">
        <v>348.3</v>
      </c>
      <c r="EF37" s="56">
        <v>361.8</v>
      </c>
      <c r="EG37" s="56">
        <v>357</v>
      </c>
      <c r="EH37" s="56">
        <v>376</v>
      </c>
      <c r="EI37" s="56">
        <v>387.1</v>
      </c>
      <c r="EJ37" s="56">
        <v>385.7</v>
      </c>
      <c r="EK37" s="56">
        <v>391</v>
      </c>
      <c r="EL37" s="56">
        <v>399.1</v>
      </c>
      <c r="EM37" s="56">
        <v>410</v>
      </c>
      <c r="EN37" s="56">
        <v>409.1</v>
      </c>
      <c r="EO37" s="56">
        <v>407.9</v>
      </c>
      <c r="EP37" s="56">
        <v>394</v>
      </c>
      <c r="EQ37" s="56">
        <v>399.2</v>
      </c>
      <c r="ER37" s="56">
        <v>414.4</v>
      </c>
      <c r="ES37" s="56">
        <v>408.1</v>
      </c>
      <c r="ET37" s="56">
        <v>440.1</v>
      </c>
      <c r="EU37" s="56">
        <v>423.7</v>
      </c>
      <c r="EV37" s="56">
        <v>429.9</v>
      </c>
      <c r="EW37" s="56">
        <v>442.3</v>
      </c>
      <c r="EX37" s="56">
        <v>446.3</v>
      </c>
      <c r="EY37" s="56">
        <v>456</v>
      </c>
      <c r="EZ37" s="56">
        <v>460</v>
      </c>
      <c r="FA37" s="56">
        <v>462.1</v>
      </c>
      <c r="FB37" s="56">
        <v>480.2</v>
      </c>
      <c r="FC37" s="56">
        <v>492</v>
      </c>
      <c r="FD37" s="56">
        <v>502.4</v>
      </c>
      <c r="FE37" s="56">
        <v>498.2</v>
      </c>
      <c r="FF37" s="56">
        <v>508.7</v>
      </c>
      <c r="FG37" s="56">
        <v>513</v>
      </c>
      <c r="FH37" s="56">
        <v>533.20000000000005</v>
      </c>
      <c r="FI37" s="56">
        <v>540.79999999999995</v>
      </c>
      <c r="FJ37" s="56">
        <v>544.4</v>
      </c>
      <c r="FK37" s="56">
        <v>534.70000000000005</v>
      </c>
      <c r="FL37" s="56">
        <v>520.70000000000005</v>
      </c>
      <c r="FM37" s="56">
        <v>522.9</v>
      </c>
      <c r="FN37" s="56">
        <v>523.9</v>
      </c>
      <c r="FO37" s="56">
        <v>544.4</v>
      </c>
      <c r="FP37" s="56">
        <v>542</v>
      </c>
      <c r="FQ37" s="56">
        <v>552.70000000000005</v>
      </c>
      <c r="FR37" s="56">
        <v>548.4</v>
      </c>
      <c r="FS37" s="56">
        <v>562.79999999999995</v>
      </c>
      <c r="FT37" s="56">
        <v>572.79999999999995</v>
      </c>
      <c r="FU37" s="56">
        <v>573.6</v>
      </c>
      <c r="FV37" s="56">
        <v>585.1</v>
      </c>
      <c r="FW37" s="56">
        <v>607.79999999999995</v>
      </c>
      <c r="FX37" s="56">
        <v>634.1</v>
      </c>
      <c r="FY37" s="56">
        <v>643.20000000000005</v>
      </c>
      <c r="FZ37" s="56">
        <v>652.20000000000005</v>
      </c>
      <c r="GA37" s="56">
        <v>667.3</v>
      </c>
      <c r="GB37" s="56">
        <v>670.2</v>
      </c>
      <c r="GC37" s="56">
        <v>671.5</v>
      </c>
      <c r="GD37" s="56">
        <v>679.9</v>
      </c>
      <c r="GE37" s="56">
        <v>688.5</v>
      </c>
      <c r="GF37" s="56">
        <v>697.2</v>
      </c>
      <c r="GG37" s="56">
        <v>706.6</v>
      </c>
      <c r="GH37" s="56">
        <v>705.1</v>
      </c>
      <c r="GI37" s="56">
        <v>702.3</v>
      </c>
      <c r="GJ37" s="56">
        <v>718</v>
      </c>
      <c r="GK37" s="56">
        <v>713.3</v>
      </c>
      <c r="GL37" s="56">
        <v>720.7</v>
      </c>
      <c r="GM37" s="56">
        <v>732.9</v>
      </c>
      <c r="GN37" s="56">
        <v>737.3</v>
      </c>
      <c r="GO37" s="56">
        <v>733.6</v>
      </c>
      <c r="GP37" s="56">
        <v>744.3</v>
      </c>
      <c r="GQ37" s="56">
        <v>762.3</v>
      </c>
      <c r="GR37" s="56">
        <v>772.2</v>
      </c>
      <c r="GS37" s="56">
        <v>772.1</v>
      </c>
      <c r="GT37" s="56">
        <v>760.8</v>
      </c>
      <c r="GU37" s="56">
        <v>811.3</v>
      </c>
      <c r="GV37" s="56">
        <v>850.3</v>
      </c>
      <c r="GW37" s="56">
        <v>840.3</v>
      </c>
      <c r="GX37" s="56">
        <v>869.7</v>
      </c>
      <c r="GY37" s="56">
        <v>913.8</v>
      </c>
      <c r="GZ37" s="56">
        <v>923.8</v>
      </c>
      <c r="HA37" s="56">
        <v>923.5</v>
      </c>
      <c r="HB37" s="56">
        <v>973.6</v>
      </c>
      <c r="HC37">
        <v>1010.5</v>
      </c>
      <c r="HD37">
        <v>1032.5999999999999</v>
      </c>
      <c r="HE37">
        <v>1096.5999999999999</v>
      </c>
      <c r="HF37">
        <v>1083.2</v>
      </c>
      <c r="HG37">
        <v>1111.0999999999999</v>
      </c>
      <c r="HH37">
        <v>1069.4000000000001</v>
      </c>
      <c r="HI37">
        <v>1061</v>
      </c>
      <c r="HJ37">
        <v>1113.5</v>
      </c>
      <c r="HK37">
        <v>1136.9000000000001</v>
      </c>
      <c r="HL37">
        <v>1154</v>
      </c>
      <c r="HM37">
        <v>1162.5</v>
      </c>
      <c r="HN37">
        <v>1176.2</v>
      </c>
      <c r="HO37">
        <v>1202</v>
      </c>
    </row>
    <row r="38" spans="1:223" x14ac:dyDescent="0.35">
      <c r="A38" s="56" t="s">
        <v>2273</v>
      </c>
      <c r="B38" s="56">
        <v>129.9</v>
      </c>
      <c r="C38" s="56">
        <v>134.1</v>
      </c>
      <c r="D38" s="56">
        <v>140.1</v>
      </c>
      <c r="E38" s="56">
        <v>144.30000000000001</v>
      </c>
      <c r="F38" s="56">
        <v>149.1</v>
      </c>
      <c r="G38" s="56">
        <v>153.6</v>
      </c>
      <c r="H38" s="56">
        <v>156.9</v>
      </c>
      <c r="I38" s="56">
        <v>161</v>
      </c>
      <c r="J38" s="56">
        <v>165.7</v>
      </c>
      <c r="K38" s="56">
        <v>167.9</v>
      </c>
      <c r="L38" s="56">
        <v>172.5</v>
      </c>
      <c r="M38" s="56">
        <v>176.8</v>
      </c>
      <c r="N38" s="56">
        <v>181.7</v>
      </c>
      <c r="O38" s="56">
        <v>185.7</v>
      </c>
      <c r="P38" s="56">
        <v>190</v>
      </c>
      <c r="Q38" s="56">
        <v>195.9</v>
      </c>
      <c r="R38" s="56">
        <v>201.1</v>
      </c>
      <c r="S38" s="56">
        <v>210.1</v>
      </c>
      <c r="T38" s="56">
        <v>217</v>
      </c>
      <c r="U38" s="56">
        <v>223.7</v>
      </c>
      <c r="V38" s="56">
        <v>235.9</v>
      </c>
      <c r="W38" s="56">
        <v>240.3</v>
      </c>
      <c r="X38" s="56">
        <v>246.6</v>
      </c>
      <c r="Y38" s="56">
        <v>254.2</v>
      </c>
      <c r="Z38" s="56">
        <v>260.3</v>
      </c>
      <c r="AA38" s="56">
        <v>259.39999999999998</v>
      </c>
      <c r="AB38" s="56">
        <v>261.3</v>
      </c>
      <c r="AC38" s="56">
        <v>263.89999999999998</v>
      </c>
      <c r="AD38" s="56">
        <v>271.10000000000002</v>
      </c>
      <c r="AE38" s="56">
        <v>278.60000000000002</v>
      </c>
      <c r="AF38" s="56">
        <v>282.3</v>
      </c>
      <c r="AG38" s="56">
        <v>287.5</v>
      </c>
      <c r="AH38" s="56">
        <v>292.5</v>
      </c>
      <c r="AI38" s="56">
        <v>306</v>
      </c>
      <c r="AJ38" s="56">
        <v>313.5</v>
      </c>
      <c r="AK38" s="56">
        <v>320.5</v>
      </c>
      <c r="AL38" s="56">
        <v>323.2</v>
      </c>
      <c r="AM38" s="56">
        <v>333.2</v>
      </c>
      <c r="AN38" s="56">
        <v>344.8</v>
      </c>
      <c r="AO38" s="56">
        <v>356.1</v>
      </c>
      <c r="AP38" s="56">
        <v>367.6</v>
      </c>
      <c r="AQ38" s="56">
        <v>371.7</v>
      </c>
      <c r="AR38" s="56">
        <v>379.1</v>
      </c>
      <c r="AS38" s="56">
        <v>388.1</v>
      </c>
      <c r="AT38" s="56">
        <v>402.6</v>
      </c>
      <c r="AU38" s="56">
        <v>405.3</v>
      </c>
      <c r="AV38" s="56">
        <v>409.8</v>
      </c>
      <c r="AW38" s="56">
        <v>418.5</v>
      </c>
      <c r="AX38" s="56">
        <v>425.5</v>
      </c>
      <c r="AY38" s="56">
        <v>435.4</v>
      </c>
      <c r="AZ38" s="56">
        <v>443.4</v>
      </c>
      <c r="BA38" s="56">
        <v>452.9</v>
      </c>
      <c r="BB38" s="56">
        <v>461.9</v>
      </c>
      <c r="BC38" s="56">
        <v>467.5</v>
      </c>
      <c r="BD38" s="56">
        <v>476.7</v>
      </c>
      <c r="BE38" s="56">
        <v>482.1</v>
      </c>
      <c r="BF38" s="56">
        <v>495.1</v>
      </c>
      <c r="BG38" s="56">
        <v>505.9</v>
      </c>
      <c r="BH38" s="56">
        <v>518.29999999999995</v>
      </c>
      <c r="BI38" s="56">
        <v>529.29999999999995</v>
      </c>
      <c r="BJ38" s="56">
        <v>542.70000000000005</v>
      </c>
      <c r="BK38" s="56">
        <v>557.70000000000005</v>
      </c>
      <c r="BL38" s="56">
        <v>571.6</v>
      </c>
      <c r="BM38" s="56">
        <v>582.20000000000005</v>
      </c>
      <c r="BN38" s="56">
        <v>595.9</v>
      </c>
      <c r="BO38" s="56">
        <v>605.5</v>
      </c>
      <c r="BP38" s="56">
        <v>616.5</v>
      </c>
      <c r="BQ38" s="56">
        <v>626.29999999999995</v>
      </c>
      <c r="BR38" s="56">
        <v>637.79999999999995</v>
      </c>
      <c r="BS38" s="56">
        <v>646.9</v>
      </c>
      <c r="BT38" s="56">
        <v>656.4</v>
      </c>
      <c r="BU38" s="56">
        <v>668.1</v>
      </c>
      <c r="BV38" s="56">
        <v>678.6</v>
      </c>
      <c r="BW38" s="56">
        <v>693.1</v>
      </c>
      <c r="BX38" s="56">
        <v>703.2</v>
      </c>
      <c r="BY38" s="56">
        <v>720.1</v>
      </c>
      <c r="BZ38" s="56">
        <v>736.6</v>
      </c>
      <c r="CA38" s="56">
        <v>755.1</v>
      </c>
      <c r="CB38" s="56">
        <v>770.4</v>
      </c>
      <c r="CC38" s="56">
        <v>790</v>
      </c>
      <c r="CD38" s="56">
        <v>811.4</v>
      </c>
      <c r="CE38" s="56">
        <v>824.1</v>
      </c>
      <c r="CF38" s="56">
        <v>843.9</v>
      </c>
      <c r="CG38" s="56">
        <v>871</v>
      </c>
      <c r="CH38" s="56">
        <v>881.6</v>
      </c>
      <c r="CI38" s="56">
        <v>901.3</v>
      </c>
      <c r="CJ38" s="56">
        <v>919.2</v>
      </c>
      <c r="CK38" s="56">
        <v>947</v>
      </c>
      <c r="CL38" s="56">
        <v>959.3</v>
      </c>
      <c r="CM38" s="56">
        <v>975.2</v>
      </c>
      <c r="CN38" s="56">
        <v>988.2</v>
      </c>
      <c r="CO38" s="56">
        <v>991.3</v>
      </c>
      <c r="CP38" s="56">
        <v>1001.1</v>
      </c>
      <c r="CQ38" s="56">
        <v>1011.6</v>
      </c>
      <c r="CR38" s="56">
        <v>1028.0999999999999</v>
      </c>
      <c r="CS38" s="56">
        <v>1036.0999999999999</v>
      </c>
      <c r="CT38" s="56">
        <v>1046.5999999999999</v>
      </c>
      <c r="CU38" s="56">
        <v>1060.5</v>
      </c>
      <c r="CV38" s="56">
        <v>1077.4000000000001</v>
      </c>
      <c r="CW38" s="56">
        <v>1100.7</v>
      </c>
      <c r="CX38" s="56">
        <v>1118.5</v>
      </c>
      <c r="CY38" s="56">
        <v>1132.8</v>
      </c>
      <c r="CZ38" s="56">
        <v>1136.8</v>
      </c>
      <c r="DA38" s="56">
        <v>1131.2</v>
      </c>
      <c r="DB38" s="56">
        <v>1145.0999999999999</v>
      </c>
      <c r="DC38" s="56">
        <v>1171.4000000000001</v>
      </c>
      <c r="DD38" s="56">
        <v>1176</v>
      </c>
      <c r="DE38" s="56">
        <v>1192</v>
      </c>
      <c r="DF38" s="56">
        <v>1202.5</v>
      </c>
      <c r="DG38" s="56">
        <v>1209</v>
      </c>
      <c r="DH38" s="56">
        <v>1225.5</v>
      </c>
      <c r="DI38" s="56">
        <v>1243.5</v>
      </c>
      <c r="DJ38" s="56">
        <v>1250.5</v>
      </c>
      <c r="DK38" s="56">
        <v>1272.2</v>
      </c>
      <c r="DL38" s="56">
        <v>1290.9000000000001</v>
      </c>
      <c r="DM38" s="56">
        <v>1312.2</v>
      </c>
      <c r="DN38" s="56">
        <v>1338.9</v>
      </c>
      <c r="DO38" s="56">
        <v>1357.5</v>
      </c>
      <c r="DP38" s="56">
        <v>1388.2</v>
      </c>
      <c r="DQ38" s="56">
        <v>1417.2</v>
      </c>
      <c r="DR38" s="56">
        <v>1435.6</v>
      </c>
      <c r="DS38" s="56">
        <v>1453</v>
      </c>
      <c r="DT38" s="56">
        <v>1478</v>
      </c>
      <c r="DU38" s="56">
        <v>1507</v>
      </c>
      <c r="DV38" s="56">
        <v>1560.6</v>
      </c>
      <c r="DW38" s="56">
        <v>1617.6</v>
      </c>
      <c r="DX38" s="56">
        <v>1597.3</v>
      </c>
      <c r="DY38" s="56">
        <v>1656.2</v>
      </c>
      <c r="DZ38" s="56">
        <v>1677.3</v>
      </c>
      <c r="EA38" s="56">
        <v>1694.5</v>
      </c>
      <c r="EB38" s="56">
        <v>1724.4</v>
      </c>
      <c r="EC38" s="56">
        <v>1756.3</v>
      </c>
      <c r="ED38" s="56">
        <v>1781.7</v>
      </c>
      <c r="EE38" s="56">
        <v>1783.4</v>
      </c>
      <c r="EF38" s="56">
        <v>1811.7</v>
      </c>
      <c r="EG38" s="56">
        <v>1814.6</v>
      </c>
      <c r="EH38" s="56">
        <v>1843.6</v>
      </c>
      <c r="EI38" s="56">
        <v>1868.2</v>
      </c>
      <c r="EJ38" s="56">
        <v>1895.3</v>
      </c>
      <c r="EK38" s="56">
        <v>1903</v>
      </c>
      <c r="EL38" s="56">
        <v>1925.1</v>
      </c>
      <c r="EM38" s="56">
        <v>1952.9</v>
      </c>
      <c r="EN38" s="56">
        <v>1978</v>
      </c>
      <c r="EO38" s="56">
        <v>2024.5</v>
      </c>
      <c r="EP38" s="56">
        <v>2008</v>
      </c>
      <c r="EQ38" s="56">
        <v>2042.4</v>
      </c>
      <c r="ER38" s="56">
        <v>2078.5</v>
      </c>
      <c r="ES38" s="56">
        <v>2094.1999999999998</v>
      </c>
      <c r="ET38" s="56">
        <v>2165.9</v>
      </c>
      <c r="EU38" s="56">
        <v>2182.4</v>
      </c>
      <c r="EV38" s="56">
        <v>2205.9</v>
      </c>
      <c r="EW38" s="56">
        <v>2242.1</v>
      </c>
      <c r="EX38" s="56">
        <v>2256.4</v>
      </c>
      <c r="EY38" s="56">
        <v>2293.3000000000002</v>
      </c>
      <c r="EZ38" s="56">
        <v>2337.8000000000002</v>
      </c>
      <c r="FA38" s="56">
        <v>2337.1999999999998</v>
      </c>
      <c r="FB38" s="56">
        <v>2371.5</v>
      </c>
      <c r="FC38" s="56">
        <v>2419.8000000000002</v>
      </c>
      <c r="FD38" s="56">
        <v>2446.9</v>
      </c>
      <c r="FE38" s="56">
        <v>2444.5</v>
      </c>
      <c r="FF38" s="56">
        <v>2439.1</v>
      </c>
      <c r="FG38" s="56">
        <v>2443.1</v>
      </c>
      <c r="FH38" s="56">
        <v>2451.4</v>
      </c>
      <c r="FI38" s="56">
        <v>2452.3000000000002</v>
      </c>
      <c r="FJ38" s="56">
        <v>2451.4</v>
      </c>
      <c r="FK38" s="56">
        <v>2445</v>
      </c>
      <c r="FL38" s="56">
        <v>2423.3000000000002</v>
      </c>
      <c r="FM38" s="56">
        <v>2417.9</v>
      </c>
      <c r="FN38" s="56">
        <v>2431.3000000000002</v>
      </c>
      <c r="FO38" s="56">
        <v>2447.1999999999998</v>
      </c>
      <c r="FP38" s="56">
        <v>2448.6</v>
      </c>
      <c r="FQ38" s="56">
        <v>2475.8000000000002</v>
      </c>
      <c r="FR38" s="56">
        <v>2483.9</v>
      </c>
      <c r="FS38" s="56">
        <v>2506.1999999999998</v>
      </c>
      <c r="FT38" s="56">
        <v>2526.9</v>
      </c>
      <c r="FU38" s="56">
        <v>2529.9</v>
      </c>
      <c r="FV38" s="56">
        <v>2540.3000000000002</v>
      </c>
      <c r="FW38" s="56">
        <v>2577.6</v>
      </c>
      <c r="FX38" s="56">
        <v>2619.9</v>
      </c>
      <c r="FY38" s="56">
        <v>2643.5</v>
      </c>
      <c r="FZ38" s="56">
        <v>2650.2</v>
      </c>
      <c r="GA38" s="56">
        <v>2706.1</v>
      </c>
      <c r="GB38" s="56">
        <v>2730.1</v>
      </c>
      <c r="GC38" s="56">
        <v>2731.2</v>
      </c>
      <c r="GD38" s="56">
        <v>2755.7</v>
      </c>
      <c r="GE38" s="56">
        <v>2784.2</v>
      </c>
      <c r="GF38" s="56">
        <v>2809.5</v>
      </c>
      <c r="GG38" s="56">
        <v>2835</v>
      </c>
      <c r="GH38" s="56">
        <v>2849.2</v>
      </c>
      <c r="GI38" s="56">
        <v>2851.8</v>
      </c>
      <c r="GJ38" s="56">
        <v>2892.4</v>
      </c>
      <c r="GK38" s="56">
        <v>2918.9</v>
      </c>
      <c r="GL38" s="56">
        <v>2940.4</v>
      </c>
      <c r="GM38" s="56">
        <v>2985</v>
      </c>
      <c r="GN38" s="56">
        <v>3020.2</v>
      </c>
      <c r="GO38" s="56">
        <v>3027</v>
      </c>
      <c r="GP38" s="56">
        <v>3069.1</v>
      </c>
      <c r="GQ38" s="56">
        <v>3141.9</v>
      </c>
      <c r="GR38" s="56">
        <v>3185.2</v>
      </c>
      <c r="GS38" s="56">
        <v>3217.2</v>
      </c>
      <c r="GT38" s="56">
        <v>3255.1</v>
      </c>
      <c r="GU38" s="56">
        <v>3273.8</v>
      </c>
      <c r="GV38" s="56">
        <v>3321.8</v>
      </c>
      <c r="GW38" s="56">
        <v>3321.3</v>
      </c>
      <c r="GX38" s="56">
        <v>3391.7</v>
      </c>
      <c r="GY38" s="56">
        <v>3467.1</v>
      </c>
      <c r="GZ38" s="56">
        <v>3507.6</v>
      </c>
      <c r="HA38" s="56">
        <v>3518.9</v>
      </c>
      <c r="HB38" s="56">
        <v>3599.4</v>
      </c>
      <c r="HC38">
        <v>3703.4</v>
      </c>
      <c r="HD38">
        <v>3749.1</v>
      </c>
      <c r="HE38">
        <v>3838.5</v>
      </c>
      <c r="HF38">
        <v>3861.7</v>
      </c>
      <c r="HG38">
        <v>3911.8</v>
      </c>
      <c r="HH38">
        <v>3944.8</v>
      </c>
      <c r="HI38">
        <v>3975.3</v>
      </c>
      <c r="HJ38">
        <v>4067.2</v>
      </c>
      <c r="HK38">
        <v>4111.1000000000004</v>
      </c>
      <c r="HL38">
        <v>4161.6000000000004</v>
      </c>
      <c r="HM38">
        <v>4201.3999999999996</v>
      </c>
      <c r="HN38">
        <v>4243.3</v>
      </c>
      <c r="HO38">
        <v>4293.8</v>
      </c>
    </row>
    <row r="39" spans="1:223" x14ac:dyDescent="0.35">
      <c r="A39" s="56" t="s">
        <v>2274</v>
      </c>
      <c r="B39" s="56"/>
      <c r="C39" s="56"/>
      <c r="D39" s="56"/>
      <c r="E39" s="56"/>
      <c r="F39" s="56"/>
      <c r="G39" s="56"/>
      <c r="H39" s="56"/>
      <c r="I39" s="56"/>
      <c r="J39" s="56"/>
      <c r="K39" s="56"/>
      <c r="L39" s="56"/>
      <c r="M39" s="56"/>
      <c r="N39" s="56"/>
      <c r="O39" s="56"/>
      <c r="P39" s="56"/>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c r="AQ39" s="56"/>
      <c r="AR39" s="56"/>
      <c r="AS39" s="56"/>
      <c r="AT39" s="56"/>
      <c r="AU39" s="56"/>
      <c r="AV39" s="56"/>
      <c r="AW39" s="56"/>
      <c r="AX39" s="56"/>
      <c r="AY39" s="56"/>
      <c r="AZ39" s="56"/>
      <c r="BA39" s="56"/>
      <c r="BB39" s="56"/>
      <c r="BC39" s="56"/>
      <c r="BD39" s="56"/>
      <c r="BE39" s="56"/>
      <c r="BF39" s="56"/>
      <c r="BG39" s="56"/>
      <c r="BH39" s="56"/>
      <c r="BI39" s="56"/>
      <c r="BJ39" s="56"/>
      <c r="BK39" s="56"/>
      <c r="BL39" s="56"/>
      <c r="BM39" s="56"/>
      <c r="BN39" s="56"/>
      <c r="BO39" s="56"/>
      <c r="BP39" s="56"/>
      <c r="BQ39" s="56"/>
      <c r="BR39" s="56"/>
      <c r="BS39" s="56"/>
      <c r="BT39" s="56"/>
      <c r="BU39" s="56"/>
      <c r="BV39" s="56"/>
      <c r="BW39" s="56"/>
      <c r="BX39" s="56"/>
      <c r="BY39" s="56"/>
      <c r="BZ39" s="56"/>
      <c r="CA39" s="56"/>
      <c r="CB39" s="56"/>
      <c r="CC39" s="56"/>
      <c r="CD39" s="56"/>
      <c r="CE39" s="56"/>
      <c r="CF39" s="56"/>
      <c r="CG39" s="56"/>
      <c r="CH39" s="56"/>
      <c r="CI39" s="56"/>
      <c r="CJ39" s="56"/>
      <c r="CK39" s="56"/>
      <c r="CL39" s="56"/>
      <c r="CM39" s="56"/>
      <c r="CN39" s="56"/>
      <c r="CO39" s="56"/>
      <c r="CP39" s="56">
        <v>78.072000000000003</v>
      </c>
      <c r="CQ39" s="56">
        <v>80.831000000000003</v>
      </c>
      <c r="CR39" s="56">
        <v>85.251000000000005</v>
      </c>
      <c r="CS39" s="56">
        <v>88.177999999999997</v>
      </c>
      <c r="CT39" s="56">
        <v>84.001999999999995</v>
      </c>
      <c r="CU39" s="56">
        <v>86.254999999999995</v>
      </c>
      <c r="CV39" s="56">
        <v>87.977999999999994</v>
      </c>
      <c r="CW39" s="56">
        <v>89.828999999999994</v>
      </c>
      <c r="CX39" s="56">
        <v>95.218000000000004</v>
      </c>
      <c r="CY39" s="56">
        <v>94.483999999999995</v>
      </c>
      <c r="CZ39" s="56">
        <v>93.858000000000004</v>
      </c>
      <c r="DA39" s="56">
        <v>92.180999999999997</v>
      </c>
      <c r="DB39" s="56">
        <v>94.539000000000001</v>
      </c>
      <c r="DC39" s="56">
        <v>102.461</v>
      </c>
      <c r="DD39" s="56">
        <v>99.671999999999997</v>
      </c>
      <c r="DE39" s="56">
        <v>97.608999999999995</v>
      </c>
      <c r="DF39" s="56">
        <v>98.691000000000003</v>
      </c>
      <c r="DG39" s="56">
        <v>98.641999999999996</v>
      </c>
      <c r="DH39" s="56">
        <v>101.001</v>
      </c>
      <c r="DI39" s="56">
        <v>105.738</v>
      </c>
      <c r="DJ39" s="56">
        <v>103.992</v>
      </c>
      <c r="DK39" s="56">
        <v>106.28700000000001</v>
      </c>
      <c r="DL39" s="56">
        <v>106.646</v>
      </c>
      <c r="DM39" s="56">
        <v>110.762</v>
      </c>
      <c r="DN39" s="56">
        <v>114.027</v>
      </c>
      <c r="DO39" s="56">
        <v>113.559</v>
      </c>
      <c r="DP39" s="56">
        <v>120.524</v>
      </c>
      <c r="DQ39" s="56">
        <v>121.904</v>
      </c>
      <c r="DR39" s="56">
        <v>121.898</v>
      </c>
      <c r="DS39" s="56">
        <v>123.319</v>
      </c>
      <c r="DT39" s="56">
        <v>133.626</v>
      </c>
      <c r="DU39" s="56">
        <v>129.62200000000001</v>
      </c>
      <c r="DV39" s="56">
        <v>138.71600000000001</v>
      </c>
      <c r="DW39" s="56">
        <v>145.774</v>
      </c>
      <c r="DX39" s="56">
        <v>143.21899999999999</v>
      </c>
      <c r="DY39" s="56">
        <v>153.809</v>
      </c>
      <c r="DZ39" s="56">
        <v>156.084</v>
      </c>
      <c r="EA39" s="56">
        <v>157.45500000000001</v>
      </c>
      <c r="EB39" s="56">
        <v>164.01</v>
      </c>
      <c r="EC39" s="56">
        <v>166.934</v>
      </c>
      <c r="ED39" s="56">
        <v>165.90600000000001</v>
      </c>
      <c r="EE39" s="56">
        <v>171.10599999999999</v>
      </c>
      <c r="EF39" s="56">
        <v>186.792</v>
      </c>
      <c r="EG39" s="56">
        <v>182.54300000000001</v>
      </c>
      <c r="EH39" s="56">
        <v>190.07</v>
      </c>
      <c r="EI39" s="56">
        <v>194.96299999999999</v>
      </c>
      <c r="EJ39" s="56">
        <v>186.476</v>
      </c>
      <c r="EK39" s="56">
        <v>191.75200000000001</v>
      </c>
      <c r="EL39" s="56">
        <v>199.036</v>
      </c>
      <c r="EM39" s="56">
        <v>200.24600000000001</v>
      </c>
      <c r="EN39" s="56">
        <v>195.23099999999999</v>
      </c>
      <c r="EO39" s="56">
        <v>197.352</v>
      </c>
      <c r="EP39" s="56">
        <v>191.74700000000001</v>
      </c>
      <c r="EQ39" s="56">
        <v>189.018</v>
      </c>
      <c r="ER39" s="56">
        <v>197.488</v>
      </c>
      <c r="ES39" s="56">
        <v>189.083</v>
      </c>
      <c r="ET39" s="56">
        <v>209.34700000000001</v>
      </c>
      <c r="EU39" s="56">
        <v>201.38300000000001</v>
      </c>
      <c r="EV39" s="56">
        <v>204.31800000000001</v>
      </c>
      <c r="EW39" s="56">
        <v>206.11</v>
      </c>
      <c r="EX39" s="56">
        <v>209.60300000000001</v>
      </c>
      <c r="EY39" s="56">
        <v>216.57</v>
      </c>
      <c r="EZ39" s="56">
        <v>213.01599999999999</v>
      </c>
      <c r="FA39" s="56">
        <v>217.49100000000001</v>
      </c>
      <c r="FB39" s="56">
        <v>266.40699999999998</v>
      </c>
      <c r="FC39" s="56">
        <v>284.52600000000001</v>
      </c>
      <c r="FD39" s="56">
        <v>273.90300000000002</v>
      </c>
      <c r="FE39" s="56">
        <v>272.34500000000003</v>
      </c>
      <c r="FF39" s="56">
        <v>283.26799999999997</v>
      </c>
      <c r="FG39" s="56">
        <v>290.80799999999999</v>
      </c>
      <c r="FH39" s="56">
        <v>297.13</v>
      </c>
      <c r="FI39" s="56">
        <v>309.66800000000001</v>
      </c>
      <c r="FJ39" s="56">
        <v>293.83999999999997</v>
      </c>
      <c r="FK39" s="56">
        <v>288.89999999999998</v>
      </c>
      <c r="FL39" s="56">
        <v>248.81299999999999</v>
      </c>
      <c r="FM39" s="56">
        <v>249.625</v>
      </c>
      <c r="FN39" s="56">
        <v>258.161</v>
      </c>
      <c r="FO39" s="56">
        <v>273.39</v>
      </c>
      <c r="FP39" s="56">
        <v>263.07900000000001</v>
      </c>
      <c r="FQ39" s="56">
        <v>269.70999999999998</v>
      </c>
      <c r="FR39" s="56">
        <v>272.06299999999999</v>
      </c>
      <c r="FS39" s="56">
        <v>283.40800000000002</v>
      </c>
      <c r="FT39" s="56">
        <v>281.45499999999998</v>
      </c>
      <c r="FU39" s="56">
        <v>282.10700000000003</v>
      </c>
      <c r="FV39" s="56">
        <v>303.39</v>
      </c>
      <c r="FW39" s="56">
        <v>320.01499999999999</v>
      </c>
      <c r="FX39" s="56">
        <v>343.69200000000001</v>
      </c>
      <c r="FY39" s="56">
        <v>345.71199999999999</v>
      </c>
      <c r="FZ39" s="56">
        <v>362.79199999999997</v>
      </c>
      <c r="GA39" s="56">
        <v>363.41</v>
      </c>
      <c r="GB39" s="56">
        <v>365.38400000000001</v>
      </c>
      <c r="GC39" s="56">
        <v>384.03199999999998</v>
      </c>
      <c r="GD39" s="56">
        <v>378.24599999999998</v>
      </c>
      <c r="GE39" s="56">
        <v>382.36700000000002</v>
      </c>
      <c r="GF39" s="56">
        <v>396.21600000000001</v>
      </c>
      <c r="GG39" s="56">
        <v>408.32299999999998</v>
      </c>
      <c r="GH39" s="56">
        <v>396.16199999999998</v>
      </c>
      <c r="GI39" s="56">
        <v>373.916</v>
      </c>
      <c r="GJ39" s="56">
        <v>396.06599999999997</v>
      </c>
      <c r="GK39" s="56">
        <v>401.38499999999999</v>
      </c>
      <c r="GL39" s="56">
        <v>411.488</v>
      </c>
      <c r="GM39" s="56">
        <v>404.339</v>
      </c>
      <c r="GN39" s="56">
        <v>411.95499999999998</v>
      </c>
      <c r="GO39" s="56">
        <v>412.702</v>
      </c>
      <c r="GP39" s="56">
        <v>427.00200000000001</v>
      </c>
      <c r="GQ39" s="56">
        <v>436.45400000000001</v>
      </c>
      <c r="GR39" s="56">
        <v>437.673</v>
      </c>
      <c r="GS39" s="56">
        <v>439.75400000000002</v>
      </c>
      <c r="GT39" s="56">
        <v>445.96899999999999</v>
      </c>
      <c r="GU39" s="56">
        <v>580.00900000000001</v>
      </c>
      <c r="GV39" s="56">
        <v>532.596</v>
      </c>
      <c r="GW39" s="56">
        <v>548.31500000000005</v>
      </c>
      <c r="GX39" s="56">
        <v>537.87199999999996</v>
      </c>
      <c r="GY39" s="56">
        <v>552.75199999999995</v>
      </c>
      <c r="GZ39" s="56">
        <v>583.20100000000002</v>
      </c>
      <c r="HA39" s="56">
        <v>617.22900000000004</v>
      </c>
      <c r="HB39" s="56">
        <v>633.91999999999996</v>
      </c>
      <c r="HC39">
        <v>630.31700000000001</v>
      </c>
      <c r="HD39">
        <v>648.99599999999998</v>
      </c>
      <c r="HE39">
        <v>647.52599999999995</v>
      </c>
      <c r="HF39">
        <v>665.99900000000002</v>
      </c>
      <c r="HG39">
        <v>661.47299999999996</v>
      </c>
      <c r="HH39">
        <v>617.13900000000001</v>
      </c>
      <c r="HI39">
        <v>643.48</v>
      </c>
      <c r="HJ39">
        <v>651.15800000000002</v>
      </c>
      <c r="HK39">
        <v>660.255</v>
      </c>
      <c r="HL39">
        <v>673.4</v>
      </c>
      <c r="HM39">
        <v>689.81600000000003</v>
      </c>
      <c r="HN39">
        <v>679.85400000000004</v>
      </c>
      <c r="HO39">
        <v>713.67700000000002</v>
      </c>
    </row>
    <row r="40" spans="1:223" x14ac:dyDescent="0.35">
      <c r="A40" s="56" t="s">
        <v>2275</v>
      </c>
      <c r="B40" s="56"/>
      <c r="C40" s="56"/>
      <c r="D40" s="56"/>
      <c r="E40" s="56"/>
      <c r="F40" s="56"/>
      <c r="G40" s="56"/>
      <c r="H40" s="56"/>
      <c r="I40" s="56"/>
      <c r="J40" s="56"/>
      <c r="K40" s="56"/>
      <c r="L40" s="56"/>
      <c r="M40" s="56"/>
      <c r="N40" s="56"/>
      <c r="O40" s="56"/>
      <c r="P40" s="56"/>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c r="AQ40" s="56"/>
      <c r="AR40" s="56"/>
      <c r="AS40" s="56"/>
      <c r="AT40" s="56"/>
      <c r="AU40" s="56"/>
      <c r="AV40" s="56"/>
      <c r="AW40" s="56"/>
      <c r="AX40" s="56"/>
      <c r="AY40" s="56"/>
      <c r="AZ40" s="56"/>
      <c r="BA40" s="56"/>
      <c r="BB40" s="56"/>
      <c r="BC40" s="56"/>
      <c r="BD40" s="56"/>
      <c r="BE40" s="56"/>
      <c r="BF40" s="56"/>
      <c r="BG40" s="56"/>
      <c r="BH40" s="56"/>
      <c r="BI40" s="56"/>
      <c r="BJ40" s="56"/>
      <c r="BK40" s="56"/>
      <c r="BL40" s="56"/>
      <c r="BM40" s="56"/>
      <c r="BN40" s="56"/>
      <c r="BO40" s="56"/>
      <c r="BP40" s="56"/>
      <c r="BQ40" s="56"/>
      <c r="BR40" s="56"/>
      <c r="BS40" s="56"/>
      <c r="BT40" s="56"/>
      <c r="BU40" s="56"/>
      <c r="BV40" s="56"/>
      <c r="BW40" s="56"/>
      <c r="BX40" s="56"/>
      <c r="BY40" s="56"/>
      <c r="BZ40" s="56"/>
      <c r="CA40" s="56"/>
      <c r="CB40" s="56"/>
      <c r="CC40" s="56"/>
      <c r="CD40" s="56"/>
      <c r="CE40" s="56"/>
      <c r="CF40" s="56"/>
      <c r="CG40" s="56"/>
      <c r="CH40" s="56"/>
      <c r="CI40" s="56"/>
      <c r="CJ40" s="56"/>
      <c r="CK40" s="56"/>
      <c r="CL40" s="56"/>
      <c r="CM40" s="56"/>
      <c r="CN40" s="56"/>
      <c r="CO40" s="56"/>
      <c r="CP40" s="56">
        <v>73.888000000000005</v>
      </c>
      <c r="CQ40" s="56">
        <v>76.036000000000001</v>
      </c>
      <c r="CR40" s="56">
        <v>80.603999999999999</v>
      </c>
      <c r="CS40" s="56">
        <v>84.1</v>
      </c>
      <c r="CT40" s="56">
        <v>78.947999999999993</v>
      </c>
      <c r="CU40" s="56">
        <v>81.772000000000006</v>
      </c>
      <c r="CV40" s="56">
        <v>82.891999999999996</v>
      </c>
      <c r="CW40" s="56">
        <v>85.54</v>
      </c>
      <c r="CX40" s="56">
        <v>90.524000000000001</v>
      </c>
      <c r="CY40" s="56">
        <v>90.54</v>
      </c>
      <c r="CZ40" s="56">
        <v>89.28</v>
      </c>
      <c r="DA40" s="56">
        <v>87.567999999999998</v>
      </c>
      <c r="DB40" s="56">
        <v>88.772000000000006</v>
      </c>
      <c r="DC40" s="56">
        <v>96.376000000000005</v>
      </c>
      <c r="DD40" s="56">
        <v>94.872</v>
      </c>
      <c r="DE40" s="56">
        <v>93.891999999999996</v>
      </c>
      <c r="DF40" s="56">
        <v>95.98</v>
      </c>
      <c r="DG40" s="56">
        <v>94.924000000000007</v>
      </c>
      <c r="DH40" s="56">
        <v>97.108000000000004</v>
      </c>
      <c r="DI40" s="56">
        <v>101.384</v>
      </c>
      <c r="DJ40" s="56">
        <v>99.444000000000003</v>
      </c>
      <c r="DK40" s="56">
        <v>101.608</v>
      </c>
      <c r="DL40" s="56">
        <v>102.26</v>
      </c>
      <c r="DM40" s="56">
        <v>103.952</v>
      </c>
      <c r="DN40" s="56">
        <v>107.1</v>
      </c>
      <c r="DO40" s="56">
        <v>107.208</v>
      </c>
      <c r="DP40" s="56">
        <v>113.428</v>
      </c>
      <c r="DQ40" s="56">
        <v>114.62</v>
      </c>
      <c r="DR40" s="56">
        <v>114.852</v>
      </c>
      <c r="DS40" s="56">
        <v>116.16800000000001</v>
      </c>
      <c r="DT40" s="56">
        <v>125.392</v>
      </c>
      <c r="DU40" s="56">
        <v>121.748</v>
      </c>
      <c r="DV40" s="56">
        <v>129.38800000000001</v>
      </c>
      <c r="DW40" s="56">
        <v>132.12799999999999</v>
      </c>
      <c r="DX40" s="56">
        <v>133.364</v>
      </c>
      <c r="DY40" s="56">
        <v>143.65199999999999</v>
      </c>
      <c r="DZ40" s="56">
        <v>145.547</v>
      </c>
      <c r="EA40" s="56">
        <v>146.352</v>
      </c>
      <c r="EB40" s="56">
        <v>152.89599999999999</v>
      </c>
      <c r="EC40" s="56">
        <v>155.30699999999999</v>
      </c>
      <c r="ED40" s="56">
        <v>154.37799999999999</v>
      </c>
      <c r="EE40" s="56">
        <v>158.02000000000001</v>
      </c>
      <c r="EF40" s="56">
        <v>174.22900000000001</v>
      </c>
      <c r="EG40" s="56">
        <v>170.506</v>
      </c>
      <c r="EH40" s="56">
        <v>177.77199999999999</v>
      </c>
      <c r="EI40" s="56">
        <v>182.69200000000001</v>
      </c>
      <c r="EJ40" s="56">
        <v>173.33</v>
      </c>
      <c r="EK40" s="56">
        <v>177.28200000000001</v>
      </c>
      <c r="EL40" s="56">
        <v>183.90799999999999</v>
      </c>
      <c r="EM40" s="56">
        <v>185.81800000000001</v>
      </c>
      <c r="EN40" s="56">
        <v>179.68299999999999</v>
      </c>
      <c r="EO40" s="56">
        <v>182.94399999999999</v>
      </c>
      <c r="EP40" s="56">
        <v>175.95599999999999</v>
      </c>
      <c r="EQ40" s="56">
        <v>176.53</v>
      </c>
      <c r="ER40" s="56">
        <v>186.733</v>
      </c>
      <c r="ES40" s="56">
        <v>177.65899999999999</v>
      </c>
      <c r="ET40" s="56">
        <v>200.21799999999999</v>
      </c>
      <c r="EU40" s="56">
        <v>190.602</v>
      </c>
      <c r="EV40" s="56">
        <v>194.11099999999999</v>
      </c>
      <c r="EW40" s="56">
        <v>196.02799999999999</v>
      </c>
      <c r="EX40" s="56">
        <v>200.29400000000001</v>
      </c>
      <c r="EY40" s="56">
        <v>203.79400000000001</v>
      </c>
      <c r="EZ40" s="56">
        <v>205.059</v>
      </c>
      <c r="FA40" s="56">
        <v>208.505</v>
      </c>
      <c r="FB40" s="56">
        <v>256.94400000000002</v>
      </c>
      <c r="FC40" s="56">
        <v>274.66399999999999</v>
      </c>
      <c r="FD40" s="56">
        <v>263.92399999999998</v>
      </c>
      <c r="FE40" s="56">
        <v>261.94400000000002</v>
      </c>
      <c r="FF40" s="56">
        <v>271.84399999999999</v>
      </c>
      <c r="FG40" s="56">
        <v>272.45600000000002</v>
      </c>
      <c r="FH40" s="56">
        <v>283.69099999999997</v>
      </c>
      <c r="FI40" s="56">
        <v>297.60899999999998</v>
      </c>
      <c r="FJ40" s="56">
        <v>282.44499999999999</v>
      </c>
      <c r="FK40" s="56">
        <v>277.19600000000003</v>
      </c>
      <c r="FL40" s="56">
        <v>237.739</v>
      </c>
      <c r="FM40" s="56">
        <v>239.291</v>
      </c>
      <c r="FN40" s="56">
        <v>246.24799999999999</v>
      </c>
      <c r="FO40" s="56">
        <v>262.32400000000001</v>
      </c>
      <c r="FP40" s="56">
        <v>250.54</v>
      </c>
      <c r="FQ40" s="56">
        <v>259.56200000000001</v>
      </c>
      <c r="FR40" s="56">
        <v>258.45</v>
      </c>
      <c r="FS40" s="56">
        <v>270.887</v>
      </c>
      <c r="FT40" s="56">
        <v>269.279</v>
      </c>
      <c r="FU40" s="56">
        <v>269.98200000000003</v>
      </c>
      <c r="FV40" s="56">
        <v>291.58999999999997</v>
      </c>
      <c r="FW40" s="56">
        <v>307.77499999999998</v>
      </c>
      <c r="FX40" s="56">
        <v>332.4</v>
      </c>
      <c r="FY40" s="56">
        <v>335.61099999999999</v>
      </c>
      <c r="FZ40" s="56">
        <v>352.18799999999999</v>
      </c>
      <c r="GA40" s="56">
        <v>353.44200000000001</v>
      </c>
      <c r="GB40" s="56">
        <v>352.90899999999999</v>
      </c>
      <c r="GC40" s="56">
        <v>366.274</v>
      </c>
      <c r="GD40" s="56">
        <v>360.221</v>
      </c>
      <c r="GE40" s="56">
        <v>363.84399999999999</v>
      </c>
      <c r="GF40" s="56">
        <v>377.96699999999998</v>
      </c>
      <c r="GG40" s="56">
        <v>388.17599999999999</v>
      </c>
      <c r="GH40" s="56">
        <v>376.56400000000002</v>
      </c>
      <c r="GI40" s="56">
        <v>354.404</v>
      </c>
      <c r="GJ40" s="56">
        <v>375.43799999999999</v>
      </c>
      <c r="GK40" s="56">
        <v>382.68</v>
      </c>
      <c r="GL40" s="56">
        <v>389.90100000000001</v>
      </c>
      <c r="GM40" s="56">
        <v>385.517</v>
      </c>
      <c r="GN40" s="56">
        <v>390.85199999999998</v>
      </c>
      <c r="GO40" s="56">
        <v>391.92099999999999</v>
      </c>
      <c r="GP40" s="56">
        <v>405.36799999999999</v>
      </c>
      <c r="GQ40" s="56">
        <v>414.19600000000003</v>
      </c>
      <c r="GR40" s="56">
        <v>418.68599999999998</v>
      </c>
      <c r="GS40" s="56">
        <v>416.185</v>
      </c>
      <c r="GT40" s="56">
        <v>422.89</v>
      </c>
      <c r="GU40" s="56">
        <v>502.90600000000001</v>
      </c>
      <c r="GV40" s="56">
        <v>484.48</v>
      </c>
      <c r="GW40" s="56">
        <v>509.88400000000001</v>
      </c>
      <c r="GX40" s="56">
        <v>499.42899999999997</v>
      </c>
      <c r="GY40" s="56">
        <v>520.79</v>
      </c>
      <c r="GZ40" s="56">
        <v>545.32600000000002</v>
      </c>
      <c r="HA40" s="56">
        <v>567.61</v>
      </c>
      <c r="HB40" s="56">
        <v>589.92700000000002</v>
      </c>
      <c r="HC40">
        <v>585.74599999999998</v>
      </c>
      <c r="HD40">
        <v>617.88900000000001</v>
      </c>
      <c r="HE40">
        <v>611.67999999999995</v>
      </c>
      <c r="HF40">
        <v>632.66</v>
      </c>
      <c r="HG40">
        <v>628.88699999999994</v>
      </c>
      <c r="HH40">
        <v>585.98400000000004</v>
      </c>
      <c r="HI40">
        <v>612.03399999999999</v>
      </c>
      <c r="HJ40">
        <v>618.72699999999998</v>
      </c>
      <c r="HK40">
        <v>628.15700000000004</v>
      </c>
      <c r="HL40">
        <v>641.23699999999997</v>
      </c>
      <c r="HM40">
        <v>655.17499999999995</v>
      </c>
      <c r="HN40">
        <v>647.03</v>
      </c>
      <c r="HO40">
        <v>680.65800000000002</v>
      </c>
    </row>
    <row r="41" spans="1:223" x14ac:dyDescent="0.35">
      <c r="A41" s="56" t="s">
        <v>2276</v>
      </c>
      <c r="B41" s="56">
        <v>5.5759999999999996</v>
      </c>
      <c r="C41" s="56">
        <v>5.2279999999999998</v>
      </c>
      <c r="D41" s="56">
        <v>4.8159999999999998</v>
      </c>
      <c r="E41" s="56">
        <v>4.9000000000000004</v>
      </c>
      <c r="F41" s="56">
        <v>5.4640000000000004</v>
      </c>
      <c r="G41" s="56">
        <v>6.3120000000000003</v>
      </c>
      <c r="H41" s="56">
        <v>5.7560000000000002</v>
      </c>
      <c r="I41" s="56">
        <v>5.6440000000000001</v>
      </c>
      <c r="J41" s="56">
        <v>5.6680000000000001</v>
      </c>
      <c r="K41" s="56">
        <v>5.2160000000000002</v>
      </c>
      <c r="L41" s="56">
        <v>6.7240000000000002</v>
      </c>
      <c r="M41" s="56">
        <v>5.7</v>
      </c>
      <c r="N41" s="56">
        <v>5.74</v>
      </c>
      <c r="O41" s="56">
        <v>6.2080000000000002</v>
      </c>
      <c r="P41" s="56">
        <v>5.3440000000000003</v>
      </c>
      <c r="Q41" s="56">
        <v>5.92</v>
      </c>
      <c r="R41" s="56">
        <v>7.76</v>
      </c>
      <c r="S41" s="56">
        <v>8.5719999999999992</v>
      </c>
      <c r="T41" s="56">
        <v>6.4960000000000004</v>
      </c>
      <c r="U41" s="56">
        <v>7.84</v>
      </c>
      <c r="V41" s="56">
        <v>8.6519999999999992</v>
      </c>
      <c r="W41" s="56">
        <v>7.8040000000000003</v>
      </c>
      <c r="X41" s="56">
        <v>10.772</v>
      </c>
      <c r="Y41" s="56">
        <v>10.423999999999999</v>
      </c>
      <c r="Z41" s="56">
        <v>10.012</v>
      </c>
      <c r="AA41" s="56">
        <v>9.76</v>
      </c>
      <c r="AB41" s="56">
        <v>10.592000000000001</v>
      </c>
      <c r="AC41" s="56">
        <v>11.108000000000001</v>
      </c>
      <c r="AD41" s="56">
        <v>10.715999999999999</v>
      </c>
      <c r="AE41" s="56">
        <v>10.651999999999999</v>
      </c>
      <c r="AF41" s="56">
        <v>11.804</v>
      </c>
      <c r="AG41" s="56">
        <v>10.7</v>
      </c>
      <c r="AH41" s="56">
        <v>10.968</v>
      </c>
      <c r="AI41" s="56">
        <v>11.528</v>
      </c>
      <c r="AJ41" s="56">
        <v>11.907999999999999</v>
      </c>
      <c r="AK41" s="56">
        <v>12.528</v>
      </c>
      <c r="AL41" s="56">
        <v>13.592000000000001</v>
      </c>
      <c r="AM41" s="56">
        <v>13.048</v>
      </c>
      <c r="AN41" s="56">
        <v>14.292</v>
      </c>
      <c r="AO41" s="56">
        <v>15.752000000000001</v>
      </c>
      <c r="AP41" s="56">
        <v>16.260000000000002</v>
      </c>
      <c r="AQ41" s="56">
        <v>16.536000000000001</v>
      </c>
      <c r="AR41" s="56">
        <v>15.916</v>
      </c>
      <c r="AS41" s="56">
        <v>16.628</v>
      </c>
      <c r="AT41" s="56">
        <v>16.091999999999999</v>
      </c>
      <c r="AU41" s="56">
        <v>15.715999999999999</v>
      </c>
      <c r="AV41" s="56">
        <v>14.827999999999999</v>
      </c>
      <c r="AW41" s="56">
        <v>15.012</v>
      </c>
      <c r="AX41" s="56">
        <v>13.852</v>
      </c>
      <c r="AY41" s="56">
        <v>14.552</v>
      </c>
      <c r="AZ41" s="56">
        <v>14.544</v>
      </c>
      <c r="BA41" s="56">
        <v>14.484</v>
      </c>
      <c r="BB41" s="56">
        <v>15.9</v>
      </c>
      <c r="BC41" s="56">
        <v>14.2</v>
      </c>
      <c r="BD41" s="56">
        <v>15.904</v>
      </c>
      <c r="BE41" s="56">
        <v>15.768000000000001</v>
      </c>
      <c r="BF41" s="56">
        <v>16.556000000000001</v>
      </c>
      <c r="BG41" s="56">
        <v>17.236000000000001</v>
      </c>
      <c r="BH41" s="56">
        <v>18.091999999999999</v>
      </c>
      <c r="BI41" s="56">
        <v>18.824000000000002</v>
      </c>
      <c r="BJ41" s="56">
        <v>17.044</v>
      </c>
      <c r="BK41" s="56">
        <v>19.408000000000001</v>
      </c>
      <c r="BL41" s="56">
        <v>20.036000000000001</v>
      </c>
      <c r="BM41" s="56">
        <v>21.184000000000001</v>
      </c>
      <c r="BN41" s="56">
        <v>19.72</v>
      </c>
      <c r="BO41" s="56">
        <v>20.556000000000001</v>
      </c>
      <c r="BP41" s="56">
        <v>21.283999999999999</v>
      </c>
      <c r="BQ41" s="56">
        <v>18.32</v>
      </c>
      <c r="BR41" s="56">
        <v>18.760000000000002</v>
      </c>
      <c r="BS41" s="56">
        <v>19.559999999999999</v>
      </c>
      <c r="BT41" s="56">
        <v>18.827999999999999</v>
      </c>
      <c r="BU41" s="56">
        <v>18.696000000000002</v>
      </c>
      <c r="BV41" s="56">
        <v>18.972000000000001</v>
      </c>
      <c r="BW41" s="56">
        <v>19.835999999999999</v>
      </c>
      <c r="BX41" s="56">
        <v>20.388000000000002</v>
      </c>
      <c r="BY41" s="56">
        <v>19.283999999999999</v>
      </c>
      <c r="BZ41" s="56">
        <v>20.192</v>
      </c>
      <c r="CA41" s="56">
        <v>19.936</v>
      </c>
      <c r="CB41" s="56">
        <v>18.832000000000001</v>
      </c>
      <c r="CC41" s="56">
        <v>20.492000000000001</v>
      </c>
      <c r="CD41" s="56">
        <v>21.448</v>
      </c>
      <c r="CE41" s="56">
        <v>20.184000000000001</v>
      </c>
      <c r="CF41" s="56">
        <v>20.507999999999999</v>
      </c>
      <c r="CG41" s="56">
        <v>21.187999999999999</v>
      </c>
      <c r="CH41" s="56">
        <v>21.552</v>
      </c>
      <c r="CI41" s="56">
        <v>21.611999999999998</v>
      </c>
      <c r="CJ41" s="56">
        <v>21.056000000000001</v>
      </c>
      <c r="CK41" s="56">
        <v>20.611999999999998</v>
      </c>
      <c r="CL41" s="56">
        <v>21.388000000000002</v>
      </c>
      <c r="CM41" s="56">
        <v>22.8</v>
      </c>
      <c r="CN41" s="56">
        <v>22.288</v>
      </c>
      <c r="CO41" s="56">
        <v>23.064</v>
      </c>
      <c r="CP41" s="56">
        <v>21.783999999999999</v>
      </c>
      <c r="CQ41" s="56">
        <v>22.472000000000001</v>
      </c>
      <c r="CR41" s="56">
        <v>24.884</v>
      </c>
      <c r="CS41" s="56">
        <v>24.763999999999999</v>
      </c>
      <c r="CT41" s="56">
        <v>23.632000000000001</v>
      </c>
      <c r="CU41" s="56">
        <v>23.952000000000002</v>
      </c>
      <c r="CV41" s="56">
        <v>25.152000000000001</v>
      </c>
      <c r="CW41" s="56">
        <v>26.475999999999999</v>
      </c>
      <c r="CX41" s="56">
        <v>27.744</v>
      </c>
      <c r="CY41" s="56">
        <v>28.027999999999999</v>
      </c>
      <c r="CZ41" s="56">
        <v>26.448</v>
      </c>
      <c r="DA41" s="56">
        <v>26.815999999999999</v>
      </c>
      <c r="DB41" s="56">
        <v>29.135999999999999</v>
      </c>
      <c r="DC41" s="56">
        <v>27.904</v>
      </c>
      <c r="DD41" s="56">
        <v>27.116</v>
      </c>
      <c r="DE41" s="56">
        <v>28.72</v>
      </c>
      <c r="DF41" s="56">
        <v>28.4</v>
      </c>
      <c r="DG41" s="56">
        <v>29.015999999999998</v>
      </c>
      <c r="DH41" s="56">
        <v>29.084</v>
      </c>
      <c r="DI41" s="56">
        <v>28.744</v>
      </c>
      <c r="DJ41" s="56">
        <v>27.052</v>
      </c>
      <c r="DK41" s="56">
        <v>27.335999999999999</v>
      </c>
      <c r="DL41" s="56">
        <v>29.103999999999999</v>
      </c>
      <c r="DM41" s="56">
        <v>31.231999999999999</v>
      </c>
      <c r="DN41" s="56">
        <v>27.78</v>
      </c>
      <c r="DO41" s="56">
        <v>32.192</v>
      </c>
      <c r="DP41" s="56">
        <v>34.264000000000003</v>
      </c>
      <c r="DQ41" s="56">
        <v>34.124000000000002</v>
      </c>
      <c r="DR41" s="56">
        <v>35.572000000000003</v>
      </c>
      <c r="DS41" s="56">
        <v>36.04</v>
      </c>
      <c r="DT41" s="56">
        <v>35.728000000000002</v>
      </c>
      <c r="DU41" s="56">
        <v>39.26</v>
      </c>
      <c r="DV41" s="56">
        <v>40.316000000000003</v>
      </c>
      <c r="DW41" s="56">
        <v>43.008000000000003</v>
      </c>
      <c r="DX41" s="56">
        <v>42.667999999999999</v>
      </c>
      <c r="DY41" s="56">
        <v>43.008000000000003</v>
      </c>
      <c r="DZ41" s="56">
        <v>50.609000000000002</v>
      </c>
      <c r="EA41" s="56">
        <v>45.405000000000001</v>
      </c>
      <c r="EB41" s="56">
        <v>41.341999999999999</v>
      </c>
      <c r="EC41" s="56">
        <v>44.814</v>
      </c>
      <c r="ED41" s="56">
        <v>43.170999999999999</v>
      </c>
      <c r="EE41" s="56">
        <v>48.719000000000001</v>
      </c>
      <c r="EF41" s="56">
        <v>46.442999999999998</v>
      </c>
      <c r="EG41" s="56">
        <v>45.506999999999998</v>
      </c>
      <c r="EH41" s="56">
        <v>47.600999999999999</v>
      </c>
      <c r="EI41" s="56">
        <v>44.213000000000001</v>
      </c>
      <c r="EJ41" s="56">
        <v>50.412999999999997</v>
      </c>
      <c r="EK41" s="56">
        <v>44.947000000000003</v>
      </c>
      <c r="EL41" s="56">
        <v>49.942999999999998</v>
      </c>
      <c r="EM41" s="56">
        <v>51.171999999999997</v>
      </c>
      <c r="EN41" s="56">
        <v>47.383000000000003</v>
      </c>
      <c r="EO41" s="56">
        <v>49.225000000000001</v>
      </c>
      <c r="EP41" s="56">
        <v>53.557000000000002</v>
      </c>
      <c r="EQ41" s="56">
        <v>53.237000000000002</v>
      </c>
      <c r="ER41" s="56">
        <v>52.164999999999999</v>
      </c>
      <c r="ES41" s="56">
        <v>51.704000000000001</v>
      </c>
      <c r="ET41" s="56">
        <v>50.936999999999998</v>
      </c>
      <c r="EU41" s="56">
        <v>56.121000000000002</v>
      </c>
      <c r="EV41" s="56">
        <v>55.527999999999999</v>
      </c>
      <c r="EW41" s="56">
        <v>54.619</v>
      </c>
      <c r="EX41" s="56">
        <v>56.613</v>
      </c>
      <c r="EY41" s="56">
        <v>58.841999999999999</v>
      </c>
      <c r="EZ41" s="56">
        <v>56.868000000000002</v>
      </c>
      <c r="FA41" s="56">
        <v>58.177</v>
      </c>
      <c r="FB41" s="56">
        <v>58.334000000000003</v>
      </c>
      <c r="FC41" s="56">
        <v>59.643000000000001</v>
      </c>
      <c r="FD41" s="56">
        <v>67.126000000000005</v>
      </c>
      <c r="FE41" s="56">
        <v>68.543000000000006</v>
      </c>
      <c r="FF41" s="56">
        <v>64.721000000000004</v>
      </c>
      <c r="FG41" s="56">
        <v>73.736999999999995</v>
      </c>
      <c r="FH41" s="56">
        <v>74.820999999999998</v>
      </c>
      <c r="FI41" s="56">
        <v>75.022000000000006</v>
      </c>
      <c r="FJ41" s="56">
        <v>70.503</v>
      </c>
      <c r="FK41" s="56">
        <v>69.144999999999996</v>
      </c>
      <c r="FL41" s="56">
        <v>65.915999999999997</v>
      </c>
      <c r="FM41" s="56">
        <v>70.531000000000006</v>
      </c>
      <c r="FN41" s="56">
        <v>67.106999999999999</v>
      </c>
      <c r="FO41" s="56">
        <v>67.67</v>
      </c>
      <c r="FP41" s="56">
        <v>65.88</v>
      </c>
      <c r="FQ41" s="56">
        <v>65.507000000000005</v>
      </c>
      <c r="FR41" s="56">
        <v>67.563999999999993</v>
      </c>
      <c r="FS41" s="56">
        <v>63.978999999999999</v>
      </c>
      <c r="FT41" s="56">
        <v>68.013999999999996</v>
      </c>
      <c r="FU41" s="56">
        <v>65.742000000000004</v>
      </c>
      <c r="FV41" s="56">
        <v>65.275999999999996</v>
      </c>
      <c r="FW41" s="56">
        <v>67.164000000000001</v>
      </c>
      <c r="FX41" s="56">
        <v>68.84</v>
      </c>
      <c r="FY41" s="56">
        <v>61.402999999999999</v>
      </c>
      <c r="FZ41" s="56">
        <v>63.533999999999999</v>
      </c>
      <c r="GA41" s="56">
        <v>62.906999999999996</v>
      </c>
      <c r="GB41" s="56">
        <v>66.760000000000005</v>
      </c>
      <c r="GC41" s="56">
        <v>64.462000000000003</v>
      </c>
      <c r="GD41" s="56">
        <v>66.301000000000002</v>
      </c>
      <c r="GE41" s="56">
        <v>67.191000000000003</v>
      </c>
      <c r="GF41" s="56">
        <v>68.578000000000003</v>
      </c>
      <c r="GG41" s="56">
        <v>66.980999999999995</v>
      </c>
      <c r="GH41" s="56">
        <v>67.222999999999999</v>
      </c>
      <c r="GI41" s="56">
        <v>69.478999999999999</v>
      </c>
      <c r="GJ41" s="56">
        <v>64.623999999999995</v>
      </c>
      <c r="GK41" s="56">
        <v>65.736999999999995</v>
      </c>
      <c r="GL41" s="56">
        <v>65.069000000000003</v>
      </c>
      <c r="GM41" s="56">
        <v>65.826999999999998</v>
      </c>
      <c r="GN41" s="56">
        <v>70.346000000000004</v>
      </c>
      <c r="GO41" s="56">
        <v>66.262</v>
      </c>
      <c r="GP41" s="56">
        <v>67.563999999999993</v>
      </c>
      <c r="GQ41" s="56">
        <v>67.513999999999996</v>
      </c>
      <c r="GR41" s="56">
        <v>70.83</v>
      </c>
      <c r="GS41" s="56">
        <v>72.497</v>
      </c>
      <c r="GT41" s="56">
        <v>75.649000000000001</v>
      </c>
      <c r="GU41" s="56">
        <v>75.483999999999995</v>
      </c>
      <c r="GV41" s="56">
        <v>79.444000000000003</v>
      </c>
      <c r="GW41" s="56">
        <v>75.742999999999995</v>
      </c>
      <c r="GX41" s="56">
        <v>73.183000000000007</v>
      </c>
      <c r="GY41" s="56">
        <v>74.421000000000006</v>
      </c>
      <c r="GZ41" s="56">
        <v>70.334000000000003</v>
      </c>
      <c r="HA41" s="56">
        <v>72.707999999999998</v>
      </c>
      <c r="HB41" s="56">
        <v>75.024000000000001</v>
      </c>
      <c r="HC41">
        <v>427.625</v>
      </c>
      <c r="HD41">
        <v>145.124</v>
      </c>
      <c r="HE41">
        <v>81.415999999999997</v>
      </c>
      <c r="HF41">
        <v>81.027000000000001</v>
      </c>
      <c r="HG41">
        <v>89.128</v>
      </c>
      <c r="HH41">
        <v>92.77</v>
      </c>
      <c r="HI41">
        <v>90.915000000000006</v>
      </c>
      <c r="HJ41">
        <v>93.025000000000006</v>
      </c>
      <c r="HK41">
        <v>95.403000000000006</v>
      </c>
      <c r="HL41">
        <v>100.43</v>
      </c>
      <c r="HM41">
        <v>179.066</v>
      </c>
      <c r="HN41">
        <v>105.753</v>
      </c>
      <c r="HO41">
        <v>103.18899999999999</v>
      </c>
    </row>
    <row r="42" spans="1:223" x14ac:dyDescent="0.35">
      <c r="A42" s="56" t="s">
        <v>2277</v>
      </c>
      <c r="B42" s="56">
        <v>4.7</v>
      </c>
      <c r="C42" s="56">
        <v>4.8</v>
      </c>
      <c r="D42" s="56">
        <v>4.7</v>
      </c>
      <c r="E42" s="56">
        <v>4.8</v>
      </c>
      <c r="F42" s="56">
        <v>4.7</v>
      </c>
      <c r="G42" s="56">
        <v>4.8</v>
      </c>
      <c r="H42" s="56">
        <v>4.5</v>
      </c>
      <c r="I42" s="56">
        <v>4.5999999999999996</v>
      </c>
      <c r="J42" s="56">
        <v>6.1</v>
      </c>
      <c r="K42" s="56">
        <v>6.2</v>
      </c>
      <c r="L42" s="56">
        <v>7.1</v>
      </c>
      <c r="M42" s="56">
        <v>7</v>
      </c>
      <c r="N42" s="56">
        <v>5.9</v>
      </c>
      <c r="O42" s="56">
        <v>5.6</v>
      </c>
      <c r="P42" s="56">
        <v>4.5999999999999996</v>
      </c>
      <c r="Q42" s="56">
        <v>4.5</v>
      </c>
      <c r="R42" s="56">
        <v>3.5</v>
      </c>
      <c r="S42" s="56">
        <v>2.8</v>
      </c>
      <c r="T42" s="56">
        <v>3.1</v>
      </c>
      <c r="U42" s="56">
        <v>3.5</v>
      </c>
      <c r="V42" s="56">
        <v>4.0999999999999996</v>
      </c>
      <c r="W42" s="56">
        <v>4.0999999999999996</v>
      </c>
      <c r="X42" s="56">
        <v>4.4000000000000004</v>
      </c>
      <c r="Y42" s="56">
        <v>4.8</v>
      </c>
      <c r="Z42" s="56">
        <v>5</v>
      </c>
      <c r="AA42" s="56">
        <v>4.7</v>
      </c>
      <c r="AB42" s="56">
        <v>4.9000000000000004</v>
      </c>
      <c r="AC42" s="56">
        <v>5.3</v>
      </c>
      <c r="AD42" s="56">
        <v>5.6</v>
      </c>
      <c r="AE42" s="56">
        <v>5.7</v>
      </c>
      <c r="AF42" s="56">
        <v>6.2</v>
      </c>
      <c r="AG42" s="56">
        <v>10.1</v>
      </c>
      <c r="AH42" s="56">
        <v>8.5</v>
      </c>
      <c r="AI42" s="56">
        <v>8.1</v>
      </c>
      <c r="AJ42" s="56">
        <v>8</v>
      </c>
      <c r="AK42" s="56">
        <v>10.1</v>
      </c>
      <c r="AL42" s="56">
        <v>8.1</v>
      </c>
      <c r="AM42" s="56">
        <v>8.5</v>
      </c>
      <c r="AN42" s="56">
        <v>7.8</v>
      </c>
      <c r="AO42" s="56">
        <v>8.5</v>
      </c>
      <c r="AP42" s="56">
        <v>8.9</v>
      </c>
      <c r="AQ42" s="56">
        <v>9.3000000000000007</v>
      </c>
      <c r="AR42" s="56">
        <v>9.6999999999999993</v>
      </c>
      <c r="AS42" s="56">
        <v>9.9</v>
      </c>
      <c r="AT42" s="56">
        <v>10.199999999999999</v>
      </c>
      <c r="AU42" s="56">
        <v>10.3</v>
      </c>
      <c r="AV42" s="56">
        <v>10.7</v>
      </c>
      <c r="AW42" s="56">
        <v>13.1</v>
      </c>
      <c r="AX42" s="56">
        <v>13.6</v>
      </c>
      <c r="AY42" s="56">
        <v>13.2</v>
      </c>
      <c r="AZ42" s="56">
        <v>12.6</v>
      </c>
      <c r="BA42" s="56">
        <v>19</v>
      </c>
      <c r="BB42" s="56">
        <v>19.399999999999999</v>
      </c>
      <c r="BC42" s="56">
        <v>21.1</v>
      </c>
      <c r="BD42" s="56">
        <v>21.8</v>
      </c>
      <c r="BE42" s="56">
        <v>21.1</v>
      </c>
      <c r="BF42" s="56">
        <v>20.8</v>
      </c>
      <c r="BG42" s="56">
        <v>20.6</v>
      </c>
      <c r="BH42" s="56">
        <v>20.5</v>
      </c>
      <c r="BI42" s="56">
        <v>20.8</v>
      </c>
      <c r="BJ42" s="56">
        <v>20.8</v>
      </c>
      <c r="BK42" s="56">
        <v>20.7</v>
      </c>
      <c r="BL42" s="56">
        <v>21</v>
      </c>
      <c r="BM42" s="56">
        <v>21.7</v>
      </c>
      <c r="BN42" s="56">
        <v>22.8</v>
      </c>
      <c r="BO42" s="56">
        <v>23.9</v>
      </c>
      <c r="BP42" s="56">
        <v>25.1</v>
      </c>
      <c r="BQ42" s="56">
        <v>26.5</v>
      </c>
      <c r="BR42" s="56">
        <v>28</v>
      </c>
      <c r="BS42" s="56">
        <v>30.2</v>
      </c>
      <c r="BT42" s="56">
        <v>31</v>
      </c>
      <c r="BU42" s="56">
        <v>30.8</v>
      </c>
      <c r="BV42" s="56">
        <v>30</v>
      </c>
      <c r="BW42" s="56">
        <v>29.5</v>
      </c>
      <c r="BX42" s="56">
        <v>28.9</v>
      </c>
      <c r="BY42" s="56">
        <v>28.2</v>
      </c>
      <c r="BZ42" s="56">
        <v>27.6</v>
      </c>
      <c r="CA42" s="56">
        <v>27</v>
      </c>
      <c r="CB42" s="56">
        <v>26.7</v>
      </c>
      <c r="CC42" s="56">
        <v>26.9</v>
      </c>
      <c r="CD42" s="56">
        <v>26.8</v>
      </c>
      <c r="CE42" s="56">
        <v>26.6</v>
      </c>
      <c r="CF42" s="56">
        <v>26.6</v>
      </c>
      <c r="CG42" s="56">
        <v>26.6</v>
      </c>
      <c r="CH42" s="56">
        <v>26.7</v>
      </c>
      <c r="CI42" s="56">
        <v>26.8</v>
      </c>
      <c r="CJ42" s="56">
        <v>27.1</v>
      </c>
      <c r="CK42" s="56">
        <v>27.7</v>
      </c>
      <c r="CL42" s="56">
        <v>28.2</v>
      </c>
      <c r="CM42" s="56">
        <v>28.8</v>
      </c>
      <c r="CN42" s="56">
        <v>30</v>
      </c>
      <c r="CO42" s="56">
        <v>31.8</v>
      </c>
      <c r="CP42" s="56">
        <v>35.1</v>
      </c>
      <c r="CQ42" s="56">
        <v>37.200000000000003</v>
      </c>
      <c r="CR42" s="56">
        <v>37.299999999999997</v>
      </c>
      <c r="CS42" s="56">
        <v>35.700000000000003</v>
      </c>
      <c r="CT42" s="56">
        <v>33.200000000000003</v>
      </c>
      <c r="CU42" s="56">
        <v>32</v>
      </c>
      <c r="CV42" s="56">
        <v>31.6</v>
      </c>
      <c r="CW42" s="56">
        <v>31.9</v>
      </c>
      <c r="CX42" s="56">
        <v>33.6</v>
      </c>
      <c r="CY42" s="56">
        <v>34.299999999999997</v>
      </c>
      <c r="CZ42" s="56">
        <v>34.799999999999997</v>
      </c>
      <c r="DA42" s="56">
        <v>35.200000000000003</v>
      </c>
      <c r="DB42" s="56">
        <v>35.200000000000003</v>
      </c>
      <c r="DC42" s="56">
        <v>35.1</v>
      </c>
      <c r="DD42" s="56">
        <v>34.9</v>
      </c>
      <c r="DE42" s="56">
        <v>34.4</v>
      </c>
      <c r="DF42" s="56">
        <v>34</v>
      </c>
      <c r="DG42" s="56">
        <v>33.200000000000003</v>
      </c>
      <c r="DH42" s="56">
        <v>33</v>
      </c>
      <c r="DI42" s="56">
        <v>33.299999999999997</v>
      </c>
      <c r="DJ42" s="56">
        <v>33.4</v>
      </c>
      <c r="DK42" s="56">
        <v>34.6</v>
      </c>
      <c r="DL42" s="56">
        <v>36.299999999999997</v>
      </c>
      <c r="DM42" s="56">
        <v>39.4</v>
      </c>
      <c r="DN42" s="56">
        <v>42</v>
      </c>
      <c r="DO42" s="56">
        <v>44.6</v>
      </c>
      <c r="DP42" s="56">
        <v>46</v>
      </c>
      <c r="DQ42" s="56">
        <v>46.5</v>
      </c>
      <c r="DR42" s="56">
        <v>44.6</v>
      </c>
      <c r="DS42" s="56">
        <v>45</v>
      </c>
      <c r="DT42" s="56">
        <v>45.3</v>
      </c>
      <c r="DU42" s="56">
        <v>46.4</v>
      </c>
      <c r="DV42" s="56">
        <v>47.2</v>
      </c>
      <c r="DW42" s="56">
        <v>47.6</v>
      </c>
      <c r="DX42" s="56">
        <v>66.3</v>
      </c>
      <c r="DY42" s="56">
        <v>43.1</v>
      </c>
      <c r="DZ42" s="56">
        <v>40.700000000000003</v>
      </c>
      <c r="EA42" s="56">
        <v>39.200000000000003</v>
      </c>
      <c r="EB42" s="56">
        <v>39.700000000000003</v>
      </c>
      <c r="EC42" s="56">
        <v>42.3</v>
      </c>
      <c r="ED42" s="56">
        <v>47</v>
      </c>
      <c r="EE42" s="56">
        <v>56.8</v>
      </c>
      <c r="EF42" s="56">
        <v>46.9</v>
      </c>
      <c r="EG42" s="56">
        <v>45.1</v>
      </c>
      <c r="EH42" s="56">
        <v>43.9</v>
      </c>
      <c r="EI42" s="56">
        <v>43.3</v>
      </c>
      <c r="EJ42" s="56">
        <v>45</v>
      </c>
      <c r="EK42" s="56">
        <v>51.9</v>
      </c>
      <c r="EL42" s="56">
        <v>56.4</v>
      </c>
      <c r="EM42" s="56">
        <v>60.3</v>
      </c>
      <c r="EN42" s="56">
        <v>61.6</v>
      </c>
      <c r="EO42" s="56">
        <v>63.9</v>
      </c>
      <c r="EP42" s="56">
        <v>55.4</v>
      </c>
      <c r="EQ42" s="56">
        <v>51.2</v>
      </c>
      <c r="ER42" s="56">
        <v>49.5</v>
      </c>
      <c r="ES42" s="56">
        <v>48.3</v>
      </c>
      <c r="ET42" s="56">
        <v>47.6</v>
      </c>
      <c r="EU42" s="56">
        <v>47.5</v>
      </c>
      <c r="EV42" s="56">
        <v>47.2</v>
      </c>
      <c r="EW42" s="56">
        <v>47.5</v>
      </c>
      <c r="EX42" s="56">
        <v>48</v>
      </c>
      <c r="EY42" s="56">
        <v>48.7</v>
      </c>
      <c r="EZ42" s="56">
        <v>49.8</v>
      </c>
      <c r="FA42" s="56">
        <v>51.8</v>
      </c>
      <c r="FB42" s="56">
        <v>53.4</v>
      </c>
      <c r="FC42" s="56">
        <v>54.3</v>
      </c>
      <c r="FD42" s="56">
        <v>65.900000000000006</v>
      </c>
      <c r="FE42" s="56">
        <v>54.3</v>
      </c>
      <c r="FF42" s="56">
        <v>53.2</v>
      </c>
      <c r="FG42" s="56">
        <v>53.4</v>
      </c>
      <c r="FH42" s="56">
        <v>54.4</v>
      </c>
      <c r="FI42" s="56">
        <v>56</v>
      </c>
      <c r="FJ42" s="56">
        <v>58</v>
      </c>
      <c r="FK42" s="56">
        <v>59.5</v>
      </c>
      <c r="FL42" s="56">
        <v>59.7</v>
      </c>
      <c r="FM42" s="56">
        <v>60.6</v>
      </c>
      <c r="FN42" s="56">
        <v>57.9</v>
      </c>
      <c r="FO42" s="56">
        <v>57.6</v>
      </c>
      <c r="FP42" s="56">
        <v>55.8</v>
      </c>
      <c r="FQ42" s="56">
        <v>58.9</v>
      </c>
      <c r="FR42" s="56">
        <v>58.9</v>
      </c>
      <c r="FS42" s="56">
        <v>59.6</v>
      </c>
      <c r="FT42" s="56">
        <v>59.5</v>
      </c>
      <c r="FU42" s="56">
        <v>58.9</v>
      </c>
      <c r="FV42" s="56">
        <v>58.2</v>
      </c>
      <c r="FW42" s="56">
        <v>58</v>
      </c>
      <c r="FX42" s="56">
        <v>57.7</v>
      </c>
      <c r="FY42" s="56">
        <v>56.5</v>
      </c>
      <c r="FZ42" s="56">
        <v>55.5</v>
      </c>
      <c r="GA42" s="56">
        <v>55.9</v>
      </c>
      <c r="GB42" s="56">
        <v>57.2</v>
      </c>
      <c r="GC42" s="56">
        <v>58.1</v>
      </c>
      <c r="GD42" s="56">
        <v>60.2</v>
      </c>
      <c r="GE42" s="56">
        <v>61.8</v>
      </c>
      <c r="GF42" s="56">
        <v>62.5</v>
      </c>
      <c r="GG42" s="56">
        <v>60.4</v>
      </c>
      <c r="GH42" s="56">
        <v>58.8</v>
      </c>
      <c r="GI42" s="56">
        <v>57.5</v>
      </c>
      <c r="GJ42" s="56">
        <v>61.4</v>
      </c>
      <c r="GK42" s="56">
        <v>59.6</v>
      </c>
      <c r="GL42" s="56">
        <v>58.1</v>
      </c>
      <c r="GM42" s="56">
        <v>57.7</v>
      </c>
      <c r="GN42" s="56">
        <v>57.3</v>
      </c>
      <c r="GO42" s="56">
        <v>77.900000000000006</v>
      </c>
      <c r="GP42" s="56">
        <v>68.5</v>
      </c>
      <c r="GQ42" s="56">
        <v>58.3</v>
      </c>
      <c r="GR42" s="56">
        <v>80.599999999999994</v>
      </c>
      <c r="GS42" s="56">
        <v>82.1</v>
      </c>
      <c r="GT42" s="56">
        <v>80</v>
      </c>
      <c r="GU42" s="56">
        <v>1031.8</v>
      </c>
      <c r="GV42" s="56">
        <v>1163.3</v>
      </c>
      <c r="GW42" s="56">
        <v>516.4</v>
      </c>
      <c r="GX42" s="56">
        <v>518.1</v>
      </c>
      <c r="GY42" s="56">
        <v>822</v>
      </c>
      <c r="GZ42" s="56">
        <v>673.4</v>
      </c>
      <c r="HA42" s="56">
        <v>413.4</v>
      </c>
      <c r="HB42" s="56">
        <v>150.80000000000001</v>
      </c>
      <c r="HC42">
        <v>129.30000000000001</v>
      </c>
      <c r="HD42">
        <v>118.4</v>
      </c>
      <c r="HE42">
        <v>110.8</v>
      </c>
      <c r="HF42">
        <v>103.8</v>
      </c>
      <c r="HG42">
        <v>101.8</v>
      </c>
      <c r="HH42">
        <v>104</v>
      </c>
      <c r="HI42">
        <v>98.9</v>
      </c>
      <c r="HJ42">
        <v>96.1</v>
      </c>
      <c r="HK42">
        <v>93.7</v>
      </c>
      <c r="HL42">
        <v>92.1</v>
      </c>
      <c r="HM42">
        <v>93.5</v>
      </c>
      <c r="HN42">
        <v>104.1</v>
      </c>
      <c r="HO42">
        <v>116.5</v>
      </c>
    </row>
    <row r="43" spans="1:223" x14ac:dyDescent="0.35">
      <c r="A43" s="56" t="s">
        <v>2278</v>
      </c>
      <c r="B43" s="56">
        <v>0</v>
      </c>
      <c r="C43" s="56">
        <v>0</v>
      </c>
      <c r="D43" s="56">
        <v>0</v>
      </c>
      <c r="E43" s="56">
        <v>0</v>
      </c>
      <c r="F43" s="56">
        <v>0</v>
      </c>
      <c r="G43" s="56">
        <v>0</v>
      </c>
      <c r="H43" s="56">
        <v>0</v>
      </c>
      <c r="I43" s="56">
        <v>0</v>
      </c>
      <c r="J43" s="56">
        <v>0</v>
      </c>
      <c r="K43" s="56">
        <v>0.1</v>
      </c>
      <c r="L43" s="56">
        <v>0.1</v>
      </c>
      <c r="M43" s="56">
        <v>0.1</v>
      </c>
      <c r="N43" s="56">
        <v>0.1</v>
      </c>
      <c r="O43" s="56">
        <v>0.1</v>
      </c>
      <c r="P43" s="56">
        <v>0.1</v>
      </c>
      <c r="Q43" s="56">
        <v>0.1</v>
      </c>
      <c r="R43" s="56">
        <v>0.1</v>
      </c>
      <c r="S43" s="56">
        <v>0.1</v>
      </c>
      <c r="T43" s="56">
        <v>0.1</v>
      </c>
      <c r="U43" s="56">
        <v>0.1</v>
      </c>
      <c r="V43" s="56">
        <v>0.1</v>
      </c>
      <c r="W43" s="56">
        <v>0.2</v>
      </c>
      <c r="X43" s="56">
        <v>0.2</v>
      </c>
      <c r="Y43" s="56">
        <v>0.2</v>
      </c>
      <c r="Z43" s="56">
        <v>0.2</v>
      </c>
      <c r="AA43" s="56">
        <v>0.2</v>
      </c>
      <c r="AB43" s="56">
        <v>0.2</v>
      </c>
      <c r="AC43" s="56">
        <v>0.2</v>
      </c>
      <c r="AD43" s="56">
        <v>0.2</v>
      </c>
      <c r="AE43" s="56">
        <v>0.2</v>
      </c>
      <c r="AF43" s="56">
        <v>0.2</v>
      </c>
      <c r="AG43" s="56">
        <v>0.2</v>
      </c>
      <c r="AH43" s="56">
        <v>0.2</v>
      </c>
      <c r="AI43" s="56">
        <v>0.2</v>
      </c>
      <c r="AJ43" s="56">
        <v>0.2</v>
      </c>
      <c r="AK43" s="56">
        <v>0.3</v>
      </c>
      <c r="AL43" s="56">
        <v>0.3</v>
      </c>
      <c r="AM43" s="56">
        <v>0.3</v>
      </c>
      <c r="AN43" s="56">
        <v>0.3</v>
      </c>
      <c r="AO43" s="56">
        <v>0.3</v>
      </c>
      <c r="AP43" s="56">
        <v>0.3</v>
      </c>
      <c r="AQ43" s="56">
        <v>0.3</v>
      </c>
      <c r="AR43" s="56">
        <v>0.4</v>
      </c>
      <c r="AS43" s="56">
        <v>0.4</v>
      </c>
      <c r="AT43" s="56">
        <v>0.4</v>
      </c>
      <c r="AU43" s="56">
        <v>0.4</v>
      </c>
      <c r="AV43" s="56">
        <v>0.4</v>
      </c>
      <c r="AW43" s="56">
        <v>0.4</v>
      </c>
      <c r="AX43" s="56">
        <v>0.4</v>
      </c>
      <c r="AY43" s="56">
        <v>0.5</v>
      </c>
      <c r="AZ43" s="56">
        <v>0.5</v>
      </c>
      <c r="BA43" s="56">
        <v>0.5</v>
      </c>
      <c r="BB43" s="56">
        <v>0.5</v>
      </c>
      <c r="BC43" s="56">
        <v>0.4</v>
      </c>
      <c r="BD43" s="56">
        <v>0.4</v>
      </c>
      <c r="BE43" s="56">
        <v>0.4</v>
      </c>
      <c r="BF43" s="56">
        <v>0.4</v>
      </c>
      <c r="BG43" s="56">
        <v>0.4</v>
      </c>
      <c r="BH43" s="56">
        <v>0.4</v>
      </c>
      <c r="BI43" s="56">
        <v>0.4</v>
      </c>
      <c r="BJ43" s="56">
        <v>0.3</v>
      </c>
      <c r="BK43" s="56">
        <v>0.3</v>
      </c>
      <c r="BL43" s="56">
        <v>0.3</v>
      </c>
      <c r="BM43" s="56">
        <v>0.3</v>
      </c>
      <c r="BN43" s="56">
        <v>0.3</v>
      </c>
      <c r="BO43" s="56">
        <v>0.3</v>
      </c>
      <c r="BP43" s="56">
        <v>0.3</v>
      </c>
      <c r="BQ43" s="56">
        <v>0.3</v>
      </c>
      <c r="BR43" s="56">
        <v>0.3</v>
      </c>
      <c r="BS43" s="56">
        <v>0.3</v>
      </c>
      <c r="BT43" s="56">
        <v>0.3</v>
      </c>
      <c r="BU43" s="56">
        <v>0.3</v>
      </c>
      <c r="BV43" s="56">
        <v>0.3</v>
      </c>
      <c r="BW43" s="56">
        <v>0.3</v>
      </c>
      <c r="BX43" s="56">
        <v>0.4</v>
      </c>
      <c r="BY43" s="56">
        <v>0.4</v>
      </c>
      <c r="BZ43" s="56">
        <v>0.4</v>
      </c>
      <c r="CA43" s="56">
        <v>0.4</v>
      </c>
      <c r="CB43" s="56">
        <v>0.4</v>
      </c>
      <c r="CC43" s="56">
        <v>0.4</v>
      </c>
      <c r="CD43" s="56">
        <v>0.4</v>
      </c>
      <c r="CE43" s="56">
        <v>0.4</v>
      </c>
      <c r="CF43" s="56">
        <v>0.4</v>
      </c>
      <c r="CG43" s="56">
        <v>0.4</v>
      </c>
      <c r="CH43" s="56">
        <v>0.4</v>
      </c>
      <c r="CI43" s="56">
        <v>0.4</v>
      </c>
      <c r="CJ43" s="56">
        <v>0.4</v>
      </c>
      <c r="CK43" s="56">
        <v>0.4</v>
      </c>
      <c r="CL43" s="56">
        <v>0.4</v>
      </c>
      <c r="CM43" s="56">
        <v>0.4</v>
      </c>
      <c r="CN43" s="56">
        <v>0.4</v>
      </c>
      <c r="CO43" s="56">
        <v>0.4</v>
      </c>
      <c r="CP43" s="56">
        <v>0.4</v>
      </c>
      <c r="CQ43" s="56">
        <v>0.4</v>
      </c>
      <c r="CR43" s="56">
        <v>0.4</v>
      </c>
      <c r="CS43" s="56">
        <v>0.4</v>
      </c>
      <c r="CT43" s="56">
        <v>0.4</v>
      </c>
      <c r="CU43" s="56">
        <v>0.3</v>
      </c>
      <c r="CV43" s="56">
        <v>0.3</v>
      </c>
      <c r="CW43" s="56">
        <v>0.3</v>
      </c>
      <c r="CX43" s="56">
        <v>0.3</v>
      </c>
      <c r="CY43" s="56">
        <v>0.3</v>
      </c>
      <c r="CZ43" s="56">
        <v>0.3</v>
      </c>
      <c r="DA43" s="56">
        <v>0.3</v>
      </c>
      <c r="DB43" s="56">
        <v>0.3</v>
      </c>
      <c r="DC43" s="56">
        <v>0.3</v>
      </c>
      <c r="DD43" s="56">
        <v>0.3</v>
      </c>
      <c r="DE43" s="56">
        <v>0.4</v>
      </c>
      <c r="DF43" s="56">
        <v>0.4</v>
      </c>
      <c r="DG43" s="56">
        <v>0.4</v>
      </c>
      <c r="DH43" s="56">
        <v>0.4</v>
      </c>
      <c r="DI43" s="56">
        <v>0.5</v>
      </c>
      <c r="DJ43" s="56">
        <v>0.5</v>
      </c>
      <c r="DK43" s="56">
        <v>0.5</v>
      </c>
      <c r="DL43" s="56">
        <v>0.4</v>
      </c>
      <c r="DM43" s="56">
        <v>0.4</v>
      </c>
      <c r="DN43" s="56">
        <v>0.4</v>
      </c>
      <c r="DO43" s="56">
        <v>0.4</v>
      </c>
      <c r="DP43" s="56">
        <v>0.4</v>
      </c>
      <c r="DQ43" s="56">
        <v>0.4</v>
      </c>
      <c r="DR43" s="56">
        <v>0.5</v>
      </c>
      <c r="DS43" s="56">
        <v>0.5</v>
      </c>
      <c r="DT43" s="56">
        <v>0.6</v>
      </c>
      <c r="DU43" s="56">
        <v>0.6</v>
      </c>
      <c r="DV43" s="56">
        <v>8</v>
      </c>
      <c r="DW43" s="56">
        <v>14.4</v>
      </c>
      <c r="DX43" s="56">
        <v>4.8</v>
      </c>
      <c r="DY43" s="56">
        <v>3.4</v>
      </c>
      <c r="DZ43" s="56">
        <v>1.8</v>
      </c>
      <c r="EA43" s="56">
        <v>0.6</v>
      </c>
      <c r="EB43" s="56">
        <v>1.7</v>
      </c>
      <c r="EC43" s="56">
        <v>-0.4</v>
      </c>
      <c r="ED43" s="56">
        <v>0.1</v>
      </c>
      <c r="EE43" s="56">
        <v>0.3</v>
      </c>
      <c r="EF43" s="56">
        <v>-1</v>
      </c>
      <c r="EG43" s="56">
        <v>0.9</v>
      </c>
      <c r="EH43" s="56">
        <v>0.4</v>
      </c>
      <c r="EI43" s="56">
        <v>0.4</v>
      </c>
      <c r="EJ43" s="56">
        <v>0.4</v>
      </c>
      <c r="EK43" s="56">
        <v>0.4</v>
      </c>
      <c r="EL43" s="56">
        <v>0.4</v>
      </c>
      <c r="EM43" s="56">
        <v>0.4</v>
      </c>
      <c r="EN43" s="56">
        <v>0.4</v>
      </c>
      <c r="EO43" s="56">
        <v>0.4</v>
      </c>
      <c r="EP43" s="56">
        <v>0.4</v>
      </c>
      <c r="EQ43" s="56">
        <v>0.4</v>
      </c>
      <c r="ER43" s="56">
        <v>0.4</v>
      </c>
      <c r="ES43" s="56">
        <v>0.4</v>
      </c>
      <c r="ET43" s="56">
        <v>1.9</v>
      </c>
      <c r="EU43" s="56">
        <v>10.7</v>
      </c>
      <c r="EV43" s="56">
        <v>8.8000000000000007</v>
      </c>
      <c r="EW43" s="56">
        <v>7.2</v>
      </c>
      <c r="EX43" s="56">
        <v>4</v>
      </c>
      <c r="EY43" s="56">
        <v>2.9</v>
      </c>
      <c r="EZ43" s="56">
        <v>2.2000000000000002</v>
      </c>
      <c r="FA43" s="56">
        <v>2.8</v>
      </c>
      <c r="FB43" s="56">
        <v>2</v>
      </c>
      <c r="FC43" s="56">
        <v>1.2</v>
      </c>
      <c r="FD43" s="56">
        <v>1.2</v>
      </c>
      <c r="FE43" s="56">
        <v>1.2</v>
      </c>
      <c r="FF43" s="56">
        <v>1.6</v>
      </c>
      <c r="FG43" s="56">
        <v>2.1</v>
      </c>
      <c r="FH43" s="56">
        <v>1.6</v>
      </c>
      <c r="FI43" s="56">
        <v>1</v>
      </c>
      <c r="FJ43" s="56">
        <v>0.9</v>
      </c>
      <c r="FK43" s="56">
        <v>0.4</v>
      </c>
      <c r="FL43" s="56">
        <v>0.4</v>
      </c>
      <c r="FM43" s="56">
        <v>0.4</v>
      </c>
      <c r="FN43" s="56">
        <v>0.5</v>
      </c>
      <c r="FO43" s="56">
        <v>0.5</v>
      </c>
      <c r="FP43" s="56">
        <v>0.5</v>
      </c>
      <c r="FQ43" s="56">
        <v>0.5</v>
      </c>
      <c r="FR43" s="56">
        <v>0.5</v>
      </c>
      <c r="FS43" s="56">
        <v>0.5</v>
      </c>
      <c r="FT43" s="56">
        <v>0.5</v>
      </c>
      <c r="FU43" s="56">
        <v>0.5</v>
      </c>
      <c r="FV43" s="56">
        <v>0.5</v>
      </c>
      <c r="FW43" s="56">
        <v>0.5</v>
      </c>
      <c r="FX43" s="56">
        <v>0.5</v>
      </c>
      <c r="FY43" s="56">
        <v>0.5</v>
      </c>
      <c r="FZ43" s="56">
        <v>0.5</v>
      </c>
      <c r="GA43" s="56">
        <v>0.5</v>
      </c>
      <c r="GB43" s="56">
        <v>0.5</v>
      </c>
      <c r="GC43" s="56">
        <v>0.5</v>
      </c>
      <c r="GD43" s="56">
        <v>0.5</v>
      </c>
      <c r="GE43" s="56">
        <v>0.5</v>
      </c>
      <c r="GF43" s="56">
        <v>0.5</v>
      </c>
      <c r="GG43" s="56">
        <v>0.5</v>
      </c>
      <c r="GH43" s="56">
        <v>0.5</v>
      </c>
      <c r="GI43" s="56">
        <v>0.6</v>
      </c>
      <c r="GJ43" s="56">
        <v>0.6</v>
      </c>
      <c r="GK43" s="56">
        <v>0.6</v>
      </c>
      <c r="GL43" s="56">
        <v>0.6</v>
      </c>
      <c r="GM43" s="56">
        <v>0.6</v>
      </c>
      <c r="GN43" s="56">
        <v>0.6</v>
      </c>
      <c r="GO43" s="56">
        <v>0.6</v>
      </c>
      <c r="GP43" s="56">
        <v>0.6</v>
      </c>
      <c r="GQ43" s="56">
        <v>0.6</v>
      </c>
      <c r="GR43" s="56">
        <v>0.6</v>
      </c>
      <c r="GS43" s="56">
        <v>0.6</v>
      </c>
      <c r="GT43" s="56">
        <v>0.6</v>
      </c>
      <c r="GU43" s="56">
        <v>0.6</v>
      </c>
      <c r="GV43" s="56">
        <v>0.6</v>
      </c>
      <c r="GW43" s="56">
        <v>0.6</v>
      </c>
      <c r="GX43" s="56">
        <v>2.5</v>
      </c>
      <c r="GY43" s="56">
        <v>8.6</v>
      </c>
      <c r="GZ43" s="56">
        <v>0.7</v>
      </c>
      <c r="HA43" s="56">
        <v>0.7</v>
      </c>
      <c r="HB43" s="56">
        <v>0.7</v>
      </c>
      <c r="HC43">
        <v>0.7</v>
      </c>
      <c r="HD43">
        <v>0.7</v>
      </c>
      <c r="HE43">
        <v>0.7</v>
      </c>
      <c r="HF43">
        <v>0.7</v>
      </c>
      <c r="HG43">
        <v>0.7</v>
      </c>
      <c r="HH43">
        <v>0.7</v>
      </c>
      <c r="HI43">
        <v>0.7</v>
      </c>
      <c r="HJ43">
        <v>0.7</v>
      </c>
      <c r="HK43">
        <v>0.7</v>
      </c>
      <c r="HL43">
        <v>0.7</v>
      </c>
      <c r="HM43">
        <v>0.7</v>
      </c>
      <c r="HN43">
        <v>0.7</v>
      </c>
      <c r="HO43">
        <v>0.7</v>
      </c>
    </row>
    <row r="44" spans="1:223" x14ac:dyDescent="0.35">
      <c r="A44" s="56" t="s">
        <v>2279</v>
      </c>
      <c r="B44" s="56">
        <v>4.7</v>
      </c>
      <c r="C44" s="56">
        <v>4.8</v>
      </c>
      <c r="D44" s="56">
        <v>4.7</v>
      </c>
      <c r="E44" s="56">
        <v>4.8</v>
      </c>
      <c r="F44" s="56">
        <v>4.8</v>
      </c>
      <c r="G44" s="56">
        <v>4.8</v>
      </c>
      <c r="H44" s="56">
        <v>4.5</v>
      </c>
      <c r="I44" s="56">
        <v>4.5999999999999996</v>
      </c>
      <c r="J44" s="56">
        <v>6.1</v>
      </c>
      <c r="K44" s="56">
        <v>6.2</v>
      </c>
      <c r="L44" s="56">
        <v>7.2</v>
      </c>
      <c r="M44" s="56">
        <v>7.1</v>
      </c>
      <c r="N44" s="56">
        <v>5.9</v>
      </c>
      <c r="O44" s="56">
        <v>5.7</v>
      </c>
      <c r="P44" s="56">
        <v>4.7</v>
      </c>
      <c r="Q44" s="56">
        <v>4.5999999999999996</v>
      </c>
      <c r="R44" s="56">
        <v>3.6</v>
      </c>
      <c r="S44" s="56">
        <v>2.9</v>
      </c>
      <c r="T44" s="56">
        <v>3.2</v>
      </c>
      <c r="U44" s="56">
        <v>3.6</v>
      </c>
      <c r="V44" s="56">
        <v>4.2</v>
      </c>
      <c r="W44" s="56">
        <v>4.3</v>
      </c>
      <c r="X44" s="56">
        <v>4.5999999999999996</v>
      </c>
      <c r="Y44" s="56">
        <v>4.9000000000000004</v>
      </c>
      <c r="Z44" s="56">
        <v>5.0999999999999996</v>
      </c>
      <c r="AA44" s="56">
        <v>4.8</v>
      </c>
      <c r="AB44" s="56">
        <v>5.0999999999999996</v>
      </c>
      <c r="AC44" s="56">
        <v>5.5</v>
      </c>
      <c r="AD44" s="56">
        <v>5.8</v>
      </c>
      <c r="AE44" s="56">
        <v>5.9</v>
      </c>
      <c r="AF44" s="56">
        <v>6.4</v>
      </c>
      <c r="AG44" s="56">
        <v>10.3</v>
      </c>
      <c r="AH44" s="56">
        <v>8.6999999999999993</v>
      </c>
      <c r="AI44" s="56">
        <v>8.4</v>
      </c>
      <c r="AJ44" s="56">
        <v>8.3000000000000007</v>
      </c>
      <c r="AK44" s="56">
        <v>10.4</v>
      </c>
      <c r="AL44" s="56">
        <v>8.4</v>
      </c>
      <c r="AM44" s="56">
        <v>8.8000000000000007</v>
      </c>
      <c r="AN44" s="56">
        <v>8.1</v>
      </c>
      <c r="AO44" s="56">
        <v>8.9</v>
      </c>
      <c r="AP44" s="56">
        <v>9.1999999999999993</v>
      </c>
      <c r="AQ44" s="56">
        <v>9.6</v>
      </c>
      <c r="AR44" s="56">
        <v>10.1</v>
      </c>
      <c r="AS44" s="56">
        <v>10.3</v>
      </c>
      <c r="AT44" s="56">
        <v>10.6</v>
      </c>
      <c r="AU44" s="56">
        <v>10.7</v>
      </c>
      <c r="AV44" s="56">
        <v>11.1</v>
      </c>
      <c r="AW44" s="56">
        <v>13.5</v>
      </c>
      <c r="AX44" s="56">
        <v>14</v>
      </c>
      <c r="AY44" s="56">
        <v>13.6</v>
      </c>
      <c r="AZ44" s="56">
        <v>13</v>
      </c>
      <c r="BA44" s="56">
        <v>19.399999999999999</v>
      </c>
      <c r="BB44" s="56">
        <v>19.899999999999999</v>
      </c>
      <c r="BC44" s="56">
        <v>21.6</v>
      </c>
      <c r="BD44" s="56">
        <v>22.2</v>
      </c>
      <c r="BE44" s="56">
        <v>21.5</v>
      </c>
      <c r="BF44" s="56">
        <v>21.2</v>
      </c>
      <c r="BG44" s="56">
        <v>21</v>
      </c>
      <c r="BH44" s="56">
        <v>20.9</v>
      </c>
      <c r="BI44" s="56">
        <v>21.2</v>
      </c>
      <c r="BJ44" s="56">
        <v>21.1</v>
      </c>
      <c r="BK44" s="56">
        <v>21</v>
      </c>
      <c r="BL44" s="56">
        <v>21.3</v>
      </c>
      <c r="BM44" s="56">
        <v>22</v>
      </c>
      <c r="BN44" s="56">
        <v>23.1</v>
      </c>
      <c r="BO44" s="56">
        <v>24.2</v>
      </c>
      <c r="BP44" s="56">
        <v>25.5</v>
      </c>
      <c r="BQ44" s="56">
        <v>26.8</v>
      </c>
      <c r="BR44" s="56">
        <v>28.3</v>
      </c>
      <c r="BS44" s="56">
        <v>30.4</v>
      </c>
      <c r="BT44" s="56">
        <v>31.3</v>
      </c>
      <c r="BU44" s="56">
        <v>31.1</v>
      </c>
      <c r="BV44" s="56">
        <v>30.4</v>
      </c>
      <c r="BW44" s="56">
        <v>29.8</v>
      </c>
      <c r="BX44" s="56">
        <v>29.2</v>
      </c>
      <c r="BY44" s="56">
        <v>28.6</v>
      </c>
      <c r="BZ44" s="56">
        <v>28</v>
      </c>
      <c r="CA44" s="56">
        <v>27.4</v>
      </c>
      <c r="CB44" s="56">
        <v>27.1</v>
      </c>
      <c r="CC44" s="56">
        <v>27.3</v>
      </c>
      <c r="CD44" s="56">
        <v>27.1</v>
      </c>
      <c r="CE44" s="56">
        <v>27</v>
      </c>
      <c r="CF44" s="56">
        <v>26.9</v>
      </c>
      <c r="CG44" s="56">
        <v>27</v>
      </c>
      <c r="CH44" s="56">
        <v>27.1</v>
      </c>
      <c r="CI44" s="56">
        <v>27.2</v>
      </c>
      <c r="CJ44" s="56">
        <v>27.5</v>
      </c>
      <c r="CK44" s="56">
        <v>28.1</v>
      </c>
      <c r="CL44" s="56">
        <v>28.6</v>
      </c>
      <c r="CM44" s="56">
        <v>29.2</v>
      </c>
      <c r="CN44" s="56">
        <v>30.4</v>
      </c>
      <c r="CO44" s="56">
        <v>32.200000000000003</v>
      </c>
      <c r="CP44" s="56">
        <v>35.5</v>
      </c>
      <c r="CQ44" s="56">
        <v>37.6</v>
      </c>
      <c r="CR44" s="56">
        <v>37.700000000000003</v>
      </c>
      <c r="CS44" s="56">
        <v>36</v>
      </c>
      <c r="CT44" s="56">
        <v>33.6</v>
      </c>
      <c r="CU44" s="56">
        <v>32.4</v>
      </c>
      <c r="CV44" s="56">
        <v>31.9</v>
      </c>
      <c r="CW44" s="56">
        <v>32.200000000000003</v>
      </c>
      <c r="CX44" s="56">
        <v>34</v>
      </c>
      <c r="CY44" s="56">
        <v>34.6</v>
      </c>
      <c r="CZ44" s="56">
        <v>35.1</v>
      </c>
      <c r="DA44" s="56">
        <v>35.5</v>
      </c>
      <c r="DB44" s="56">
        <v>35.5</v>
      </c>
      <c r="DC44" s="56">
        <v>35.4</v>
      </c>
      <c r="DD44" s="56">
        <v>35.200000000000003</v>
      </c>
      <c r="DE44" s="56">
        <v>34.799999999999997</v>
      </c>
      <c r="DF44" s="56">
        <v>34.4</v>
      </c>
      <c r="DG44" s="56">
        <v>33.6</v>
      </c>
      <c r="DH44" s="56">
        <v>33.4</v>
      </c>
      <c r="DI44" s="56">
        <v>33.799999999999997</v>
      </c>
      <c r="DJ44" s="56">
        <v>33.799999999999997</v>
      </c>
      <c r="DK44" s="56">
        <v>35</v>
      </c>
      <c r="DL44" s="56">
        <v>36.799999999999997</v>
      </c>
      <c r="DM44" s="56">
        <v>39.9</v>
      </c>
      <c r="DN44" s="56">
        <v>42.4</v>
      </c>
      <c r="DO44" s="56">
        <v>45</v>
      </c>
      <c r="DP44" s="56">
        <v>46.4</v>
      </c>
      <c r="DQ44" s="56">
        <v>46.9</v>
      </c>
      <c r="DR44" s="56">
        <v>45.1</v>
      </c>
      <c r="DS44" s="56">
        <v>45.5</v>
      </c>
      <c r="DT44" s="56">
        <v>45.8</v>
      </c>
      <c r="DU44" s="56">
        <v>47</v>
      </c>
      <c r="DV44" s="56">
        <v>55.2</v>
      </c>
      <c r="DW44" s="56">
        <v>62</v>
      </c>
      <c r="DX44" s="56">
        <v>71.2</v>
      </c>
      <c r="DY44" s="56">
        <v>46.4</v>
      </c>
      <c r="DZ44" s="56">
        <v>42.6</v>
      </c>
      <c r="EA44" s="56">
        <v>39.799999999999997</v>
      </c>
      <c r="EB44" s="56">
        <v>41.3</v>
      </c>
      <c r="EC44" s="56">
        <v>41.9</v>
      </c>
      <c r="ED44" s="56">
        <v>47.1</v>
      </c>
      <c r="EE44" s="56">
        <v>57.1</v>
      </c>
      <c r="EF44" s="56">
        <v>45.9</v>
      </c>
      <c r="EG44" s="56">
        <v>46</v>
      </c>
      <c r="EH44" s="56">
        <v>44.2</v>
      </c>
      <c r="EI44" s="56">
        <v>43.7</v>
      </c>
      <c r="EJ44" s="56">
        <v>45.4</v>
      </c>
      <c r="EK44" s="56">
        <v>52.3</v>
      </c>
      <c r="EL44" s="56">
        <v>56.7</v>
      </c>
      <c r="EM44" s="56">
        <v>60.7</v>
      </c>
      <c r="EN44" s="56">
        <v>62</v>
      </c>
      <c r="EO44" s="56">
        <v>64.2</v>
      </c>
      <c r="EP44" s="56">
        <v>55.7</v>
      </c>
      <c r="EQ44" s="56">
        <v>51.5</v>
      </c>
      <c r="ER44" s="56">
        <v>49.9</v>
      </c>
      <c r="ES44" s="56">
        <v>48.7</v>
      </c>
      <c r="ET44" s="56">
        <v>49.5</v>
      </c>
      <c r="EU44" s="56">
        <v>58.2</v>
      </c>
      <c r="EV44" s="56">
        <v>55.9</v>
      </c>
      <c r="EW44" s="56">
        <v>54.7</v>
      </c>
      <c r="EX44" s="56">
        <v>51.9</v>
      </c>
      <c r="EY44" s="56">
        <v>51.7</v>
      </c>
      <c r="EZ44" s="56">
        <v>52</v>
      </c>
      <c r="FA44" s="56">
        <v>54.6</v>
      </c>
      <c r="FB44" s="56">
        <v>55.4</v>
      </c>
      <c r="FC44" s="56">
        <v>55.5</v>
      </c>
      <c r="FD44" s="56">
        <v>67.099999999999994</v>
      </c>
      <c r="FE44" s="56">
        <v>55.5</v>
      </c>
      <c r="FF44" s="56">
        <v>54.8</v>
      </c>
      <c r="FG44" s="56">
        <v>55.5</v>
      </c>
      <c r="FH44" s="56">
        <v>56</v>
      </c>
      <c r="FI44" s="56">
        <v>56.9</v>
      </c>
      <c r="FJ44" s="56">
        <v>58.9</v>
      </c>
      <c r="FK44" s="56">
        <v>59.9</v>
      </c>
      <c r="FL44" s="56">
        <v>60.2</v>
      </c>
      <c r="FM44" s="56">
        <v>61.1</v>
      </c>
      <c r="FN44" s="56">
        <v>58.4</v>
      </c>
      <c r="FO44" s="56">
        <v>58.1</v>
      </c>
      <c r="FP44" s="56">
        <v>56.3</v>
      </c>
      <c r="FQ44" s="56">
        <v>59.4</v>
      </c>
      <c r="FR44" s="56">
        <v>59.4</v>
      </c>
      <c r="FS44" s="56">
        <v>60.1</v>
      </c>
      <c r="FT44" s="56">
        <v>60</v>
      </c>
      <c r="FU44" s="56">
        <v>59.4</v>
      </c>
      <c r="FV44" s="56">
        <v>58.7</v>
      </c>
      <c r="FW44" s="56">
        <v>58.5</v>
      </c>
      <c r="FX44" s="56">
        <v>58.2</v>
      </c>
      <c r="FY44" s="56">
        <v>57</v>
      </c>
      <c r="FZ44" s="56">
        <v>56</v>
      </c>
      <c r="GA44" s="56">
        <v>56.4</v>
      </c>
      <c r="GB44" s="56">
        <v>57.7</v>
      </c>
      <c r="GC44" s="56">
        <v>58.7</v>
      </c>
      <c r="GD44" s="56">
        <v>60.7</v>
      </c>
      <c r="GE44" s="56">
        <v>62.4</v>
      </c>
      <c r="GF44" s="56">
        <v>63</v>
      </c>
      <c r="GG44" s="56">
        <v>60.9</v>
      </c>
      <c r="GH44" s="56">
        <v>59.4</v>
      </c>
      <c r="GI44" s="56">
        <v>58</v>
      </c>
      <c r="GJ44" s="56">
        <v>61.9</v>
      </c>
      <c r="GK44" s="56">
        <v>60.2</v>
      </c>
      <c r="GL44" s="56">
        <v>58.7</v>
      </c>
      <c r="GM44" s="56">
        <v>58.2</v>
      </c>
      <c r="GN44" s="56">
        <v>57.8</v>
      </c>
      <c r="GO44" s="56">
        <v>78.5</v>
      </c>
      <c r="GP44" s="56">
        <v>69.099999999999994</v>
      </c>
      <c r="GQ44" s="56">
        <v>58.9</v>
      </c>
      <c r="GR44" s="56">
        <v>81.2</v>
      </c>
      <c r="GS44" s="56">
        <v>82.7</v>
      </c>
      <c r="GT44" s="56">
        <v>80.7</v>
      </c>
      <c r="GU44" s="56">
        <v>1032.4000000000001</v>
      </c>
      <c r="GV44" s="56">
        <v>1163.9000000000001</v>
      </c>
      <c r="GW44" s="56">
        <v>517</v>
      </c>
      <c r="GX44" s="56">
        <v>520.70000000000005</v>
      </c>
      <c r="GY44" s="56">
        <v>830.7</v>
      </c>
      <c r="GZ44" s="56">
        <v>674.1</v>
      </c>
      <c r="HA44" s="56">
        <v>414.1</v>
      </c>
      <c r="HB44" s="56">
        <v>151.5</v>
      </c>
      <c r="HC44">
        <v>130</v>
      </c>
      <c r="HD44">
        <v>119.1</v>
      </c>
      <c r="HE44">
        <v>111.5</v>
      </c>
      <c r="HF44">
        <v>104.5</v>
      </c>
      <c r="HG44">
        <v>102.5</v>
      </c>
      <c r="HH44">
        <v>104.7</v>
      </c>
      <c r="HI44">
        <v>99.6</v>
      </c>
      <c r="HJ44">
        <v>96.8</v>
      </c>
      <c r="HK44">
        <v>94.4</v>
      </c>
      <c r="HL44">
        <v>92.8</v>
      </c>
      <c r="HM44">
        <v>94.2</v>
      </c>
      <c r="HN44">
        <v>104.8</v>
      </c>
      <c r="HO44">
        <v>117.3</v>
      </c>
    </row>
    <row r="45" spans="1:223" x14ac:dyDescent="0.35">
      <c r="A45" s="56" t="s">
        <v>2280</v>
      </c>
      <c r="B45" s="56"/>
      <c r="C45" s="56"/>
      <c r="D45" s="56"/>
      <c r="E45" s="56"/>
      <c r="F45" s="56"/>
      <c r="G45" s="56"/>
      <c r="H45" s="56"/>
      <c r="I45" s="56"/>
      <c r="J45" s="56"/>
      <c r="K45" s="56"/>
      <c r="L45" s="56"/>
      <c r="M45" s="56"/>
      <c r="N45" s="56"/>
      <c r="O45" s="56"/>
      <c r="P45" s="56"/>
      <c r="Q45" s="56"/>
      <c r="R45" s="56"/>
      <c r="S45" s="56"/>
      <c r="T45" s="56"/>
      <c r="U45" s="56"/>
      <c r="V45" s="56"/>
      <c r="W45" s="56"/>
      <c r="X45" s="56"/>
      <c r="Y45" s="56"/>
      <c r="Z45" s="56"/>
      <c r="AA45" s="56"/>
      <c r="AB45" s="56"/>
      <c r="AC45" s="56"/>
      <c r="AD45" s="56"/>
      <c r="AE45" s="56"/>
      <c r="AF45" s="56"/>
      <c r="AG45" s="56"/>
      <c r="AH45" s="56"/>
      <c r="AI45" s="56"/>
      <c r="AJ45" s="56"/>
      <c r="AK45" s="56"/>
      <c r="AL45" s="56"/>
      <c r="AM45" s="56"/>
      <c r="AN45" s="56"/>
      <c r="AO45" s="56"/>
      <c r="AP45" s="56"/>
      <c r="AQ45" s="56"/>
      <c r="AR45" s="56"/>
      <c r="AS45" s="56"/>
      <c r="AT45" s="56"/>
      <c r="AU45" s="56"/>
      <c r="AV45" s="56"/>
      <c r="AW45" s="56"/>
      <c r="AX45" s="56"/>
      <c r="AY45" s="56"/>
      <c r="AZ45" s="56"/>
      <c r="BA45" s="56"/>
      <c r="BB45" s="56"/>
      <c r="BC45" s="56"/>
      <c r="BD45" s="56"/>
      <c r="BE45" s="56"/>
      <c r="BF45" s="56"/>
      <c r="BG45" s="56"/>
      <c r="BH45" s="56"/>
      <c r="BI45" s="56"/>
      <c r="BJ45" s="56"/>
      <c r="BK45" s="56"/>
      <c r="BL45" s="56"/>
      <c r="BM45" s="56"/>
      <c r="BN45" s="56"/>
      <c r="BO45" s="56"/>
      <c r="BP45" s="56"/>
      <c r="BQ45" s="56"/>
      <c r="BR45" s="56"/>
      <c r="BS45" s="56"/>
      <c r="BT45" s="56"/>
      <c r="BU45" s="56"/>
      <c r="BV45" s="56"/>
      <c r="BW45" s="56"/>
      <c r="BX45" s="56"/>
      <c r="BY45" s="56"/>
      <c r="BZ45" s="56"/>
      <c r="CA45" s="56"/>
      <c r="CB45" s="56"/>
      <c r="CC45" s="56"/>
      <c r="CD45" s="56"/>
      <c r="CE45" s="56"/>
      <c r="CF45" s="56"/>
      <c r="CG45" s="56"/>
      <c r="CH45" s="56"/>
      <c r="CI45" s="56"/>
      <c r="CJ45" s="56"/>
      <c r="CK45" s="56"/>
      <c r="CL45" s="56"/>
      <c r="CM45" s="56"/>
      <c r="CN45" s="56"/>
      <c r="CO45" s="56"/>
      <c r="CP45" s="56"/>
      <c r="CQ45" s="56"/>
      <c r="CR45" s="56"/>
      <c r="CS45" s="56"/>
      <c r="CT45" s="56"/>
      <c r="CU45" s="56"/>
      <c r="CV45" s="56"/>
      <c r="CW45" s="56"/>
      <c r="CX45" s="56"/>
      <c r="CY45" s="56"/>
      <c r="CZ45" s="56"/>
      <c r="DA45" s="56"/>
      <c r="DB45" s="56"/>
      <c r="DC45" s="56"/>
      <c r="DD45" s="56"/>
      <c r="DE45" s="56"/>
      <c r="DF45" s="56"/>
      <c r="DG45" s="56"/>
      <c r="DH45" s="56"/>
      <c r="DI45" s="56"/>
      <c r="DJ45" s="56"/>
      <c r="DK45" s="56"/>
      <c r="DL45" s="56"/>
      <c r="DM45" s="56"/>
      <c r="DN45" s="56"/>
      <c r="DO45" s="56"/>
      <c r="DP45" s="56"/>
      <c r="DQ45" s="56"/>
      <c r="DR45" s="56"/>
      <c r="DS45" s="56"/>
      <c r="DT45" s="56"/>
      <c r="DU45" s="56"/>
      <c r="DV45" s="56"/>
      <c r="DW45" s="56"/>
      <c r="DX45" s="56"/>
      <c r="DY45" s="56"/>
      <c r="DZ45" s="56"/>
      <c r="EA45" s="56"/>
      <c r="EB45" s="56"/>
      <c r="EC45" s="56"/>
      <c r="ED45" s="56"/>
      <c r="EE45" s="56"/>
      <c r="EF45" s="56"/>
      <c r="EG45" s="56"/>
      <c r="EH45" s="56"/>
      <c r="EI45" s="56"/>
      <c r="EJ45" s="56"/>
      <c r="EK45" s="56"/>
      <c r="EL45" s="56"/>
      <c r="EM45" s="56"/>
      <c r="EN45" s="56"/>
      <c r="EO45" s="56"/>
      <c r="EP45" s="56"/>
      <c r="EQ45" s="56"/>
      <c r="ER45" s="56"/>
      <c r="ES45" s="56"/>
      <c r="ET45" s="56"/>
      <c r="EU45" s="56"/>
      <c r="EV45" s="56"/>
      <c r="EW45" s="56"/>
      <c r="EX45" s="56"/>
      <c r="EY45" s="56"/>
      <c r="EZ45" s="56"/>
      <c r="FA45" s="56"/>
      <c r="FB45" s="56"/>
      <c r="FC45" s="56"/>
      <c r="FD45" s="56"/>
      <c r="FE45" s="56"/>
      <c r="FF45" s="56"/>
      <c r="FG45" s="56"/>
      <c r="FH45" s="56"/>
      <c r="FI45" s="56"/>
      <c r="FJ45" s="56"/>
      <c r="FK45" s="56"/>
      <c r="FL45" s="56"/>
      <c r="FM45" s="56"/>
      <c r="FN45" s="56"/>
      <c r="FO45" s="56"/>
      <c r="FP45" s="56"/>
      <c r="FQ45" s="56"/>
      <c r="FR45" s="56"/>
      <c r="FS45" s="56"/>
      <c r="FT45" s="56"/>
      <c r="FU45" s="56"/>
      <c r="FV45" s="56"/>
      <c r="FW45" s="56"/>
      <c r="FX45" s="56"/>
      <c r="FY45" s="56"/>
      <c r="FZ45" s="56"/>
      <c r="GA45" s="56"/>
      <c r="GB45" s="56"/>
      <c r="GC45" s="56"/>
      <c r="GD45" s="56"/>
      <c r="GE45" s="56"/>
      <c r="GF45" s="56"/>
      <c r="GG45" s="56"/>
      <c r="GH45" s="56"/>
      <c r="GI45" s="56"/>
      <c r="GJ45" s="56"/>
      <c r="GK45" s="56"/>
      <c r="GL45" s="56"/>
      <c r="GM45" s="56"/>
      <c r="GN45" s="56"/>
      <c r="GO45" s="56"/>
      <c r="GP45" s="56"/>
      <c r="GQ45" s="56"/>
      <c r="GR45" s="56"/>
      <c r="GS45" s="56"/>
      <c r="GT45" s="56"/>
      <c r="GU45" s="56">
        <v>1078.0999999999999</v>
      </c>
      <c r="GV45" s="56">
        <v>15.6</v>
      </c>
      <c r="GW45" s="56">
        <v>5</v>
      </c>
      <c r="GX45" s="56">
        <v>1933.7</v>
      </c>
      <c r="GY45" s="56">
        <v>290.10000000000002</v>
      </c>
      <c r="GZ45" s="56">
        <v>38.9</v>
      </c>
      <c r="HA45" s="56">
        <v>14.2</v>
      </c>
      <c r="HB45" s="56">
        <v>0</v>
      </c>
      <c r="HC45">
        <v>0</v>
      </c>
      <c r="HD45">
        <v>0</v>
      </c>
      <c r="HE45">
        <v>0</v>
      </c>
    </row>
    <row r="46" spans="1:223" x14ac:dyDescent="0.35">
      <c r="A46" s="56" t="s">
        <v>2281</v>
      </c>
      <c r="B46" s="56"/>
      <c r="C46" s="56"/>
      <c r="D46" s="56"/>
      <c r="E46" s="56"/>
      <c r="F46" s="56"/>
      <c r="G46" s="56"/>
      <c r="H46" s="56"/>
      <c r="I46" s="56"/>
      <c r="J46" s="56"/>
      <c r="K46" s="56"/>
      <c r="L46" s="56"/>
      <c r="M46" s="56"/>
      <c r="N46" s="56"/>
      <c r="O46" s="56"/>
      <c r="P46" s="56"/>
      <c r="Q46" s="56"/>
      <c r="R46" s="56"/>
      <c r="S46" s="56"/>
      <c r="T46" s="56"/>
      <c r="U46" s="56"/>
      <c r="V46" s="56"/>
      <c r="W46" s="56"/>
      <c r="X46" s="56"/>
      <c r="Y46" s="56"/>
      <c r="Z46" s="56"/>
      <c r="AA46" s="56"/>
      <c r="AB46" s="56"/>
      <c r="AC46" s="56"/>
      <c r="AD46" s="56"/>
      <c r="AE46" s="56"/>
      <c r="AF46" s="56"/>
      <c r="AG46" s="56"/>
      <c r="AH46" s="56"/>
      <c r="AI46" s="56"/>
      <c r="AJ46" s="56"/>
      <c r="AK46" s="56"/>
      <c r="AL46" s="56"/>
      <c r="AM46" s="56"/>
      <c r="AN46" s="56"/>
      <c r="AO46" s="56"/>
      <c r="AP46" s="56"/>
      <c r="AQ46" s="56"/>
      <c r="AR46" s="56"/>
      <c r="AS46" s="56"/>
      <c r="AT46" s="56"/>
      <c r="AU46" s="56"/>
      <c r="AV46" s="56"/>
      <c r="AW46" s="56"/>
      <c r="AX46" s="56"/>
      <c r="AY46" s="56"/>
      <c r="AZ46" s="56"/>
      <c r="BA46" s="56"/>
      <c r="BB46" s="56"/>
      <c r="BC46" s="56"/>
      <c r="BD46" s="56"/>
      <c r="BE46" s="56"/>
      <c r="BF46" s="56"/>
      <c r="BG46" s="56"/>
      <c r="BH46" s="56"/>
      <c r="BI46" s="56"/>
      <c r="BJ46" s="56"/>
      <c r="BK46" s="56"/>
      <c r="BL46" s="56"/>
      <c r="BM46" s="56"/>
      <c r="BN46" s="56"/>
      <c r="BO46" s="56"/>
      <c r="BP46" s="56"/>
      <c r="BQ46" s="56"/>
      <c r="BR46" s="56"/>
      <c r="BS46" s="56"/>
      <c r="BT46" s="56"/>
      <c r="BU46" s="56"/>
      <c r="BV46" s="56"/>
      <c r="BW46" s="56"/>
      <c r="BX46" s="56"/>
      <c r="BY46" s="56"/>
      <c r="BZ46" s="56"/>
      <c r="CA46" s="56"/>
      <c r="CB46" s="56"/>
      <c r="CC46" s="56"/>
      <c r="CD46" s="56"/>
      <c r="CE46" s="56"/>
      <c r="CF46" s="56"/>
      <c r="CG46" s="56"/>
      <c r="CH46" s="56"/>
      <c r="CI46" s="56"/>
      <c r="CJ46" s="56"/>
      <c r="CK46" s="56"/>
      <c r="CL46" s="56"/>
      <c r="CM46" s="56"/>
      <c r="CN46" s="56"/>
      <c r="CO46" s="56"/>
      <c r="CP46" s="56"/>
      <c r="CQ46" s="56"/>
      <c r="CR46" s="56"/>
      <c r="CS46" s="56"/>
      <c r="CT46" s="56"/>
      <c r="CU46" s="56"/>
      <c r="CV46" s="56"/>
      <c r="CW46" s="56"/>
      <c r="CX46" s="56"/>
      <c r="CY46" s="56"/>
      <c r="CZ46" s="56"/>
      <c r="DA46" s="56"/>
      <c r="DB46" s="56"/>
      <c r="DC46" s="56"/>
      <c r="DD46" s="56"/>
      <c r="DE46" s="56"/>
      <c r="DF46" s="56"/>
      <c r="DG46" s="56"/>
      <c r="DH46" s="56"/>
      <c r="DI46" s="56"/>
      <c r="DJ46" s="56"/>
      <c r="DK46" s="56"/>
      <c r="DL46" s="56"/>
      <c r="DM46" s="56"/>
      <c r="DN46" s="56"/>
      <c r="DO46" s="56"/>
      <c r="DP46" s="56"/>
      <c r="DQ46" s="56"/>
      <c r="DR46" s="56"/>
      <c r="DS46" s="56"/>
      <c r="DT46" s="56"/>
      <c r="DU46" s="56"/>
      <c r="DV46" s="56"/>
      <c r="DW46" s="56"/>
      <c r="DX46" s="56"/>
      <c r="DY46" s="56"/>
      <c r="DZ46" s="56"/>
      <c r="EA46" s="56"/>
      <c r="EB46" s="56"/>
      <c r="EC46" s="56"/>
      <c r="ED46" s="56"/>
      <c r="EE46" s="56"/>
      <c r="EF46" s="56"/>
      <c r="EG46" s="56"/>
      <c r="EH46" s="56"/>
      <c r="EI46" s="56"/>
      <c r="EJ46" s="56"/>
      <c r="EK46" s="56"/>
      <c r="EL46" s="56"/>
      <c r="EM46" s="56"/>
      <c r="EN46" s="56"/>
      <c r="EO46" s="56"/>
      <c r="EP46" s="56"/>
      <c r="EQ46" s="56"/>
      <c r="ER46" s="56"/>
      <c r="ES46" s="56"/>
      <c r="ET46" s="56"/>
      <c r="EU46" s="56"/>
      <c r="EV46" s="56"/>
      <c r="EW46" s="56"/>
      <c r="EX46" s="56"/>
      <c r="EY46" s="56"/>
      <c r="EZ46" s="56"/>
      <c r="FA46" s="56"/>
      <c r="FB46" s="56"/>
      <c r="FC46" s="56"/>
      <c r="FD46" s="56"/>
      <c r="FE46" s="56"/>
      <c r="FF46" s="56"/>
      <c r="FG46" s="56"/>
      <c r="FH46" s="56"/>
      <c r="FI46" s="56"/>
      <c r="FJ46" s="56"/>
      <c r="FK46" s="56"/>
      <c r="FL46" s="56"/>
      <c r="FM46" s="56"/>
      <c r="FN46" s="56"/>
      <c r="FO46" s="56"/>
      <c r="FP46" s="56"/>
      <c r="FQ46" s="56"/>
      <c r="FR46" s="56"/>
      <c r="FS46" s="56"/>
      <c r="FT46" s="56"/>
      <c r="FU46" s="56"/>
      <c r="FV46" s="56"/>
      <c r="FW46" s="56"/>
      <c r="FX46" s="56"/>
      <c r="FY46" s="56"/>
      <c r="FZ46" s="56"/>
      <c r="GA46" s="56"/>
      <c r="GB46" s="56"/>
      <c r="GC46" s="56"/>
      <c r="GD46" s="56"/>
      <c r="GE46" s="56"/>
      <c r="GF46" s="56"/>
      <c r="GG46" s="56"/>
      <c r="GH46" s="56"/>
      <c r="GI46" s="56"/>
      <c r="GJ46" s="56"/>
      <c r="GK46" s="56"/>
      <c r="GL46" s="56"/>
      <c r="GM46" s="56"/>
      <c r="GN46" s="56"/>
      <c r="GO46" s="56"/>
      <c r="GP46" s="56"/>
      <c r="GQ46" s="56"/>
      <c r="GR46" s="56"/>
      <c r="GS46" s="56"/>
      <c r="GT46" s="56"/>
      <c r="GU46" s="56">
        <v>9.6</v>
      </c>
      <c r="GV46" s="56">
        <v>14.4</v>
      </c>
      <c r="GW46" s="56">
        <v>14.3</v>
      </c>
      <c r="GX46" s="56">
        <v>15</v>
      </c>
      <c r="GY46" s="56">
        <v>15.3</v>
      </c>
      <c r="GZ46" s="56">
        <v>15.6</v>
      </c>
      <c r="HA46" s="56">
        <v>15.7</v>
      </c>
      <c r="HB46" s="56">
        <v>15.8</v>
      </c>
      <c r="HC46">
        <v>7.9</v>
      </c>
      <c r="HD46">
        <v>0</v>
      </c>
      <c r="HE46">
        <v>0</v>
      </c>
    </row>
    <row r="47" spans="1:223" x14ac:dyDescent="0.35">
      <c r="A47" s="56" t="s">
        <v>2282</v>
      </c>
      <c r="B47" s="56"/>
      <c r="C47" s="56"/>
      <c r="D47" s="56"/>
      <c r="E47" s="56"/>
      <c r="F47" s="56"/>
      <c r="G47" s="56"/>
      <c r="H47" s="56"/>
      <c r="I47" s="56"/>
      <c r="J47" s="56"/>
      <c r="K47" s="56"/>
      <c r="L47" s="56"/>
      <c r="M47" s="56"/>
      <c r="N47" s="56"/>
      <c r="O47" s="56"/>
      <c r="P47" s="56"/>
      <c r="Q47" s="56"/>
      <c r="R47" s="56"/>
      <c r="S47" s="56"/>
      <c r="T47" s="56"/>
      <c r="U47" s="56"/>
      <c r="V47" s="56"/>
      <c r="W47" s="56"/>
      <c r="X47" s="56"/>
      <c r="Y47" s="56"/>
      <c r="Z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56"/>
      <c r="BC47" s="56"/>
      <c r="BD47" s="56"/>
      <c r="BE47" s="56"/>
      <c r="BF47" s="56"/>
      <c r="BG47" s="56"/>
      <c r="BH47" s="56"/>
      <c r="BI47" s="56"/>
      <c r="BJ47" s="56"/>
      <c r="BK47" s="56"/>
      <c r="BL47" s="56"/>
      <c r="BM47" s="56"/>
      <c r="BN47" s="56"/>
      <c r="BO47" s="56"/>
      <c r="BP47" s="56"/>
      <c r="BQ47" s="56"/>
      <c r="BR47" s="56"/>
      <c r="BS47" s="56"/>
      <c r="BT47" s="56"/>
      <c r="BU47" s="56"/>
      <c r="BV47" s="56"/>
      <c r="BW47" s="56"/>
      <c r="BX47" s="56"/>
      <c r="BY47" s="56"/>
      <c r="BZ47" s="56"/>
      <c r="CA47" s="56"/>
      <c r="CB47" s="56"/>
      <c r="CC47" s="56"/>
      <c r="CD47" s="56"/>
      <c r="CE47" s="56"/>
      <c r="CF47" s="56"/>
      <c r="CG47" s="56"/>
      <c r="CH47" s="56"/>
      <c r="CI47" s="56"/>
      <c r="CJ47" s="56"/>
      <c r="CK47" s="56"/>
      <c r="CL47" s="56"/>
      <c r="CM47" s="56"/>
      <c r="CN47" s="56"/>
      <c r="CO47" s="56"/>
      <c r="CP47" s="56"/>
      <c r="CQ47" s="56"/>
      <c r="CR47" s="56"/>
      <c r="CS47" s="56"/>
      <c r="CT47" s="56"/>
      <c r="CU47" s="56"/>
      <c r="CV47" s="56"/>
      <c r="CW47" s="56"/>
      <c r="CX47" s="56"/>
      <c r="CY47" s="56"/>
      <c r="CZ47" s="56"/>
      <c r="DA47" s="56"/>
      <c r="DB47" s="56"/>
      <c r="DC47" s="56"/>
      <c r="DD47" s="56"/>
      <c r="DE47" s="56"/>
      <c r="DF47" s="56"/>
      <c r="DG47" s="56"/>
      <c r="DH47" s="56"/>
      <c r="DI47" s="56"/>
      <c r="DJ47" s="56"/>
      <c r="DK47" s="56"/>
      <c r="DL47" s="56"/>
      <c r="DM47" s="56"/>
      <c r="DN47" s="56"/>
      <c r="DO47" s="56"/>
      <c r="DP47" s="56"/>
      <c r="DQ47" s="56"/>
      <c r="DR47" s="56"/>
      <c r="DS47" s="56"/>
      <c r="DT47" s="56"/>
      <c r="DU47" s="56"/>
      <c r="DV47" s="56"/>
      <c r="DW47" s="56"/>
      <c r="DX47" s="56"/>
      <c r="DY47" s="56"/>
      <c r="DZ47" s="56"/>
      <c r="EA47" s="56"/>
      <c r="EB47" s="56"/>
      <c r="EC47" s="56"/>
      <c r="ED47" s="56"/>
      <c r="EE47" s="56"/>
      <c r="EF47" s="56"/>
      <c r="EG47" s="56"/>
      <c r="EH47" s="56"/>
      <c r="EI47" s="56"/>
      <c r="EJ47" s="56"/>
      <c r="EK47" s="56"/>
      <c r="EL47" s="56"/>
      <c r="EM47" s="56"/>
      <c r="EN47" s="56"/>
      <c r="EO47" s="56"/>
      <c r="EP47" s="56"/>
      <c r="EQ47" s="56"/>
      <c r="ER47" s="56"/>
      <c r="ES47" s="56"/>
      <c r="ET47" s="56"/>
      <c r="EU47" s="56"/>
      <c r="EV47" s="56"/>
      <c r="EW47" s="56"/>
      <c r="EX47" s="56"/>
      <c r="EY47" s="56"/>
      <c r="EZ47" s="56"/>
      <c r="FA47" s="56"/>
      <c r="FB47" s="56"/>
      <c r="FC47" s="56"/>
      <c r="FD47" s="56"/>
      <c r="FE47" s="56"/>
      <c r="FF47" s="56"/>
      <c r="FG47" s="56"/>
      <c r="FH47" s="56"/>
      <c r="FI47" s="56"/>
      <c r="FJ47" s="56"/>
      <c r="FK47" s="56"/>
      <c r="FL47" s="56"/>
      <c r="FM47" s="56"/>
      <c r="FN47" s="56"/>
      <c r="FO47" s="56"/>
      <c r="FP47" s="56"/>
      <c r="FQ47" s="56"/>
      <c r="FR47" s="56"/>
      <c r="FS47" s="56"/>
      <c r="FT47" s="56"/>
      <c r="FU47" s="56"/>
      <c r="FV47" s="56"/>
      <c r="FW47" s="56"/>
      <c r="FX47" s="56"/>
      <c r="FY47" s="56"/>
      <c r="FZ47" s="56"/>
      <c r="GA47" s="56"/>
      <c r="GB47" s="56"/>
      <c r="GC47" s="56"/>
      <c r="GD47" s="56"/>
      <c r="GE47" s="56"/>
      <c r="GF47" s="56"/>
      <c r="GG47" s="56"/>
      <c r="GH47" s="56"/>
      <c r="GI47" s="56"/>
      <c r="GJ47" s="56"/>
      <c r="GK47" s="56"/>
      <c r="GL47" s="56"/>
      <c r="GM47" s="56"/>
      <c r="GN47" s="56"/>
      <c r="GO47" s="56"/>
      <c r="GP47" s="56"/>
      <c r="GQ47" s="56"/>
      <c r="GR47" s="56"/>
      <c r="GS47" s="56"/>
      <c r="GT47" s="56"/>
      <c r="GU47" s="56">
        <v>57.2</v>
      </c>
      <c r="GV47" s="56">
        <v>81.2</v>
      </c>
      <c r="GW47" s="56">
        <v>24.4</v>
      </c>
      <c r="GX47" s="56">
        <v>11.7</v>
      </c>
      <c r="GY47" s="56">
        <v>28.5</v>
      </c>
      <c r="GZ47" s="56">
        <v>18.8</v>
      </c>
      <c r="HA47" s="56">
        <v>1.6</v>
      </c>
      <c r="HB47" s="56">
        <v>0</v>
      </c>
      <c r="HC47">
        <v>0</v>
      </c>
      <c r="HD47">
        <v>0</v>
      </c>
      <c r="HE47">
        <v>0</v>
      </c>
    </row>
    <row r="48" spans="1:223" x14ac:dyDescent="0.35">
      <c r="A48" s="56" t="s">
        <v>2283</v>
      </c>
      <c r="B48" s="56"/>
      <c r="C48" s="56"/>
      <c r="D48" s="56"/>
      <c r="E48" s="56"/>
      <c r="F48" s="56"/>
      <c r="G48" s="56"/>
      <c r="H48" s="56"/>
      <c r="I48" s="56"/>
      <c r="J48" s="56"/>
      <c r="K48" s="56"/>
      <c r="L48" s="56"/>
      <c r="M48" s="56"/>
      <c r="N48" s="56"/>
      <c r="O48" s="56"/>
      <c r="P48" s="56"/>
      <c r="Q48" s="56"/>
      <c r="R48" s="56"/>
      <c r="S48" s="56"/>
      <c r="T48" s="56"/>
      <c r="U48" s="56"/>
      <c r="V48" s="56"/>
      <c r="W48" s="56"/>
      <c r="X48" s="56"/>
      <c r="Y48" s="56"/>
      <c r="Z48" s="56"/>
      <c r="AA48" s="56"/>
      <c r="AB48" s="56"/>
      <c r="AC48" s="56"/>
      <c r="AD48" s="56"/>
      <c r="AE48" s="56"/>
      <c r="AF48" s="56"/>
      <c r="AG48" s="56"/>
      <c r="AH48" s="56"/>
      <c r="AI48" s="56"/>
      <c r="AJ48" s="56"/>
      <c r="AK48" s="56"/>
      <c r="AL48" s="56"/>
      <c r="AM48" s="56"/>
      <c r="AN48" s="56"/>
      <c r="AO48" s="56"/>
      <c r="AP48" s="56"/>
      <c r="AQ48" s="56"/>
      <c r="AR48" s="56"/>
      <c r="AS48" s="56"/>
      <c r="AT48" s="56"/>
      <c r="AU48" s="56"/>
      <c r="AV48" s="56"/>
      <c r="AW48" s="56"/>
      <c r="AX48" s="56"/>
      <c r="AY48" s="56"/>
      <c r="AZ48" s="56"/>
      <c r="BA48" s="56"/>
      <c r="BB48" s="56"/>
      <c r="BC48" s="56"/>
      <c r="BD48" s="56"/>
      <c r="BE48" s="56"/>
      <c r="BF48" s="56"/>
      <c r="BG48" s="56"/>
      <c r="BH48" s="56"/>
      <c r="BI48" s="56"/>
      <c r="BJ48" s="56"/>
      <c r="BK48" s="56"/>
      <c r="BL48" s="56"/>
      <c r="BM48" s="56"/>
      <c r="BN48" s="56"/>
      <c r="BO48" s="56"/>
      <c r="BP48" s="56"/>
      <c r="BQ48" s="56"/>
      <c r="BR48" s="56"/>
      <c r="BS48" s="56"/>
      <c r="BT48" s="56"/>
      <c r="BU48" s="56"/>
      <c r="BV48" s="56"/>
      <c r="BW48" s="56"/>
      <c r="BX48" s="56"/>
      <c r="BY48" s="56"/>
      <c r="BZ48" s="56"/>
      <c r="CA48" s="56"/>
      <c r="CB48" s="56"/>
      <c r="CC48" s="56"/>
      <c r="CD48" s="56"/>
      <c r="CE48" s="56"/>
      <c r="CF48" s="56"/>
      <c r="CG48" s="56"/>
      <c r="CH48" s="56"/>
      <c r="CI48" s="56"/>
      <c r="CJ48" s="56"/>
      <c r="CK48" s="56"/>
      <c r="CL48" s="56"/>
      <c r="CM48" s="56"/>
      <c r="CN48" s="56"/>
      <c r="CO48" s="56"/>
      <c r="CP48" s="56"/>
      <c r="CQ48" s="56"/>
      <c r="CR48" s="56"/>
      <c r="CS48" s="56"/>
      <c r="CT48" s="56"/>
      <c r="CU48" s="56"/>
      <c r="CV48" s="56"/>
      <c r="CW48" s="56"/>
      <c r="CX48" s="56"/>
      <c r="CY48" s="56"/>
      <c r="CZ48" s="56"/>
      <c r="DA48" s="56"/>
      <c r="DB48" s="56"/>
      <c r="DC48" s="56"/>
      <c r="DD48" s="56"/>
      <c r="DE48" s="56"/>
      <c r="DF48" s="56"/>
      <c r="DG48" s="56"/>
      <c r="DH48" s="56"/>
      <c r="DI48" s="56"/>
      <c r="DJ48" s="56"/>
      <c r="DK48" s="56"/>
      <c r="DL48" s="56"/>
      <c r="DM48" s="56"/>
      <c r="DN48" s="56"/>
      <c r="DO48" s="56"/>
      <c r="DP48" s="56"/>
      <c r="DQ48" s="56"/>
      <c r="DR48" s="56"/>
      <c r="DS48" s="56"/>
      <c r="DT48" s="56"/>
      <c r="DU48" s="56"/>
      <c r="DV48" s="56"/>
      <c r="DW48" s="56"/>
      <c r="DX48" s="56"/>
      <c r="DY48" s="56"/>
      <c r="DZ48" s="56"/>
      <c r="EA48" s="56"/>
      <c r="EB48" s="56"/>
      <c r="EC48" s="56"/>
      <c r="ED48" s="56"/>
      <c r="EE48" s="56"/>
      <c r="EF48" s="56"/>
      <c r="EG48" s="56"/>
      <c r="EH48" s="56"/>
      <c r="EI48" s="56"/>
      <c r="EJ48" s="56"/>
      <c r="EK48" s="56"/>
      <c r="EL48" s="56"/>
      <c r="EM48" s="56"/>
      <c r="EN48" s="56"/>
      <c r="EO48" s="56"/>
      <c r="EP48" s="56"/>
      <c r="EQ48" s="56"/>
      <c r="ER48" s="56"/>
      <c r="ES48" s="56"/>
      <c r="ET48" s="56"/>
      <c r="EU48" s="56"/>
      <c r="EV48" s="56"/>
      <c r="EW48" s="56"/>
      <c r="EX48" s="56"/>
      <c r="EY48" s="56"/>
      <c r="EZ48" s="56"/>
      <c r="FA48" s="56"/>
      <c r="FB48" s="56"/>
      <c r="FC48" s="56"/>
      <c r="FD48" s="56"/>
      <c r="FE48" s="56"/>
      <c r="FF48" s="56"/>
      <c r="FG48" s="56"/>
      <c r="FH48" s="56"/>
      <c r="FI48" s="56"/>
      <c r="FJ48" s="56"/>
      <c r="FK48" s="56"/>
      <c r="FL48" s="56"/>
      <c r="FM48" s="56"/>
      <c r="FN48" s="56"/>
      <c r="FO48" s="56"/>
      <c r="FP48" s="56"/>
      <c r="FQ48" s="56"/>
      <c r="FR48" s="56"/>
      <c r="FS48" s="56"/>
      <c r="FT48" s="56"/>
      <c r="FU48" s="56"/>
      <c r="FV48" s="56"/>
      <c r="FW48" s="56"/>
      <c r="FX48" s="56"/>
      <c r="FY48" s="56"/>
      <c r="FZ48" s="56"/>
      <c r="GA48" s="56"/>
      <c r="GB48" s="56"/>
      <c r="GC48" s="56"/>
      <c r="GD48" s="56"/>
      <c r="GE48" s="56"/>
      <c r="GF48" s="56"/>
      <c r="GG48" s="56"/>
      <c r="GH48" s="56"/>
      <c r="GI48" s="56"/>
      <c r="GJ48" s="56"/>
      <c r="GK48" s="56"/>
      <c r="GL48" s="56"/>
      <c r="GM48" s="56"/>
      <c r="GN48" s="56"/>
      <c r="GO48" s="56"/>
      <c r="GP48" s="56"/>
      <c r="GQ48" s="56"/>
      <c r="GR48" s="56"/>
      <c r="GS48" s="56"/>
      <c r="GT48" s="56">
        <v>1.5</v>
      </c>
      <c r="GU48" s="56">
        <v>160.9</v>
      </c>
      <c r="GV48" s="56">
        <v>58.4</v>
      </c>
      <c r="GW48" s="56">
        <v>34.5</v>
      </c>
      <c r="GX48" s="56">
        <v>21.4</v>
      </c>
      <c r="GY48" s="56">
        <v>13.3</v>
      </c>
      <c r="GZ48" s="56">
        <v>18.7</v>
      </c>
      <c r="HA48" s="56">
        <v>32.200000000000003</v>
      </c>
      <c r="HB48" s="56">
        <v>26.9</v>
      </c>
      <c r="HC48">
        <v>20</v>
      </c>
      <c r="HD48">
        <v>8.1</v>
      </c>
      <c r="HE48">
        <v>4.9000000000000004</v>
      </c>
    </row>
    <row r="49" spans="1:213" x14ac:dyDescent="0.35">
      <c r="A49" s="56" t="s">
        <v>2284</v>
      </c>
      <c r="B49" s="56"/>
      <c r="C49" s="56"/>
      <c r="D49" s="56"/>
      <c r="E49" s="56"/>
      <c r="F49" s="56"/>
      <c r="G49" s="56"/>
      <c r="H49" s="56"/>
      <c r="I49" s="56"/>
      <c r="J49" s="56"/>
      <c r="K49" s="56"/>
      <c r="L49" s="56"/>
      <c r="M49" s="56"/>
      <c r="N49" s="56"/>
      <c r="O49" s="56"/>
      <c r="P49" s="56"/>
      <c r="Q49" s="56"/>
      <c r="R49" s="56"/>
      <c r="S49" s="56"/>
      <c r="T49" s="56"/>
      <c r="U49" s="56"/>
      <c r="V49" s="56"/>
      <c r="W49" s="56"/>
      <c r="X49" s="56"/>
      <c r="Y49" s="56"/>
      <c r="Z49" s="56"/>
      <c r="AA49" s="56"/>
      <c r="AB49" s="56"/>
      <c r="AC49" s="56"/>
      <c r="AD49" s="56"/>
      <c r="AE49" s="56"/>
      <c r="AF49" s="56"/>
      <c r="AG49" s="56"/>
      <c r="AH49" s="56"/>
      <c r="AI49" s="56"/>
      <c r="AJ49" s="56"/>
      <c r="AK49" s="56"/>
      <c r="AL49" s="56"/>
      <c r="AM49" s="56"/>
      <c r="AN49" s="56"/>
      <c r="AO49" s="56"/>
      <c r="AP49" s="56"/>
      <c r="AQ49" s="56"/>
      <c r="AR49" s="56"/>
      <c r="AS49" s="56"/>
      <c r="AT49" s="56"/>
      <c r="AU49" s="56"/>
      <c r="AV49" s="56"/>
      <c r="AW49" s="56"/>
      <c r="AX49" s="56"/>
      <c r="AY49" s="56"/>
      <c r="AZ49" s="56"/>
      <c r="BA49" s="56"/>
      <c r="BB49" s="56"/>
      <c r="BC49" s="56"/>
      <c r="BD49" s="56"/>
      <c r="BE49" s="56"/>
      <c r="BF49" s="56"/>
      <c r="BG49" s="56"/>
      <c r="BH49" s="56"/>
      <c r="BI49" s="56"/>
      <c r="BJ49" s="56"/>
      <c r="BK49" s="56"/>
      <c r="BL49" s="56"/>
      <c r="BM49" s="56"/>
      <c r="BN49" s="56"/>
      <c r="BO49" s="56"/>
      <c r="BP49" s="56"/>
      <c r="BQ49" s="56"/>
      <c r="BR49" s="56"/>
      <c r="BS49" s="56"/>
      <c r="BT49" s="56"/>
      <c r="BU49" s="56"/>
      <c r="BV49" s="56"/>
      <c r="BW49" s="56"/>
      <c r="BX49" s="56"/>
      <c r="BY49" s="56"/>
      <c r="BZ49" s="56"/>
      <c r="CA49" s="56"/>
      <c r="CB49" s="56"/>
      <c r="CC49" s="56"/>
      <c r="CD49" s="56"/>
      <c r="CE49" s="56"/>
      <c r="CF49" s="56"/>
      <c r="CG49" s="56"/>
      <c r="CH49" s="56"/>
      <c r="CI49" s="56"/>
      <c r="CJ49" s="56"/>
      <c r="CK49" s="56"/>
      <c r="CL49" s="56"/>
      <c r="CM49" s="56"/>
      <c r="CN49" s="56"/>
      <c r="CO49" s="56"/>
      <c r="CP49" s="56"/>
      <c r="CQ49" s="56"/>
      <c r="CR49" s="56"/>
      <c r="CS49" s="56"/>
      <c r="CT49" s="56"/>
      <c r="CU49" s="56"/>
      <c r="CV49" s="56"/>
      <c r="CW49" s="56"/>
      <c r="CX49" s="56"/>
      <c r="CY49" s="56"/>
      <c r="CZ49" s="56"/>
      <c r="DA49" s="56"/>
      <c r="DB49" s="56"/>
      <c r="DC49" s="56"/>
      <c r="DD49" s="56"/>
      <c r="DE49" s="56"/>
      <c r="DF49" s="56"/>
      <c r="DG49" s="56"/>
      <c r="DH49" s="56"/>
      <c r="DI49" s="56"/>
      <c r="DJ49" s="56"/>
      <c r="DK49" s="56"/>
      <c r="DL49" s="56"/>
      <c r="DM49" s="56"/>
      <c r="DN49" s="56"/>
      <c r="DO49" s="56"/>
      <c r="DP49" s="56"/>
      <c r="DQ49" s="56"/>
      <c r="DR49" s="56"/>
      <c r="DS49" s="56"/>
      <c r="DT49" s="56"/>
      <c r="DU49" s="56"/>
      <c r="DV49" s="56"/>
      <c r="DW49" s="56"/>
      <c r="DX49" s="56"/>
      <c r="DY49" s="56"/>
      <c r="DZ49" s="56"/>
      <c r="EA49" s="56"/>
      <c r="EB49" s="56"/>
      <c r="EC49" s="56"/>
      <c r="ED49" s="56"/>
      <c r="EE49" s="56"/>
      <c r="EF49" s="56"/>
      <c r="EG49" s="56"/>
      <c r="EH49" s="56"/>
      <c r="EI49" s="56"/>
      <c r="EJ49" s="56"/>
      <c r="EK49" s="56"/>
      <c r="EL49" s="56"/>
      <c r="EM49" s="56"/>
      <c r="EN49" s="56"/>
      <c r="EO49" s="56"/>
      <c r="EP49" s="56"/>
      <c r="EQ49" s="56"/>
      <c r="ER49" s="56"/>
      <c r="ES49" s="56"/>
      <c r="ET49" s="56"/>
      <c r="EU49" s="56"/>
      <c r="EV49" s="56"/>
      <c r="EW49" s="56"/>
      <c r="EX49" s="56"/>
      <c r="EY49" s="56"/>
      <c r="EZ49" s="56"/>
      <c r="FA49" s="56"/>
      <c r="FB49" s="56"/>
      <c r="FC49" s="56"/>
      <c r="FD49" s="56"/>
      <c r="FE49" s="56"/>
      <c r="FF49" s="56"/>
      <c r="FG49" s="56"/>
      <c r="FH49" s="56"/>
      <c r="FI49" s="56"/>
      <c r="FJ49" s="56"/>
      <c r="FK49" s="56"/>
      <c r="FL49" s="56"/>
      <c r="FM49" s="56"/>
      <c r="FN49" s="56"/>
      <c r="FO49" s="56"/>
      <c r="FP49" s="56"/>
      <c r="FQ49" s="56"/>
      <c r="FR49" s="56"/>
      <c r="FS49" s="56"/>
      <c r="FT49" s="56"/>
      <c r="FU49" s="56"/>
      <c r="FV49" s="56"/>
      <c r="FW49" s="56"/>
      <c r="FX49" s="56"/>
      <c r="FY49" s="56"/>
      <c r="FZ49" s="56"/>
      <c r="GA49" s="56"/>
      <c r="GB49" s="56"/>
      <c r="GC49" s="56"/>
      <c r="GD49" s="56"/>
      <c r="GE49" s="56"/>
      <c r="GF49" s="56"/>
      <c r="GG49" s="56"/>
      <c r="GH49" s="56"/>
      <c r="GI49" s="56"/>
      <c r="GJ49" s="56"/>
      <c r="GK49" s="56"/>
      <c r="GL49" s="56"/>
      <c r="GM49" s="56"/>
      <c r="GN49" s="56"/>
      <c r="GO49" s="56"/>
      <c r="GP49" s="56"/>
      <c r="GQ49" s="56"/>
      <c r="GR49" s="56"/>
      <c r="GS49" s="56"/>
      <c r="GT49" s="56"/>
      <c r="GU49" s="56">
        <v>576.9</v>
      </c>
      <c r="GV49" s="56">
        <v>819.5</v>
      </c>
      <c r="GW49" s="56">
        <v>246.3</v>
      </c>
      <c r="GX49" s="56">
        <v>197</v>
      </c>
      <c r="GY49" s="56">
        <v>441.2</v>
      </c>
      <c r="GZ49" s="56">
        <v>276.7</v>
      </c>
      <c r="HA49" s="56">
        <v>28.2</v>
      </c>
      <c r="HB49" s="56">
        <v>0</v>
      </c>
      <c r="HC49">
        <v>0</v>
      </c>
      <c r="HD49">
        <v>0</v>
      </c>
      <c r="HE49">
        <v>0</v>
      </c>
    </row>
    <row r="50" spans="1:213" x14ac:dyDescent="0.35">
      <c r="A50" s="56" t="s">
        <v>2285</v>
      </c>
      <c r="B50" s="56"/>
      <c r="C50" s="56"/>
      <c r="D50" s="56"/>
      <c r="E50" s="56"/>
      <c r="F50" s="56"/>
      <c r="G50" s="56"/>
      <c r="H50" s="56"/>
      <c r="I50" s="56"/>
      <c r="J50" s="56"/>
      <c r="K50" s="56"/>
      <c r="L50" s="56"/>
      <c r="M50" s="56"/>
      <c r="N50" s="56"/>
      <c r="O50" s="56"/>
      <c r="P50" s="56"/>
      <c r="Q50" s="56"/>
      <c r="R50" s="56"/>
      <c r="S50" s="56"/>
      <c r="T50" s="56"/>
      <c r="U50" s="56"/>
      <c r="V50" s="56"/>
      <c r="W50" s="56"/>
      <c r="X50" s="56"/>
      <c r="Y50" s="56"/>
      <c r="Z50" s="56"/>
      <c r="AA50" s="56"/>
      <c r="AB50" s="56"/>
      <c r="AC50" s="56"/>
      <c r="AD50" s="56"/>
      <c r="AE50" s="56"/>
      <c r="AF50" s="56"/>
      <c r="AG50" s="56"/>
      <c r="AH50" s="56"/>
      <c r="AI50" s="56"/>
      <c r="AJ50" s="56"/>
      <c r="AK50" s="56"/>
      <c r="AL50" s="56"/>
      <c r="AM50" s="56"/>
      <c r="AN50" s="56"/>
      <c r="AO50" s="56"/>
      <c r="AP50" s="56"/>
      <c r="AQ50" s="56"/>
      <c r="AR50" s="56"/>
      <c r="AS50" s="56"/>
      <c r="AT50" s="56"/>
      <c r="AU50" s="56"/>
      <c r="AV50" s="56"/>
      <c r="AW50" s="56"/>
      <c r="AX50" s="56"/>
      <c r="AY50" s="56"/>
      <c r="AZ50" s="56"/>
      <c r="BA50" s="56"/>
      <c r="BB50" s="56"/>
      <c r="BC50" s="56"/>
      <c r="BD50" s="56"/>
      <c r="BE50" s="56"/>
      <c r="BF50" s="56"/>
      <c r="BG50" s="56"/>
      <c r="BH50" s="56"/>
      <c r="BI50" s="56"/>
      <c r="BJ50" s="56"/>
      <c r="BK50" s="56"/>
      <c r="BL50" s="56"/>
      <c r="BM50" s="56"/>
      <c r="BN50" s="56"/>
      <c r="BO50" s="56"/>
      <c r="BP50" s="56"/>
      <c r="BQ50" s="56"/>
      <c r="BR50" s="56"/>
      <c r="BS50" s="56"/>
      <c r="BT50" s="56"/>
      <c r="BU50" s="56"/>
      <c r="BV50" s="56"/>
      <c r="BW50" s="56"/>
      <c r="BX50" s="56"/>
      <c r="BY50" s="56"/>
      <c r="BZ50" s="56"/>
      <c r="CA50" s="56"/>
      <c r="CB50" s="56"/>
      <c r="CC50" s="56"/>
      <c r="CD50" s="56"/>
      <c r="CE50" s="56"/>
      <c r="CF50" s="56"/>
      <c r="CG50" s="56"/>
      <c r="CH50" s="56"/>
      <c r="CI50" s="56"/>
      <c r="CJ50" s="56"/>
      <c r="CK50" s="56"/>
      <c r="CL50" s="56"/>
      <c r="CM50" s="56"/>
      <c r="CN50" s="56"/>
      <c r="CO50" s="56"/>
      <c r="CP50" s="56"/>
      <c r="CQ50" s="56"/>
      <c r="CR50" s="56"/>
      <c r="CS50" s="56"/>
      <c r="CT50" s="56"/>
      <c r="CU50" s="56"/>
      <c r="CV50" s="56"/>
      <c r="CW50" s="56"/>
      <c r="CX50" s="56"/>
      <c r="CY50" s="56"/>
      <c r="CZ50" s="56"/>
      <c r="DA50" s="56"/>
      <c r="DB50" s="56"/>
      <c r="DC50" s="56"/>
      <c r="DD50" s="56"/>
      <c r="DE50" s="56"/>
      <c r="DF50" s="56"/>
      <c r="DG50" s="56"/>
      <c r="DH50" s="56"/>
      <c r="DI50" s="56"/>
      <c r="DJ50" s="56"/>
      <c r="DK50" s="56"/>
      <c r="DL50" s="56"/>
      <c r="DM50" s="56"/>
      <c r="DN50" s="56"/>
      <c r="DO50" s="56"/>
      <c r="DP50" s="56"/>
      <c r="DQ50" s="56"/>
      <c r="DR50" s="56"/>
      <c r="DS50" s="56"/>
      <c r="DT50" s="56"/>
      <c r="DU50" s="56"/>
      <c r="DV50" s="56"/>
      <c r="DW50" s="56"/>
      <c r="DX50" s="56"/>
      <c r="DY50" s="56"/>
      <c r="DZ50" s="56"/>
      <c r="EA50" s="56"/>
      <c r="EB50" s="56"/>
      <c r="EC50" s="56"/>
      <c r="ED50" s="56"/>
      <c r="EE50" s="56"/>
      <c r="EF50" s="56"/>
      <c r="EG50" s="56"/>
      <c r="EH50" s="56"/>
      <c r="EI50" s="56"/>
      <c r="EJ50" s="56"/>
      <c r="EK50" s="56"/>
      <c r="EL50" s="56"/>
      <c r="EM50" s="56"/>
      <c r="EN50" s="56"/>
      <c r="EO50" s="56"/>
      <c r="EP50" s="56"/>
      <c r="EQ50" s="56"/>
      <c r="ER50" s="56"/>
      <c r="ES50" s="56"/>
      <c r="ET50" s="56"/>
      <c r="EU50" s="56"/>
      <c r="EV50" s="56"/>
      <c r="EW50" s="56"/>
      <c r="EX50" s="56"/>
      <c r="EY50" s="56"/>
      <c r="EZ50" s="56"/>
      <c r="FA50" s="56"/>
      <c r="FB50" s="56"/>
      <c r="FC50" s="56"/>
      <c r="FD50" s="56"/>
      <c r="FE50" s="56"/>
      <c r="FF50" s="56"/>
      <c r="FG50" s="56"/>
      <c r="FH50" s="56"/>
      <c r="FI50" s="56"/>
      <c r="FJ50" s="56"/>
      <c r="FK50" s="56"/>
      <c r="FL50" s="56"/>
      <c r="FM50" s="56"/>
      <c r="FN50" s="56"/>
      <c r="FO50" s="56"/>
      <c r="FP50" s="56"/>
      <c r="FQ50" s="56"/>
      <c r="FR50" s="56"/>
      <c r="FS50" s="56"/>
      <c r="FT50" s="56"/>
      <c r="FU50" s="56"/>
      <c r="FV50" s="56"/>
      <c r="FW50" s="56"/>
      <c r="FX50" s="56"/>
      <c r="FY50" s="56"/>
      <c r="FZ50" s="56"/>
      <c r="GA50" s="56"/>
      <c r="GB50" s="56"/>
      <c r="GC50" s="56"/>
      <c r="GD50" s="56"/>
      <c r="GE50" s="56"/>
      <c r="GF50" s="56"/>
      <c r="GG50" s="56"/>
      <c r="GH50" s="56"/>
      <c r="GI50" s="56"/>
      <c r="GJ50" s="56"/>
      <c r="GK50" s="56"/>
      <c r="GL50" s="56"/>
      <c r="GM50" s="56"/>
      <c r="GN50" s="56"/>
      <c r="GO50" s="56"/>
      <c r="GP50" s="56"/>
      <c r="GQ50" s="56"/>
      <c r="GR50" s="56"/>
      <c r="GS50" s="56"/>
      <c r="GT50" s="56"/>
      <c r="GU50" s="56">
        <v>63.8</v>
      </c>
      <c r="GV50" s="56">
        <v>15</v>
      </c>
      <c r="GW50" s="56">
        <v>0.1</v>
      </c>
      <c r="GX50" s="56">
        <v>38</v>
      </c>
      <c r="GY50" s="56">
        <v>47.3</v>
      </c>
      <c r="GZ50" s="56">
        <v>0.7</v>
      </c>
      <c r="HA50" s="56">
        <v>0</v>
      </c>
      <c r="HB50" s="56">
        <v>0.3</v>
      </c>
      <c r="HC50">
        <v>0.2</v>
      </c>
      <c r="HD50">
        <v>0.3</v>
      </c>
      <c r="HE50">
        <v>0.4</v>
      </c>
    </row>
    <row r="51" spans="1:213" x14ac:dyDescent="0.35">
      <c r="A51" s="56" t="s">
        <v>2286</v>
      </c>
      <c r="B51" s="56"/>
      <c r="C51" s="56"/>
      <c r="D51" s="56"/>
      <c r="E51" s="56"/>
      <c r="F51" s="56"/>
      <c r="G51" s="56"/>
      <c r="H51" s="56"/>
      <c r="I51" s="56"/>
      <c r="J51" s="56"/>
      <c r="K51" s="56"/>
      <c r="L51" s="56"/>
      <c r="M51" s="56"/>
      <c r="N51" s="56"/>
      <c r="O51" s="56"/>
      <c r="P51" s="56"/>
      <c r="Q51" s="56"/>
      <c r="R51" s="56"/>
      <c r="S51" s="56"/>
      <c r="T51" s="56"/>
      <c r="U51" s="56"/>
      <c r="V51" s="56"/>
      <c r="W51" s="56"/>
      <c r="X51" s="56"/>
      <c r="Y51" s="56"/>
      <c r="Z51" s="56"/>
      <c r="AA51" s="56"/>
      <c r="AB51" s="56"/>
      <c r="AC51" s="56"/>
      <c r="AD51" s="56"/>
      <c r="AE51" s="56"/>
      <c r="AF51" s="56"/>
      <c r="AG51" s="56"/>
      <c r="AH51" s="56"/>
      <c r="AI51" s="56"/>
      <c r="AJ51" s="56"/>
      <c r="AK51" s="56"/>
      <c r="AL51" s="56"/>
      <c r="AM51" s="56"/>
      <c r="AN51" s="56"/>
      <c r="AO51" s="56"/>
      <c r="AP51" s="56"/>
      <c r="AQ51" s="56"/>
      <c r="AR51" s="56"/>
      <c r="AS51" s="56"/>
      <c r="AT51" s="56"/>
      <c r="AU51" s="56"/>
      <c r="AV51" s="56"/>
      <c r="AW51" s="56"/>
      <c r="AX51" s="56"/>
      <c r="AY51" s="56"/>
      <c r="AZ51" s="56"/>
      <c r="BA51" s="56"/>
      <c r="BB51" s="56"/>
      <c r="BC51" s="56"/>
      <c r="BD51" s="56"/>
      <c r="BE51" s="56"/>
      <c r="BF51" s="56"/>
      <c r="BG51" s="56"/>
      <c r="BH51" s="56"/>
      <c r="BI51" s="56"/>
      <c r="BJ51" s="56"/>
      <c r="BK51" s="56"/>
      <c r="BL51" s="56"/>
      <c r="BM51" s="56"/>
      <c r="BN51" s="56"/>
      <c r="BO51" s="56"/>
      <c r="BP51" s="56"/>
      <c r="BQ51" s="56"/>
      <c r="BR51" s="56"/>
      <c r="BS51" s="56"/>
      <c r="BT51" s="56"/>
      <c r="BU51" s="56"/>
      <c r="BV51" s="56"/>
      <c r="BW51" s="56"/>
      <c r="BX51" s="56"/>
      <c r="BY51" s="56"/>
      <c r="BZ51" s="56"/>
      <c r="CA51" s="56"/>
      <c r="CB51" s="56"/>
      <c r="CC51" s="56"/>
      <c r="CD51" s="56"/>
      <c r="CE51" s="56"/>
      <c r="CF51" s="56"/>
      <c r="CG51" s="56"/>
      <c r="CH51" s="56"/>
      <c r="CI51" s="56"/>
      <c r="CJ51" s="56"/>
      <c r="CK51" s="56"/>
      <c r="CL51" s="56"/>
      <c r="CM51" s="56"/>
      <c r="CN51" s="56"/>
      <c r="CO51" s="56"/>
      <c r="CP51" s="56"/>
      <c r="CQ51" s="56"/>
      <c r="CR51" s="56"/>
      <c r="CS51" s="56"/>
      <c r="CT51" s="56"/>
      <c r="CU51" s="56"/>
      <c r="CV51" s="56"/>
      <c r="CW51" s="56"/>
      <c r="CX51" s="56"/>
      <c r="CY51" s="56"/>
      <c r="CZ51" s="56"/>
      <c r="DA51" s="56"/>
      <c r="DB51" s="56"/>
      <c r="DC51" s="56"/>
      <c r="DD51" s="56"/>
      <c r="DE51" s="56"/>
      <c r="DF51" s="56"/>
      <c r="DG51" s="56"/>
      <c r="DH51" s="56"/>
      <c r="DI51" s="56"/>
      <c r="DJ51" s="56"/>
      <c r="DK51" s="56"/>
      <c r="DL51" s="56"/>
      <c r="DM51" s="56"/>
      <c r="DN51" s="56"/>
      <c r="DO51" s="56"/>
      <c r="DP51" s="56"/>
      <c r="DQ51" s="56"/>
      <c r="DR51" s="56"/>
      <c r="DS51" s="56"/>
      <c r="DT51" s="56"/>
      <c r="DU51" s="56"/>
      <c r="DV51" s="56"/>
      <c r="DW51" s="56"/>
      <c r="DX51" s="56"/>
      <c r="DY51" s="56"/>
      <c r="DZ51" s="56"/>
      <c r="EA51" s="56"/>
      <c r="EB51" s="56"/>
      <c r="EC51" s="56"/>
      <c r="ED51" s="56"/>
      <c r="EE51" s="56"/>
      <c r="EF51" s="56"/>
      <c r="EG51" s="56"/>
      <c r="EH51" s="56"/>
      <c r="EI51" s="56"/>
      <c r="EJ51" s="56"/>
      <c r="EK51" s="56"/>
      <c r="EL51" s="56"/>
      <c r="EM51" s="56"/>
      <c r="EN51" s="56"/>
      <c r="EO51" s="56"/>
      <c r="EP51" s="56"/>
      <c r="EQ51" s="56"/>
      <c r="ER51" s="56"/>
      <c r="ES51" s="56"/>
      <c r="ET51" s="56"/>
      <c r="EU51" s="56"/>
      <c r="EV51" s="56"/>
      <c r="EW51" s="56"/>
      <c r="EX51" s="56"/>
      <c r="EY51" s="56"/>
      <c r="EZ51" s="56"/>
      <c r="FA51" s="56"/>
      <c r="FB51" s="56"/>
      <c r="FC51" s="56"/>
      <c r="FD51" s="56"/>
      <c r="FE51" s="56"/>
      <c r="FF51" s="56"/>
      <c r="FG51" s="56"/>
      <c r="FH51" s="56"/>
      <c r="FI51" s="56"/>
      <c r="FJ51" s="56"/>
      <c r="FK51" s="56"/>
      <c r="FL51" s="56"/>
      <c r="FM51" s="56"/>
      <c r="FN51" s="56"/>
      <c r="FO51" s="56"/>
      <c r="FP51" s="56"/>
      <c r="FQ51" s="56"/>
      <c r="FR51" s="56"/>
      <c r="FS51" s="56"/>
      <c r="FT51" s="56"/>
      <c r="FU51" s="56"/>
      <c r="FV51" s="56"/>
      <c r="FW51" s="56"/>
      <c r="FX51" s="56"/>
      <c r="FY51" s="56"/>
      <c r="FZ51" s="56"/>
      <c r="GA51" s="56"/>
      <c r="GB51" s="56"/>
      <c r="GC51" s="56"/>
      <c r="GD51" s="56"/>
      <c r="GE51" s="56"/>
      <c r="GF51" s="56"/>
      <c r="GG51" s="56"/>
      <c r="GH51" s="56"/>
      <c r="GI51" s="56"/>
      <c r="GJ51" s="56"/>
      <c r="GK51" s="56"/>
      <c r="GL51" s="56"/>
      <c r="GM51" s="56"/>
      <c r="GN51" s="56"/>
      <c r="GO51" s="56"/>
      <c r="GP51" s="56"/>
      <c r="GQ51" s="56"/>
      <c r="GR51" s="56"/>
      <c r="GS51" s="56"/>
      <c r="GT51" s="56"/>
      <c r="GU51" s="56">
        <v>73.3</v>
      </c>
      <c r="GV51" s="56">
        <v>73.3</v>
      </c>
      <c r="GW51" s="56">
        <v>73.3</v>
      </c>
      <c r="GX51" s="56">
        <v>39.799999999999997</v>
      </c>
      <c r="GY51" s="56">
        <v>43</v>
      </c>
      <c r="GZ51" s="56">
        <v>45.7</v>
      </c>
      <c r="HA51" s="56">
        <v>51.5</v>
      </c>
      <c r="HB51" s="56">
        <v>0</v>
      </c>
      <c r="HC51">
        <v>0</v>
      </c>
      <c r="HD51">
        <v>0</v>
      </c>
      <c r="HE51">
        <v>0</v>
      </c>
    </row>
    <row r="52" spans="1:213" x14ac:dyDescent="0.35">
      <c r="A52" s="56" t="s">
        <v>2287</v>
      </c>
      <c r="B52" s="56"/>
      <c r="C52" s="56"/>
      <c r="D52" s="56"/>
      <c r="E52" s="56"/>
      <c r="F52" s="56"/>
      <c r="G52" s="56"/>
      <c r="H52" s="56"/>
      <c r="I52" s="56"/>
      <c r="J52" s="56"/>
      <c r="K52" s="56"/>
      <c r="L52" s="56"/>
      <c r="M52" s="56"/>
      <c r="N52" s="56"/>
      <c r="O52" s="56"/>
      <c r="P52" s="56"/>
      <c r="Q52" s="56"/>
      <c r="R52" s="56"/>
      <c r="S52" s="56"/>
      <c r="T52" s="56"/>
      <c r="U52" s="56"/>
      <c r="V52" s="56"/>
      <c r="W52" s="56"/>
      <c r="X52" s="56"/>
      <c r="Y52" s="56"/>
      <c r="Z52" s="56"/>
      <c r="AA52" s="56"/>
      <c r="AB52" s="56"/>
      <c r="AC52" s="56"/>
      <c r="AD52" s="56"/>
      <c r="AE52" s="56"/>
      <c r="AF52" s="56"/>
      <c r="AG52" s="56"/>
      <c r="AH52" s="56"/>
      <c r="AI52" s="56"/>
      <c r="AJ52" s="56"/>
      <c r="AK52" s="56"/>
      <c r="AL52" s="56"/>
      <c r="AM52" s="56"/>
      <c r="AN52" s="56"/>
      <c r="AO52" s="56"/>
      <c r="AP52" s="56"/>
      <c r="AQ52" s="56"/>
      <c r="AR52" s="56"/>
      <c r="AS52" s="56"/>
      <c r="AT52" s="56"/>
      <c r="AU52" s="56"/>
      <c r="AV52" s="56"/>
      <c r="AW52" s="56"/>
      <c r="AX52" s="56"/>
      <c r="AY52" s="56"/>
      <c r="AZ52" s="56"/>
      <c r="BA52" s="56"/>
      <c r="BB52" s="56"/>
      <c r="BC52" s="56"/>
      <c r="BD52" s="56"/>
      <c r="BE52" s="56"/>
      <c r="BF52" s="56"/>
      <c r="BG52" s="56"/>
      <c r="BH52" s="56"/>
      <c r="BI52" s="56"/>
      <c r="BJ52" s="56"/>
      <c r="BK52" s="56"/>
      <c r="BL52" s="56"/>
      <c r="BM52" s="56"/>
      <c r="BN52" s="56"/>
      <c r="BO52" s="56"/>
      <c r="BP52" s="56"/>
      <c r="BQ52" s="56"/>
      <c r="BR52" s="56"/>
      <c r="BS52" s="56"/>
      <c r="BT52" s="56"/>
      <c r="BU52" s="56"/>
      <c r="BV52" s="56"/>
      <c r="BW52" s="56"/>
      <c r="BX52" s="56"/>
      <c r="BY52" s="56"/>
      <c r="BZ52" s="56"/>
      <c r="CA52" s="56"/>
      <c r="CB52" s="56"/>
      <c r="CC52" s="56"/>
      <c r="CD52" s="56"/>
      <c r="CE52" s="56"/>
      <c r="CF52" s="56"/>
      <c r="CG52" s="56"/>
      <c r="CH52" s="56"/>
      <c r="CI52" s="56"/>
      <c r="CJ52" s="56"/>
      <c r="CK52" s="56"/>
      <c r="CL52" s="56"/>
      <c r="CM52" s="56"/>
      <c r="CN52" s="56"/>
      <c r="CO52" s="56"/>
      <c r="CP52" s="56"/>
      <c r="CQ52" s="56"/>
      <c r="CR52" s="56"/>
      <c r="CS52" s="56"/>
      <c r="CT52" s="56"/>
      <c r="CU52" s="56"/>
      <c r="CV52" s="56"/>
      <c r="CW52" s="56"/>
      <c r="CX52" s="56"/>
      <c r="CY52" s="56"/>
      <c r="CZ52" s="56"/>
      <c r="DA52" s="56"/>
      <c r="DB52" s="56"/>
      <c r="DC52" s="56"/>
      <c r="DD52" s="56"/>
      <c r="DE52" s="56"/>
      <c r="DF52" s="56"/>
      <c r="DG52" s="56"/>
      <c r="DH52" s="56"/>
      <c r="DI52" s="56"/>
      <c r="DJ52" s="56"/>
      <c r="DK52" s="56"/>
      <c r="DL52" s="56"/>
      <c r="DM52" s="56"/>
      <c r="DN52" s="56"/>
      <c r="DO52" s="56"/>
      <c r="DP52" s="56"/>
      <c r="DQ52" s="56"/>
      <c r="DR52" s="56"/>
      <c r="DS52" s="56"/>
      <c r="DT52" s="56"/>
      <c r="DU52" s="56"/>
      <c r="DV52" s="56"/>
      <c r="DW52" s="56"/>
      <c r="DX52" s="56"/>
      <c r="DY52" s="56"/>
      <c r="DZ52" s="56"/>
      <c r="EA52" s="56"/>
      <c r="EB52" s="56"/>
      <c r="EC52" s="56"/>
      <c r="ED52" s="56"/>
      <c r="EE52" s="56"/>
      <c r="EF52" s="56"/>
      <c r="EG52" s="56"/>
      <c r="EH52" s="56"/>
      <c r="EI52" s="56"/>
      <c r="EJ52" s="56"/>
      <c r="EK52" s="56"/>
      <c r="EL52" s="56"/>
      <c r="EM52" s="56"/>
      <c r="EN52" s="56"/>
      <c r="EO52" s="56"/>
      <c r="EP52" s="56"/>
      <c r="EQ52" s="56"/>
      <c r="ER52" s="56"/>
      <c r="ES52" s="56"/>
      <c r="ET52" s="56"/>
      <c r="EU52" s="56"/>
      <c r="EV52" s="56"/>
      <c r="EW52" s="56"/>
      <c r="EX52" s="56"/>
      <c r="EY52" s="56"/>
      <c r="EZ52" s="56"/>
      <c r="FA52" s="56"/>
      <c r="FB52" s="56"/>
      <c r="FC52" s="56"/>
      <c r="FD52" s="56"/>
      <c r="FE52" s="56"/>
      <c r="FF52" s="56"/>
      <c r="FG52" s="56"/>
      <c r="FH52" s="56"/>
      <c r="FI52" s="56"/>
      <c r="FJ52" s="56"/>
      <c r="FK52" s="56"/>
      <c r="FL52" s="56"/>
      <c r="FM52" s="56"/>
      <c r="FN52" s="56"/>
      <c r="FO52" s="56"/>
      <c r="FP52" s="56"/>
      <c r="FQ52" s="56"/>
      <c r="FR52" s="56"/>
      <c r="FS52" s="56"/>
      <c r="FT52" s="56"/>
      <c r="FU52" s="56"/>
      <c r="FV52" s="56"/>
      <c r="FW52" s="56"/>
      <c r="FX52" s="56"/>
      <c r="FY52" s="56"/>
      <c r="FZ52" s="56"/>
      <c r="GA52" s="56"/>
      <c r="GB52" s="56"/>
      <c r="GC52" s="56"/>
      <c r="GD52" s="56"/>
      <c r="GE52" s="56"/>
      <c r="GF52" s="56"/>
      <c r="GG52" s="56"/>
      <c r="GH52" s="56"/>
      <c r="GI52" s="56"/>
      <c r="GJ52" s="56"/>
      <c r="GK52" s="56"/>
      <c r="GL52" s="56"/>
      <c r="GM52" s="56"/>
      <c r="GN52" s="56"/>
      <c r="GO52" s="56"/>
      <c r="GP52" s="56"/>
      <c r="GQ52" s="56"/>
      <c r="GR52" s="56"/>
      <c r="GS52" s="56"/>
      <c r="GT52" s="56"/>
      <c r="GU52" s="56">
        <v>22</v>
      </c>
      <c r="GV52" s="56">
        <v>25.3</v>
      </c>
      <c r="GW52" s="56">
        <v>11.8</v>
      </c>
      <c r="GX52" s="56">
        <v>11.9</v>
      </c>
      <c r="GY52" s="56">
        <v>11.3</v>
      </c>
      <c r="GZ52" s="56">
        <v>13.6</v>
      </c>
      <c r="HA52" s="56">
        <v>19</v>
      </c>
      <c r="HB52" s="56">
        <v>21.8</v>
      </c>
      <c r="HC52">
        <v>22.3</v>
      </c>
      <c r="HD52">
        <v>20.2</v>
      </c>
      <c r="HE52">
        <v>15.8</v>
      </c>
    </row>
    <row r="53" spans="1:213" x14ac:dyDescent="0.35">
      <c r="A53" s="56" t="s">
        <v>2288</v>
      </c>
      <c r="B53" s="56"/>
      <c r="C53" s="56"/>
      <c r="D53" s="56"/>
      <c r="E53" s="56"/>
      <c r="F53" s="56"/>
      <c r="G53" s="56"/>
      <c r="H53" s="56"/>
      <c r="I53" s="56"/>
      <c r="J53" s="56"/>
      <c r="K53" s="56"/>
      <c r="L53" s="56"/>
      <c r="M53" s="56"/>
      <c r="N53" s="56"/>
      <c r="O53" s="56"/>
      <c r="P53" s="56"/>
      <c r="Q53" s="56"/>
      <c r="R53" s="56"/>
      <c r="S53" s="56"/>
      <c r="T53" s="56"/>
      <c r="U53" s="56"/>
      <c r="V53" s="56"/>
      <c r="W53" s="56"/>
      <c r="X53" s="56"/>
      <c r="Y53" s="56"/>
      <c r="Z53" s="56"/>
      <c r="AA53" s="56"/>
      <c r="AB53" s="56"/>
      <c r="AC53" s="56"/>
      <c r="AD53" s="56"/>
      <c r="AE53" s="56"/>
      <c r="AF53" s="56"/>
      <c r="AG53" s="56"/>
      <c r="AH53" s="56"/>
      <c r="AI53" s="56"/>
      <c r="AJ53" s="56"/>
      <c r="AK53" s="56"/>
      <c r="AL53" s="56"/>
      <c r="AM53" s="56"/>
      <c r="AN53" s="56"/>
      <c r="AO53" s="56"/>
      <c r="AP53" s="56"/>
      <c r="AQ53" s="56"/>
      <c r="AR53" s="56"/>
      <c r="AS53" s="56"/>
      <c r="AT53" s="56"/>
      <c r="AU53" s="56"/>
      <c r="AV53" s="56"/>
      <c r="AW53" s="56"/>
      <c r="AX53" s="56"/>
      <c r="AY53" s="56"/>
      <c r="AZ53" s="56"/>
      <c r="BA53" s="56"/>
      <c r="BB53" s="56"/>
      <c r="BC53" s="56"/>
      <c r="BD53" s="56"/>
      <c r="BE53" s="56"/>
      <c r="BF53" s="56"/>
      <c r="BG53" s="56"/>
      <c r="BH53" s="56"/>
      <c r="BI53" s="56"/>
      <c r="BJ53" s="56"/>
      <c r="BK53" s="56"/>
      <c r="BL53" s="56"/>
      <c r="BM53" s="56"/>
      <c r="BN53" s="56"/>
      <c r="BO53" s="56"/>
      <c r="BP53" s="56"/>
      <c r="BQ53" s="56"/>
      <c r="BR53" s="56"/>
      <c r="BS53" s="56"/>
      <c r="BT53" s="56"/>
      <c r="BU53" s="56"/>
      <c r="BV53" s="56"/>
      <c r="BW53" s="56"/>
      <c r="BX53" s="56"/>
      <c r="BY53" s="56"/>
      <c r="BZ53" s="56"/>
      <c r="CA53" s="56"/>
      <c r="CB53" s="56"/>
      <c r="CC53" s="56"/>
      <c r="CD53" s="56"/>
      <c r="CE53" s="56"/>
      <c r="CF53" s="56"/>
      <c r="CG53" s="56"/>
      <c r="CH53" s="56"/>
      <c r="CI53" s="56"/>
      <c r="CJ53" s="56"/>
      <c r="CK53" s="56"/>
      <c r="CL53" s="56"/>
      <c r="CM53" s="56"/>
      <c r="CN53" s="56"/>
      <c r="CO53" s="56"/>
      <c r="CP53" s="56"/>
      <c r="CQ53" s="56"/>
      <c r="CR53" s="56"/>
      <c r="CS53" s="56"/>
      <c r="CT53" s="56"/>
      <c r="CU53" s="56"/>
      <c r="CV53" s="56"/>
      <c r="CW53" s="56"/>
      <c r="CX53" s="56"/>
      <c r="CY53" s="56"/>
      <c r="CZ53" s="56"/>
      <c r="DA53" s="56"/>
      <c r="DB53" s="56"/>
      <c r="DC53" s="56"/>
      <c r="DD53" s="56"/>
      <c r="DE53" s="56"/>
      <c r="DF53" s="56"/>
      <c r="DG53" s="56"/>
      <c r="DH53" s="56"/>
      <c r="DI53" s="56"/>
      <c r="DJ53" s="56"/>
      <c r="DK53" s="56"/>
      <c r="DL53" s="56"/>
      <c r="DM53" s="56"/>
      <c r="DN53" s="56"/>
      <c r="DO53" s="56"/>
      <c r="DP53" s="56"/>
      <c r="DQ53" s="56"/>
      <c r="DR53" s="56"/>
      <c r="DS53" s="56"/>
      <c r="DT53" s="56"/>
      <c r="DU53" s="56"/>
      <c r="DV53" s="56"/>
      <c r="DW53" s="56"/>
      <c r="DX53" s="56"/>
      <c r="DY53" s="56"/>
      <c r="DZ53" s="56"/>
      <c r="EA53" s="56"/>
      <c r="EB53" s="56"/>
      <c r="EC53" s="56"/>
      <c r="ED53" s="56"/>
      <c r="EE53" s="56"/>
      <c r="EF53" s="56"/>
      <c r="EG53" s="56"/>
      <c r="EH53" s="56"/>
      <c r="EI53" s="56"/>
      <c r="EJ53" s="56"/>
      <c r="EK53" s="56"/>
      <c r="EL53" s="56"/>
      <c r="EM53" s="56"/>
      <c r="EN53" s="56"/>
      <c r="EO53" s="56"/>
      <c r="EP53" s="56"/>
      <c r="EQ53" s="56"/>
      <c r="ER53" s="56"/>
      <c r="ES53" s="56"/>
      <c r="ET53" s="56"/>
      <c r="EU53" s="56"/>
      <c r="EV53" s="56"/>
      <c r="EW53" s="56"/>
      <c r="EX53" s="56"/>
      <c r="EY53" s="56"/>
      <c r="EZ53" s="56"/>
      <c r="FA53" s="56"/>
      <c r="FB53" s="56"/>
      <c r="FC53" s="56"/>
      <c r="FD53" s="56"/>
      <c r="FE53" s="56"/>
      <c r="FF53" s="56"/>
      <c r="FG53" s="56"/>
      <c r="FH53" s="56"/>
      <c r="FI53" s="56"/>
      <c r="FJ53" s="56"/>
      <c r="FK53" s="56"/>
      <c r="FL53" s="56"/>
      <c r="FM53" s="56"/>
      <c r="FN53" s="56"/>
      <c r="FO53" s="56"/>
      <c r="FP53" s="56"/>
      <c r="FQ53" s="56"/>
      <c r="FR53" s="56"/>
      <c r="FS53" s="56"/>
      <c r="FT53" s="56"/>
      <c r="FU53" s="56"/>
      <c r="FV53" s="56"/>
      <c r="FW53" s="56"/>
      <c r="FX53" s="56"/>
      <c r="FY53" s="56"/>
      <c r="FZ53" s="56"/>
      <c r="GA53" s="56"/>
      <c r="GB53" s="56"/>
      <c r="GC53" s="56"/>
      <c r="GD53" s="56"/>
      <c r="GE53" s="56"/>
      <c r="GF53" s="56"/>
      <c r="GG53" s="56"/>
      <c r="GH53" s="56"/>
      <c r="GI53" s="56"/>
      <c r="GJ53" s="56"/>
      <c r="GK53" s="56"/>
      <c r="GL53" s="56"/>
      <c r="GM53" s="56"/>
      <c r="GN53" s="56"/>
      <c r="GO53" s="56"/>
      <c r="GP53" s="56"/>
      <c r="GQ53" s="56"/>
      <c r="GR53" s="56"/>
      <c r="GS53" s="56"/>
      <c r="GT53" s="56"/>
      <c r="GU53" s="56">
        <v>16.899999999999999</v>
      </c>
      <c r="GV53" s="56">
        <v>18.399999999999999</v>
      </c>
      <c r="GW53" s="56">
        <v>46.2</v>
      </c>
      <c r="GX53" s="56">
        <v>0.9</v>
      </c>
      <c r="GY53" s="56">
        <v>14.1</v>
      </c>
      <c r="GZ53" s="56">
        <v>8.6</v>
      </c>
      <c r="HA53" s="56">
        <v>1.2</v>
      </c>
      <c r="HB53" s="56">
        <v>0.6</v>
      </c>
      <c r="HC53">
        <v>0</v>
      </c>
      <c r="HD53">
        <v>0</v>
      </c>
      <c r="HE53">
        <v>0</v>
      </c>
    </row>
    <row r="54" spans="1:213" x14ac:dyDescent="0.35">
      <c r="A54" s="56" t="s">
        <v>2289</v>
      </c>
      <c r="B54" s="56"/>
      <c r="C54" s="56"/>
      <c r="D54" s="56"/>
      <c r="E54" s="56"/>
      <c r="F54" s="56"/>
      <c r="G54" s="56"/>
      <c r="H54" s="56"/>
      <c r="I54" s="56"/>
      <c r="J54" s="56"/>
      <c r="K54" s="56"/>
      <c r="L54" s="56"/>
      <c r="M54" s="56"/>
      <c r="N54" s="56"/>
      <c r="O54" s="56"/>
      <c r="P54" s="56"/>
      <c r="Q54" s="56"/>
      <c r="R54" s="56"/>
      <c r="S54" s="56"/>
      <c r="T54" s="56"/>
      <c r="U54" s="56"/>
      <c r="V54" s="56"/>
      <c r="W54" s="56"/>
      <c r="X54" s="56"/>
      <c r="Y54" s="56"/>
      <c r="Z54" s="56"/>
      <c r="AA54" s="56"/>
      <c r="AB54" s="56"/>
      <c r="AC54" s="56"/>
      <c r="AD54" s="56"/>
      <c r="AE54" s="56"/>
      <c r="AF54" s="56"/>
      <c r="AG54" s="56"/>
      <c r="AH54" s="56"/>
      <c r="AI54" s="56"/>
      <c r="AJ54" s="56"/>
      <c r="AK54" s="56"/>
      <c r="AL54" s="56"/>
      <c r="AM54" s="56"/>
      <c r="AN54" s="56"/>
      <c r="AO54" s="56"/>
      <c r="AP54" s="56"/>
      <c r="AQ54" s="56"/>
      <c r="AR54" s="56"/>
      <c r="AS54" s="56"/>
      <c r="AT54" s="56"/>
      <c r="AU54" s="56"/>
      <c r="AV54" s="56"/>
      <c r="AW54" s="56"/>
      <c r="AX54" s="56"/>
      <c r="AY54" s="56"/>
      <c r="AZ54" s="56"/>
      <c r="BA54" s="56"/>
      <c r="BB54" s="56"/>
      <c r="BC54" s="56"/>
      <c r="BD54" s="56"/>
      <c r="BE54" s="56"/>
      <c r="BF54" s="56"/>
      <c r="BG54" s="56"/>
      <c r="BH54" s="56"/>
      <c r="BI54" s="56"/>
      <c r="BJ54" s="56"/>
      <c r="BK54" s="56"/>
      <c r="BL54" s="56"/>
      <c r="BM54" s="56"/>
      <c r="BN54" s="56"/>
      <c r="BO54" s="56"/>
      <c r="BP54" s="56"/>
      <c r="BQ54" s="56"/>
      <c r="BR54" s="56"/>
      <c r="BS54" s="56"/>
      <c r="BT54" s="56"/>
      <c r="BU54" s="56"/>
      <c r="BV54" s="56"/>
      <c r="BW54" s="56"/>
      <c r="BX54" s="56"/>
      <c r="BY54" s="56"/>
      <c r="BZ54" s="56"/>
      <c r="CA54" s="56"/>
      <c r="CB54" s="56"/>
      <c r="CC54" s="56"/>
      <c r="CD54" s="56"/>
      <c r="CE54" s="56"/>
      <c r="CF54" s="56"/>
      <c r="CG54" s="56"/>
      <c r="CH54" s="56"/>
      <c r="CI54" s="56"/>
      <c r="CJ54" s="56"/>
      <c r="CK54" s="56"/>
      <c r="CL54" s="56"/>
      <c r="CM54" s="56"/>
      <c r="CN54" s="56"/>
      <c r="CO54" s="56"/>
      <c r="CP54" s="56"/>
      <c r="CQ54" s="56"/>
      <c r="CR54" s="56"/>
      <c r="CS54" s="56"/>
      <c r="CT54" s="56"/>
      <c r="CU54" s="56"/>
      <c r="CV54" s="56"/>
      <c r="CW54" s="56"/>
      <c r="CX54" s="56"/>
      <c r="CY54" s="56"/>
      <c r="CZ54" s="56"/>
      <c r="DA54" s="56"/>
      <c r="DB54" s="56"/>
      <c r="DC54" s="56"/>
      <c r="DD54" s="56"/>
      <c r="DE54" s="56"/>
      <c r="DF54" s="56"/>
      <c r="DG54" s="56"/>
      <c r="DH54" s="56"/>
      <c r="DI54" s="56"/>
      <c r="DJ54" s="56"/>
      <c r="DK54" s="56"/>
      <c r="DL54" s="56"/>
      <c r="DM54" s="56"/>
      <c r="DN54" s="56"/>
      <c r="DO54" s="56"/>
      <c r="DP54" s="56"/>
      <c r="DQ54" s="56"/>
      <c r="DR54" s="56"/>
      <c r="DS54" s="56"/>
      <c r="DT54" s="56"/>
      <c r="DU54" s="56"/>
      <c r="DV54" s="56"/>
      <c r="DW54" s="56"/>
      <c r="DX54" s="56"/>
      <c r="DY54" s="56"/>
      <c r="DZ54" s="56"/>
      <c r="EA54" s="56"/>
      <c r="EB54" s="56"/>
      <c r="EC54" s="56"/>
      <c r="ED54" s="56"/>
      <c r="EE54" s="56"/>
      <c r="EF54" s="56"/>
      <c r="EG54" s="56"/>
      <c r="EH54" s="56"/>
      <c r="EI54" s="56"/>
      <c r="EJ54" s="56"/>
      <c r="EK54" s="56"/>
      <c r="EL54" s="56"/>
      <c r="EM54" s="56"/>
      <c r="EN54" s="56"/>
      <c r="EO54" s="56"/>
      <c r="EP54" s="56"/>
      <c r="EQ54" s="56"/>
      <c r="ER54" s="56"/>
      <c r="ES54" s="56"/>
      <c r="ET54" s="56"/>
      <c r="EU54" s="56"/>
      <c r="EV54" s="56"/>
      <c r="EW54" s="56"/>
      <c r="EX54" s="56"/>
      <c r="EY54" s="56"/>
      <c r="EZ54" s="56"/>
      <c r="FA54" s="56"/>
      <c r="FB54" s="56"/>
      <c r="FC54" s="56"/>
      <c r="FD54" s="56"/>
      <c r="FE54" s="56"/>
      <c r="FF54" s="56"/>
      <c r="FG54" s="56"/>
      <c r="FH54" s="56"/>
      <c r="FI54" s="56"/>
      <c r="FJ54" s="56"/>
      <c r="FK54" s="56"/>
      <c r="FL54" s="56"/>
      <c r="FM54" s="56"/>
      <c r="FN54" s="56"/>
      <c r="FO54" s="56"/>
      <c r="FP54" s="56"/>
      <c r="FQ54" s="56"/>
      <c r="FR54" s="56"/>
      <c r="FS54" s="56"/>
      <c r="FT54" s="56"/>
      <c r="FU54" s="56"/>
      <c r="FV54" s="56"/>
      <c r="FW54" s="56"/>
      <c r="FX54" s="56"/>
      <c r="FY54" s="56"/>
      <c r="FZ54" s="56"/>
      <c r="GA54" s="56"/>
      <c r="GB54" s="56"/>
      <c r="GC54" s="56"/>
      <c r="GD54" s="56"/>
      <c r="GE54" s="56"/>
      <c r="GF54" s="56"/>
      <c r="GG54" s="56"/>
      <c r="GH54" s="56"/>
      <c r="GI54" s="56"/>
      <c r="GJ54" s="56"/>
      <c r="GK54" s="56"/>
      <c r="GL54" s="56"/>
      <c r="GM54" s="56"/>
      <c r="GN54" s="56"/>
      <c r="GO54" s="56"/>
      <c r="GP54" s="56"/>
      <c r="GQ54" s="56"/>
      <c r="GR54" s="56"/>
      <c r="GS54" s="56"/>
      <c r="GT54" s="56"/>
      <c r="GU54" s="56">
        <v>96.6</v>
      </c>
      <c r="GV54" s="56">
        <v>35.1</v>
      </c>
      <c r="GW54" s="56">
        <v>20.7</v>
      </c>
      <c r="GX54" s="56">
        <v>15.4</v>
      </c>
      <c r="GY54" s="56">
        <v>9.6</v>
      </c>
      <c r="GZ54" s="56">
        <v>13.5</v>
      </c>
      <c r="HA54" s="56">
        <v>23.2</v>
      </c>
      <c r="HB54" s="56">
        <v>19.3</v>
      </c>
      <c r="HC54">
        <v>14.4</v>
      </c>
      <c r="HD54">
        <v>5.9</v>
      </c>
      <c r="HE54">
        <v>3.6</v>
      </c>
    </row>
    <row r="55" spans="1:213" x14ac:dyDescent="0.35">
      <c r="A55" s="56" t="s">
        <v>2290</v>
      </c>
      <c r="B55" s="56"/>
      <c r="C55" s="56"/>
      <c r="D55" s="56"/>
      <c r="E55" s="56"/>
      <c r="F55" s="56"/>
      <c r="G55" s="56"/>
      <c r="H55" s="56"/>
      <c r="I55" s="56"/>
      <c r="J55" s="56"/>
      <c r="K55" s="56"/>
      <c r="L55" s="56"/>
      <c r="M55" s="56"/>
      <c r="N55" s="56"/>
      <c r="O55" s="56"/>
      <c r="P55" s="56"/>
      <c r="Q55" s="56"/>
      <c r="R55" s="56"/>
      <c r="S55" s="56"/>
      <c r="T55" s="56"/>
      <c r="U55" s="56"/>
      <c r="V55" s="56"/>
      <c r="W55" s="56"/>
      <c r="X55" s="56"/>
      <c r="Y55" s="56"/>
      <c r="Z55" s="56"/>
      <c r="AA55" s="56"/>
      <c r="AB55" s="56"/>
      <c r="AC55" s="56"/>
      <c r="AD55" s="56"/>
      <c r="AE55" s="56"/>
      <c r="AF55" s="56"/>
      <c r="AG55" s="56"/>
      <c r="AH55" s="56"/>
      <c r="AI55" s="56"/>
      <c r="AJ55" s="56"/>
      <c r="AK55" s="56"/>
      <c r="AL55" s="56"/>
      <c r="AM55" s="56"/>
      <c r="AN55" s="56"/>
      <c r="AO55" s="56"/>
      <c r="AP55" s="56"/>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c r="BO55" s="56"/>
      <c r="BP55" s="56"/>
      <c r="BQ55" s="56"/>
      <c r="BR55" s="56"/>
      <c r="BS55" s="56"/>
      <c r="BT55" s="56"/>
      <c r="BU55" s="56"/>
      <c r="BV55" s="56"/>
      <c r="BW55" s="56"/>
      <c r="BX55" s="56"/>
      <c r="BY55" s="56"/>
      <c r="BZ55" s="56"/>
      <c r="CA55" s="56"/>
      <c r="CB55" s="56"/>
      <c r="CC55" s="56"/>
      <c r="CD55" s="56"/>
      <c r="CE55" s="56"/>
      <c r="CF55" s="56"/>
      <c r="CG55" s="56"/>
      <c r="CH55" s="56"/>
      <c r="CI55" s="56"/>
      <c r="CJ55" s="56"/>
      <c r="CK55" s="56"/>
      <c r="CL55" s="56"/>
      <c r="CM55" s="56"/>
      <c r="CN55" s="56"/>
      <c r="CO55" s="56"/>
      <c r="CP55" s="56"/>
      <c r="CQ55" s="56"/>
      <c r="CR55" s="56"/>
      <c r="CS55" s="56"/>
      <c r="CT55" s="56"/>
      <c r="CU55" s="56"/>
      <c r="CV55" s="56"/>
      <c r="CW55" s="56"/>
      <c r="CX55" s="56"/>
      <c r="CY55" s="56"/>
      <c r="CZ55" s="56"/>
      <c r="DA55" s="56"/>
      <c r="DB55" s="56"/>
      <c r="DC55" s="56"/>
      <c r="DD55" s="56"/>
      <c r="DE55" s="56"/>
      <c r="DF55" s="56"/>
      <c r="DG55" s="56"/>
      <c r="DH55" s="56"/>
      <c r="DI55" s="56"/>
      <c r="DJ55" s="56"/>
      <c r="DK55" s="56"/>
      <c r="DL55" s="56"/>
      <c r="DM55" s="56"/>
      <c r="DN55" s="56"/>
      <c r="DO55" s="56"/>
      <c r="DP55" s="56"/>
      <c r="DQ55" s="56"/>
      <c r="DR55" s="56"/>
      <c r="DS55" s="56"/>
      <c r="DT55" s="56"/>
      <c r="DU55" s="56"/>
      <c r="DV55" s="56"/>
      <c r="DW55" s="56"/>
      <c r="DX55" s="56"/>
      <c r="DY55" s="56"/>
      <c r="DZ55" s="56"/>
      <c r="EA55" s="56"/>
      <c r="EB55" s="56"/>
      <c r="EC55" s="56"/>
      <c r="ED55" s="56"/>
      <c r="EE55" s="56"/>
      <c r="EF55" s="56"/>
      <c r="EG55" s="56"/>
      <c r="EH55" s="56"/>
      <c r="EI55" s="56"/>
      <c r="EJ55" s="56"/>
      <c r="EK55" s="56"/>
      <c r="EL55" s="56"/>
      <c r="EM55" s="56"/>
      <c r="EN55" s="56"/>
      <c r="EO55" s="56"/>
      <c r="EP55" s="56"/>
      <c r="EQ55" s="56"/>
      <c r="ER55" s="56"/>
      <c r="ES55" s="56"/>
      <c r="ET55" s="56"/>
      <c r="EU55" s="56"/>
      <c r="EV55" s="56"/>
      <c r="EW55" s="56"/>
      <c r="EX55" s="56"/>
      <c r="EY55" s="56"/>
      <c r="EZ55" s="56"/>
      <c r="FA55" s="56"/>
      <c r="FB55" s="56"/>
      <c r="FC55" s="56"/>
      <c r="FD55" s="56"/>
      <c r="FE55" s="56"/>
      <c r="FF55" s="56"/>
      <c r="FG55" s="56"/>
      <c r="FH55" s="56"/>
      <c r="FI55" s="56"/>
      <c r="FJ55" s="56"/>
      <c r="FK55" s="56"/>
      <c r="FL55" s="56"/>
      <c r="FM55" s="56"/>
      <c r="FN55" s="56"/>
      <c r="FO55" s="56"/>
      <c r="FP55" s="56"/>
      <c r="FQ55" s="56"/>
      <c r="FR55" s="56"/>
      <c r="FS55" s="56"/>
      <c r="FT55" s="56"/>
      <c r="FU55" s="56"/>
      <c r="FV55" s="56"/>
      <c r="FW55" s="56"/>
      <c r="FX55" s="56"/>
      <c r="FY55" s="56"/>
      <c r="FZ55" s="56"/>
      <c r="GA55" s="56"/>
      <c r="GB55" s="56"/>
      <c r="GC55" s="56"/>
      <c r="GD55" s="56"/>
      <c r="GE55" s="56"/>
      <c r="GF55" s="56"/>
      <c r="GG55" s="56"/>
      <c r="GH55" s="56"/>
      <c r="GI55" s="56"/>
      <c r="GJ55" s="56"/>
      <c r="GK55" s="56"/>
      <c r="GL55" s="56"/>
      <c r="GM55" s="56"/>
      <c r="GN55" s="56"/>
      <c r="GO55" s="56"/>
      <c r="GP55" s="56"/>
      <c r="GQ55" s="56"/>
      <c r="GR55" s="56"/>
      <c r="GS55" s="56"/>
      <c r="GT55" s="56"/>
      <c r="GU55" s="56">
        <v>140</v>
      </c>
      <c r="GV55" s="56">
        <v>140</v>
      </c>
      <c r="GW55" s="56">
        <v>140</v>
      </c>
      <c r="GX55" s="56">
        <v>4.8</v>
      </c>
      <c r="GY55" s="56">
        <v>4.4000000000000004</v>
      </c>
      <c r="GZ55" s="56">
        <v>5.3</v>
      </c>
      <c r="HA55" s="56">
        <v>4.7</v>
      </c>
      <c r="HB55" s="56">
        <v>0</v>
      </c>
      <c r="HC55">
        <v>0</v>
      </c>
      <c r="HD55">
        <v>0</v>
      </c>
      <c r="HE55">
        <v>0</v>
      </c>
    </row>
    <row r="56" spans="1:213" x14ac:dyDescent="0.35">
      <c r="A56" s="56" t="s">
        <v>2291</v>
      </c>
      <c r="B56" s="56"/>
      <c r="C56" s="56"/>
      <c r="D56" s="56"/>
      <c r="E56" s="56"/>
      <c r="F56" s="56"/>
      <c r="G56" s="56"/>
      <c r="H56" s="56"/>
      <c r="I56" s="56"/>
      <c r="J56" s="56"/>
      <c r="K56" s="56"/>
      <c r="L56" s="56"/>
      <c r="M56" s="56"/>
      <c r="N56" s="56"/>
      <c r="O56" s="56"/>
      <c r="P56" s="56"/>
      <c r="Q56" s="56"/>
      <c r="R56" s="56"/>
      <c r="S56" s="56"/>
      <c r="T56" s="56"/>
      <c r="U56" s="56"/>
      <c r="V56" s="56"/>
      <c r="W56" s="56"/>
      <c r="X56" s="56"/>
      <c r="Y56" s="56"/>
      <c r="Z56" s="56"/>
      <c r="AA56" s="56"/>
      <c r="AB56" s="56"/>
      <c r="AC56" s="56"/>
      <c r="AD56" s="56"/>
      <c r="AE56" s="56"/>
      <c r="AF56" s="56"/>
      <c r="AG56" s="56"/>
      <c r="AH56" s="56"/>
      <c r="AI56" s="56"/>
      <c r="AJ56" s="56"/>
      <c r="AK56" s="56"/>
      <c r="AL56" s="56"/>
      <c r="AM56" s="56"/>
      <c r="AN56" s="56"/>
      <c r="AO56" s="56"/>
      <c r="AP56" s="56"/>
      <c r="AQ56" s="56"/>
      <c r="AR56" s="56"/>
      <c r="AS56" s="56"/>
      <c r="AT56" s="56"/>
      <c r="AU56" s="56"/>
      <c r="AV56" s="56"/>
      <c r="AW56" s="56"/>
      <c r="AX56" s="56"/>
      <c r="AY56" s="56"/>
      <c r="AZ56" s="56"/>
      <c r="BA56" s="56"/>
      <c r="BB56" s="56"/>
      <c r="BC56" s="56"/>
      <c r="BD56" s="56"/>
      <c r="BE56" s="56"/>
      <c r="BF56" s="56"/>
      <c r="BG56" s="56"/>
      <c r="BH56" s="56"/>
      <c r="BI56" s="56"/>
      <c r="BJ56" s="56"/>
      <c r="BK56" s="56"/>
      <c r="BL56" s="56"/>
      <c r="BM56" s="56"/>
      <c r="BN56" s="56"/>
      <c r="BO56" s="56"/>
      <c r="BP56" s="56"/>
      <c r="BQ56" s="56"/>
      <c r="BR56" s="56"/>
      <c r="BS56" s="56"/>
      <c r="BT56" s="56"/>
      <c r="BU56" s="56"/>
      <c r="BV56" s="56"/>
      <c r="BW56" s="56"/>
      <c r="BX56" s="56"/>
      <c r="BY56" s="56"/>
      <c r="BZ56" s="56"/>
      <c r="CA56" s="56"/>
      <c r="CB56" s="56"/>
      <c r="CC56" s="56"/>
      <c r="CD56" s="56"/>
      <c r="CE56" s="56"/>
      <c r="CF56" s="56"/>
      <c r="CG56" s="56"/>
      <c r="CH56" s="56"/>
      <c r="CI56" s="56"/>
      <c r="CJ56" s="56"/>
      <c r="CK56" s="56"/>
      <c r="CL56" s="56"/>
      <c r="CM56" s="56"/>
      <c r="CN56" s="56"/>
      <c r="CO56" s="56"/>
      <c r="CP56" s="56"/>
      <c r="CQ56" s="56"/>
      <c r="CR56" s="56"/>
      <c r="CS56" s="56"/>
      <c r="CT56" s="56"/>
      <c r="CU56" s="56"/>
      <c r="CV56" s="56"/>
      <c r="CW56" s="56"/>
      <c r="CX56" s="56"/>
      <c r="CY56" s="56"/>
      <c r="CZ56" s="56"/>
      <c r="DA56" s="56"/>
      <c r="DB56" s="56"/>
      <c r="DC56" s="56"/>
      <c r="DD56" s="56"/>
      <c r="DE56" s="56"/>
      <c r="DF56" s="56"/>
      <c r="DG56" s="56"/>
      <c r="DH56" s="56"/>
      <c r="DI56" s="56"/>
      <c r="DJ56" s="56"/>
      <c r="DK56" s="56"/>
      <c r="DL56" s="56"/>
      <c r="DM56" s="56"/>
      <c r="DN56" s="56"/>
      <c r="DO56" s="56"/>
      <c r="DP56" s="56"/>
      <c r="DQ56" s="56"/>
      <c r="DR56" s="56"/>
      <c r="DS56" s="56"/>
      <c r="DT56" s="56"/>
      <c r="DU56" s="56"/>
      <c r="DV56" s="56"/>
      <c r="DW56" s="56"/>
      <c r="DX56" s="56"/>
      <c r="DY56" s="56"/>
      <c r="DZ56" s="56"/>
      <c r="EA56" s="56"/>
      <c r="EB56" s="56"/>
      <c r="EC56" s="56"/>
      <c r="ED56" s="56"/>
      <c r="EE56" s="56"/>
      <c r="EF56" s="56"/>
      <c r="EG56" s="56"/>
      <c r="EH56" s="56"/>
      <c r="EI56" s="56"/>
      <c r="EJ56" s="56"/>
      <c r="EK56" s="56"/>
      <c r="EL56" s="56"/>
      <c r="EM56" s="56"/>
      <c r="EN56" s="56"/>
      <c r="EO56" s="56"/>
      <c r="EP56" s="56"/>
      <c r="EQ56" s="56"/>
      <c r="ER56" s="56"/>
      <c r="ES56" s="56"/>
      <c r="ET56" s="56"/>
      <c r="EU56" s="56"/>
      <c r="EV56" s="56"/>
      <c r="EW56" s="56"/>
      <c r="EX56" s="56"/>
      <c r="EY56" s="56"/>
      <c r="EZ56" s="56"/>
      <c r="FA56" s="56"/>
      <c r="FB56" s="56"/>
      <c r="FC56" s="56"/>
      <c r="FD56" s="56"/>
      <c r="FE56" s="56"/>
      <c r="FF56" s="56"/>
      <c r="FG56" s="56"/>
      <c r="FH56" s="56"/>
      <c r="FI56" s="56"/>
      <c r="FJ56" s="56"/>
      <c r="FK56" s="56"/>
      <c r="FL56" s="56"/>
      <c r="FM56" s="56"/>
      <c r="FN56" s="56"/>
      <c r="FO56" s="56"/>
      <c r="FP56" s="56"/>
      <c r="FQ56" s="56"/>
      <c r="FR56" s="56"/>
      <c r="FS56" s="56"/>
      <c r="FT56" s="56"/>
      <c r="FU56" s="56"/>
      <c r="FV56" s="56"/>
      <c r="FW56" s="56"/>
      <c r="FX56" s="56"/>
      <c r="FY56" s="56"/>
      <c r="FZ56" s="56"/>
      <c r="GA56" s="56"/>
      <c r="GB56" s="56"/>
      <c r="GC56" s="56"/>
      <c r="GD56" s="56"/>
      <c r="GE56" s="56"/>
      <c r="GF56" s="56"/>
      <c r="GG56" s="56"/>
      <c r="GH56" s="56"/>
      <c r="GI56" s="56"/>
      <c r="GJ56" s="56"/>
      <c r="GK56" s="56"/>
      <c r="GL56" s="56"/>
      <c r="GM56" s="56"/>
      <c r="GN56" s="56"/>
      <c r="GO56" s="56"/>
      <c r="GP56" s="56"/>
      <c r="GQ56" s="56"/>
      <c r="GR56" s="56"/>
      <c r="GS56" s="56"/>
      <c r="GT56" s="56"/>
      <c r="GU56" s="56">
        <v>597.9</v>
      </c>
      <c r="GV56" s="56">
        <v>0</v>
      </c>
      <c r="GW56" s="56">
        <v>0</v>
      </c>
      <c r="GX56" s="56">
        <v>0</v>
      </c>
      <c r="GY56" s="56">
        <v>785.9</v>
      </c>
      <c r="GZ56" s="56">
        <v>187.9</v>
      </c>
      <c r="HA56" s="56">
        <v>9.1999999999999993</v>
      </c>
      <c r="HB56" s="56">
        <v>0.6</v>
      </c>
      <c r="HC56">
        <v>0</v>
      </c>
      <c r="HD56">
        <v>0</v>
      </c>
      <c r="HE56">
        <v>0</v>
      </c>
    </row>
    <row r="57" spans="1:213" x14ac:dyDescent="0.35">
      <c r="A57" s="56" t="s">
        <v>2292</v>
      </c>
      <c r="B57" s="56"/>
      <c r="C57" s="56"/>
      <c r="D57" s="56"/>
      <c r="E57" s="56"/>
      <c r="F57" s="56"/>
      <c r="G57" s="56"/>
      <c r="H57" s="56"/>
      <c r="I57" s="56"/>
      <c r="J57" s="56"/>
      <c r="K57" s="56"/>
      <c r="L57" s="56"/>
      <c r="M57" s="56"/>
      <c r="N57" s="56"/>
      <c r="O57" s="56"/>
      <c r="P57" s="56"/>
      <c r="Q57" s="56"/>
      <c r="R57" s="56"/>
      <c r="S57" s="56"/>
      <c r="T57" s="56"/>
      <c r="U57" s="56"/>
      <c r="V57" s="56"/>
      <c r="W57" s="56"/>
      <c r="X57" s="56"/>
      <c r="Y57" s="56"/>
      <c r="Z57" s="56"/>
      <c r="AA57" s="56"/>
      <c r="AB57" s="56"/>
      <c r="AC57" s="56"/>
      <c r="AD57" s="56"/>
      <c r="AE57" s="56"/>
      <c r="AF57" s="56"/>
      <c r="AG57" s="56"/>
      <c r="AH57" s="56"/>
      <c r="AI57" s="56"/>
      <c r="AJ57" s="56"/>
      <c r="AK57" s="56"/>
      <c r="AL57" s="56"/>
      <c r="AM57" s="56"/>
      <c r="AN57" s="56"/>
      <c r="AO57" s="56"/>
      <c r="AP57" s="56"/>
      <c r="AQ57" s="56"/>
      <c r="AR57" s="56"/>
      <c r="AS57" s="56"/>
      <c r="AT57" s="56"/>
      <c r="AU57" s="56"/>
      <c r="AV57" s="56"/>
      <c r="AW57" s="56"/>
      <c r="AX57" s="56"/>
      <c r="AY57" s="56"/>
      <c r="AZ57" s="56"/>
      <c r="BA57" s="56"/>
      <c r="BB57" s="56"/>
      <c r="BC57" s="56"/>
      <c r="BD57" s="56"/>
      <c r="BE57" s="56"/>
      <c r="BF57" s="56"/>
      <c r="BG57" s="56"/>
      <c r="BH57" s="56"/>
      <c r="BI57" s="56"/>
      <c r="BJ57" s="56"/>
      <c r="BK57" s="56"/>
      <c r="BL57" s="56"/>
      <c r="BM57" s="56"/>
      <c r="BN57" s="56"/>
      <c r="BO57" s="56"/>
      <c r="BP57" s="56"/>
      <c r="BQ57" s="56"/>
      <c r="BR57" s="56"/>
      <c r="BS57" s="56"/>
      <c r="BT57" s="56"/>
      <c r="BU57" s="56"/>
      <c r="BV57" s="56"/>
      <c r="BW57" s="56"/>
      <c r="BX57" s="56"/>
      <c r="BY57" s="56"/>
      <c r="BZ57" s="56"/>
      <c r="CA57" s="56"/>
      <c r="CB57" s="56"/>
      <c r="CC57" s="56"/>
      <c r="CD57" s="56"/>
      <c r="CE57" s="56"/>
      <c r="CF57" s="56"/>
      <c r="CG57" s="56"/>
      <c r="CH57" s="56"/>
      <c r="CI57" s="56"/>
      <c r="CJ57" s="56"/>
      <c r="CK57" s="56"/>
      <c r="CL57" s="56"/>
      <c r="CM57" s="56"/>
      <c r="CN57" s="56"/>
      <c r="CO57" s="56"/>
      <c r="CP57" s="56"/>
      <c r="CQ57" s="56"/>
      <c r="CR57" s="56"/>
      <c r="CS57" s="56"/>
      <c r="CT57" s="56"/>
      <c r="CU57" s="56"/>
      <c r="CV57" s="56"/>
      <c r="CW57" s="56"/>
      <c r="CX57" s="56"/>
      <c r="CY57" s="56"/>
      <c r="CZ57" s="56"/>
      <c r="DA57" s="56"/>
      <c r="DB57" s="56"/>
      <c r="DC57" s="56"/>
      <c r="DD57" s="56"/>
      <c r="DE57" s="56"/>
      <c r="DF57" s="56"/>
      <c r="DG57" s="56"/>
      <c r="DH57" s="56"/>
      <c r="DI57" s="56"/>
      <c r="DJ57" s="56"/>
      <c r="DK57" s="56"/>
      <c r="DL57" s="56"/>
      <c r="DM57" s="56"/>
      <c r="DN57" s="56"/>
      <c r="DO57" s="56"/>
      <c r="DP57" s="56"/>
      <c r="DQ57" s="56"/>
      <c r="DR57" s="56"/>
      <c r="DS57" s="56"/>
      <c r="DT57" s="56"/>
      <c r="DU57" s="56"/>
      <c r="DV57" s="56"/>
      <c r="DW57" s="56"/>
      <c r="DX57" s="56"/>
      <c r="DY57" s="56"/>
      <c r="DZ57" s="56"/>
      <c r="EA57" s="56"/>
      <c r="EB57" s="56"/>
      <c r="EC57" s="56"/>
      <c r="ED57" s="56"/>
      <c r="EE57" s="56"/>
      <c r="EF57" s="56"/>
      <c r="EG57" s="56"/>
      <c r="EH57" s="56"/>
      <c r="EI57" s="56"/>
      <c r="EJ57" s="56"/>
      <c r="EK57" s="56"/>
      <c r="EL57" s="56"/>
      <c r="EM57" s="56"/>
      <c r="EN57" s="56"/>
      <c r="EO57" s="56"/>
      <c r="EP57" s="56"/>
      <c r="EQ57" s="56"/>
      <c r="ER57" s="56"/>
      <c r="ES57" s="56"/>
      <c r="ET57" s="56"/>
      <c r="EU57" s="56"/>
      <c r="EV57" s="56"/>
      <c r="EW57" s="56"/>
      <c r="EX57" s="56"/>
      <c r="EY57" s="56"/>
      <c r="EZ57" s="56"/>
      <c r="FA57" s="56"/>
      <c r="FB57" s="56"/>
      <c r="FC57" s="56"/>
      <c r="FD57" s="56"/>
      <c r="FE57" s="56"/>
      <c r="FF57" s="56"/>
      <c r="FG57" s="56"/>
      <c r="FH57" s="56"/>
      <c r="FI57" s="56"/>
      <c r="FJ57" s="56"/>
      <c r="FK57" s="56"/>
      <c r="FL57" s="56"/>
      <c r="FM57" s="56"/>
      <c r="FN57" s="56"/>
      <c r="FO57" s="56"/>
      <c r="FP57" s="56"/>
      <c r="FQ57" s="56"/>
      <c r="FR57" s="56"/>
      <c r="FS57" s="56"/>
      <c r="FT57" s="56"/>
      <c r="FU57" s="56"/>
      <c r="FV57" s="56"/>
      <c r="FW57" s="56"/>
      <c r="FX57" s="56"/>
      <c r="FY57" s="56"/>
      <c r="FZ57" s="56"/>
      <c r="GA57" s="56"/>
      <c r="GB57" s="56"/>
      <c r="GC57" s="56"/>
      <c r="GD57" s="56"/>
      <c r="GE57" s="56"/>
      <c r="GF57" s="56"/>
      <c r="GG57" s="56"/>
      <c r="GH57" s="56"/>
      <c r="GI57" s="56"/>
      <c r="GJ57" s="56"/>
      <c r="GK57" s="56"/>
      <c r="GL57" s="56"/>
      <c r="GM57" s="56"/>
      <c r="GN57" s="56"/>
      <c r="GO57" s="56"/>
      <c r="GP57" s="56"/>
      <c r="GQ57" s="56"/>
      <c r="GR57" s="56"/>
      <c r="GS57" s="56"/>
      <c r="GT57" s="56"/>
      <c r="GU57" s="56">
        <v>28.4</v>
      </c>
      <c r="GV57" s="56">
        <v>15.8</v>
      </c>
      <c r="GW57" s="56">
        <v>15.2</v>
      </c>
      <c r="GX57" s="56">
        <v>28.9</v>
      </c>
      <c r="GY57" s="56">
        <v>67.599999999999994</v>
      </c>
      <c r="GZ57" s="56">
        <v>80.7</v>
      </c>
      <c r="HA57" s="56">
        <v>87.2</v>
      </c>
      <c r="HB57" s="56">
        <v>72.400000000000006</v>
      </c>
      <c r="HC57">
        <v>85.9</v>
      </c>
      <c r="HD57">
        <v>68.3</v>
      </c>
      <c r="HE57">
        <v>64</v>
      </c>
    </row>
    <row r="58" spans="1:213" x14ac:dyDescent="0.35">
      <c r="A58" s="56" t="s">
        <v>2293</v>
      </c>
      <c r="B58" s="56"/>
      <c r="C58" s="56"/>
      <c r="D58" s="56"/>
      <c r="E58" s="56"/>
      <c r="F58" s="56"/>
      <c r="G58" s="56"/>
      <c r="H58" s="56"/>
      <c r="I58" s="56"/>
      <c r="J58" s="56"/>
      <c r="K58" s="56"/>
      <c r="L58" s="56"/>
      <c r="M58" s="56"/>
      <c r="N58" s="56"/>
      <c r="O58" s="56"/>
      <c r="P58" s="56"/>
      <c r="Q58" s="56"/>
      <c r="R58" s="56"/>
      <c r="S58" s="56"/>
      <c r="T58" s="56"/>
      <c r="U58" s="56"/>
      <c r="V58" s="56"/>
      <c r="W58" s="56"/>
      <c r="X58" s="56"/>
      <c r="Y58" s="56"/>
      <c r="Z58" s="56"/>
      <c r="AA58" s="56"/>
      <c r="AB58" s="56"/>
      <c r="AC58" s="56"/>
      <c r="AD58" s="56"/>
      <c r="AE58" s="56"/>
      <c r="AF58" s="56"/>
      <c r="AG58" s="56"/>
      <c r="AH58" s="56"/>
      <c r="AI58" s="56"/>
      <c r="AJ58" s="56"/>
      <c r="AK58" s="56"/>
      <c r="AL58" s="56"/>
      <c r="AM58" s="56"/>
      <c r="AN58" s="56"/>
      <c r="AO58" s="56"/>
      <c r="AP58" s="56"/>
      <c r="AQ58" s="56"/>
      <c r="AR58" s="56"/>
      <c r="AS58" s="56"/>
      <c r="AT58" s="56"/>
      <c r="AU58" s="56"/>
      <c r="AV58" s="56"/>
      <c r="AW58" s="56"/>
      <c r="AX58" s="56"/>
      <c r="AY58" s="56"/>
      <c r="AZ58" s="56"/>
      <c r="BA58" s="56"/>
      <c r="BB58" s="56"/>
      <c r="BC58" s="56"/>
      <c r="BD58" s="56"/>
      <c r="BE58" s="56"/>
      <c r="BF58" s="56"/>
      <c r="BG58" s="56"/>
      <c r="BH58" s="56"/>
      <c r="BI58" s="56"/>
      <c r="BJ58" s="56"/>
      <c r="BK58" s="56"/>
      <c r="BL58" s="56"/>
      <c r="BM58" s="56"/>
      <c r="BN58" s="56"/>
      <c r="BO58" s="56"/>
      <c r="BP58" s="56"/>
      <c r="BQ58" s="56"/>
      <c r="BR58" s="56"/>
      <c r="BS58" s="56"/>
      <c r="BT58" s="56"/>
      <c r="BU58" s="56"/>
      <c r="BV58" s="56"/>
      <c r="BW58" s="56"/>
      <c r="BX58" s="56"/>
      <c r="BY58" s="56"/>
      <c r="BZ58" s="56"/>
      <c r="CA58" s="56"/>
      <c r="CB58" s="56"/>
      <c r="CC58" s="56"/>
      <c r="CD58" s="56"/>
      <c r="CE58" s="56"/>
      <c r="CF58" s="56"/>
      <c r="CG58" s="56"/>
      <c r="CH58" s="56"/>
      <c r="CI58" s="56"/>
      <c r="CJ58" s="56"/>
      <c r="CK58" s="56"/>
      <c r="CL58" s="56"/>
      <c r="CM58" s="56"/>
      <c r="CN58" s="56"/>
      <c r="CO58" s="56"/>
      <c r="CP58" s="56"/>
      <c r="CQ58" s="56"/>
      <c r="CR58" s="56"/>
      <c r="CS58" s="56"/>
      <c r="CT58" s="56"/>
      <c r="CU58" s="56"/>
      <c r="CV58" s="56"/>
      <c r="CW58" s="56"/>
      <c r="CX58" s="56"/>
      <c r="CY58" s="56"/>
      <c r="CZ58" s="56"/>
      <c r="DA58" s="56"/>
      <c r="DB58" s="56"/>
      <c r="DC58" s="56"/>
      <c r="DD58" s="56"/>
      <c r="DE58" s="56"/>
      <c r="DF58" s="56"/>
      <c r="DG58" s="56"/>
      <c r="DH58" s="56"/>
      <c r="DI58" s="56"/>
      <c r="DJ58" s="56"/>
      <c r="DK58" s="56"/>
      <c r="DL58" s="56"/>
      <c r="DM58" s="56"/>
      <c r="DN58" s="56"/>
      <c r="DO58" s="56"/>
      <c r="DP58" s="56"/>
      <c r="DQ58" s="56"/>
      <c r="DR58" s="56"/>
      <c r="DS58" s="56"/>
      <c r="DT58" s="56"/>
      <c r="DU58" s="56"/>
      <c r="DV58" s="56"/>
      <c r="DW58" s="56"/>
      <c r="DX58" s="56"/>
      <c r="DY58" s="56"/>
      <c r="DZ58" s="56"/>
      <c r="EA58" s="56"/>
      <c r="EB58" s="56"/>
      <c r="EC58" s="56"/>
      <c r="ED58" s="56"/>
      <c r="EE58" s="56"/>
      <c r="EF58" s="56"/>
      <c r="EG58" s="56"/>
      <c r="EH58" s="56"/>
      <c r="EI58" s="56"/>
      <c r="EJ58" s="56"/>
      <c r="EK58" s="56"/>
      <c r="EL58" s="56"/>
      <c r="EM58" s="56"/>
      <c r="EN58" s="56"/>
      <c r="EO58" s="56"/>
      <c r="EP58" s="56"/>
      <c r="EQ58" s="56"/>
      <c r="ER58" s="56"/>
      <c r="ES58" s="56"/>
      <c r="ET58" s="56"/>
      <c r="EU58" s="56"/>
      <c r="EV58" s="56"/>
      <c r="EW58" s="56"/>
      <c r="EX58" s="56"/>
      <c r="EY58" s="56"/>
      <c r="EZ58" s="56"/>
      <c r="FA58" s="56"/>
      <c r="FB58" s="56"/>
      <c r="FC58" s="56"/>
      <c r="FD58" s="56"/>
      <c r="FE58" s="56"/>
      <c r="FF58" s="56"/>
      <c r="FG58" s="56"/>
      <c r="FH58" s="56"/>
      <c r="FI58" s="56"/>
      <c r="FJ58" s="56"/>
      <c r="FK58" s="56"/>
      <c r="FL58" s="56"/>
      <c r="FM58" s="56"/>
      <c r="FN58" s="56"/>
      <c r="FO58" s="56"/>
      <c r="FP58" s="56"/>
      <c r="FQ58" s="56"/>
      <c r="FR58" s="56"/>
      <c r="FS58" s="56"/>
      <c r="FT58" s="56"/>
      <c r="FU58" s="56"/>
      <c r="FV58" s="56"/>
      <c r="FW58" s="56"/>
      <c r="FX58" s="56"/>
      <c r="FY58" s="56"/>
      <c r="FZ58" s="56"/>
      <c r="GA58" s="56"/>
      <c r="GB58" s="56"/>
      <c r="GC58" s="56"/>
      <c r="GD58" s="56"/>
      <c r="GE58" s="56"/>
      <c r="GF58" s="56"/>
      <c r="GG58" s="56"/>
      <c r="GH58" s="56"/>
      <c r="GI58" s="56"/>
      <c r="GJ58" s="56"/>
      <c r="GK58" s="56"/>
      <c r="GL58" s="56"/>
      <c r="GM58" s="56"/>
      <c r="GN58" s="56"/>
      <c r="GO58" s="56"/>
      <c r="GP58" s="56"/>
      <c r="GQ58" s="56"/>
      <c r="GR58" s="56"/>
      <c r="GS58" s="56"/>
      <c r="GT58" s="56"/>
      <c r="GU58" s="56">
        <v>64.400000000000006</v>
      </c>
      <c r="GV58" s="56">
        <v>23.4</v>
      </c>
      <c r="GW58" s="56">
        <v>13.8</v>
      </c>
      <c r="GX58" s="56">
        <v>12</v>
      </c>
      <c r="GY58" s="56">
        <v>7.5</v>
      </c>
      <c r="GZ58" s="56">
        <v>10.5</v>
      </c>
      <c r="HA58" s="56">
        <v>18</v>
      </c>
      <c r="HB58" s="56">
        <v>15</v>
      </c>
      <c r="HC58">
        <v>11.2</v>
      </c>
      <c r="HD58">
        <v>7.5</v>
      </c>
      <c r="HE58">
        <v>6.2</v>
      </c>
    </row>
    <row r="59" spans="1:213" x14ac:dyDescent="0.35">
      <c r="A59" s="56" t="s">
        <v>2294</v>
      </c>
      <c r="B59" s="56"/>
      <c r="C59" s="56"/>
      <c r="D59" s="56"/>
      <c r="E59" s="56"/>
      <c r="F59" s="56"/>
      <c r="G59" s="56"/>
      <c r="H59" s="56"/>
      <c r="I59" s="56"/>
      <c r="J59" s="56"/>
      <c r="K59" s="56"/>
      <c r="L59" s="56"/>
      <c r="M59" s="56"/>
      <c r="N59" s="56"/>
      <c r="O59" s="56"/>
      <c r="P59" s="56"/>
      <c r="Q59" s="56"/>
      <c r="R59" s="56"/>
      <c r="S59" s="56"/>
      <c r="T59" s="56"/>
      <c r="U59" s="56"/>
      <c r="V59" s="56"/>
      <c r="W59" s="56"/>
      <c r="X59" s="56"/>
      <c r="Y59" s="56"/>
      <c r="Z59" s="56"/>
      <c r="AA59" s="56"/>
      <c r="AB59" s="56"/>
      <c r="AC59" s="56"/>
      <c r="AD59" s="56"/>
      <c r="AE59" s="56"/>
      <c r="AF59" s="56"/>
      <c r="AG59" s="56"/>
      <c r="AH59" s="56"/>
      <c r="AI59" s="56"/>
      <c r="AJ59" s="56"/>
      <c r="AK59" s="56"/>
      <c r="AL59" s="56"/>
      <c r="AM59" s="56"/>
      <c r="AN59" s="56"/>
      <c r="AO59" s="56"/>
      <c r="AP59" s="56"/>
      <c r="AQ59" s="56"/>
      <c r="AR59" s="56"/>
      <c r="AS59" s="56"/>
      <c r="AT59" s="56"/>
      <c r="AU59" s="56"/>
      <c r="AV59" s="56"/>
      <c r="AW59" s="56"/>
      <c r="AX59" s="56"/>
      <c r="AY59" s="56"/>
      <c r="AZ59" s="56"/>
      <c r="BA59" s="56"/>
      <c r="BB59" s="56"/>
      <c r="BC59" s="56"/>
      <c r="BD59" s="56"/>
      <c r="BE59" s="56"/>
      <c r="BF59" s="56"/>
      <c r="BG59" s="56"/>
      <c r="BH59" s="56"/>
      <c r="BI59" s="56"/>
      <c r="BJ59" s="56"/>
      <c r="BK59" s="56"/>
      <c r="BL59" s="56"/>
      <c r="BM59" s="56"/>
      <c r="BN59" s="56"/>
      <c r="BO59" s="56"/>
      <c r="BP59" s="56"/>
      <c r="BQ59" s="56"/>
      <c r="BR59" s="56"/>
      <c r="BS59" s="56"/>
      <c r="BT59" s="56"/>
      <c r="BU59" s="56"/>
      <c r="BV59" s="56"/>
      <c r="BW59" s="56"/>
      <c r="BX59" s="56"/>
      <c r="BY59" s="56"/>
      <c r="BZ59" s="56"/>
      <c r="CA59" s="56"/>
      <c r="CB59" s="56"/>
      <c r="CC59" s="56"/>
      <c r="CD59" s="56"/>
      <c r="CE59" s="56"/>
      <c r="CF59" s="56"/>
      <c r="CG59" s="56"/>
      <c r="CH59" s="56"/>
      <c r="CI59" s="56"/>
      <c r="CJ59" s="56"/>
      <c r="CK59" s="56"/>
      <c r="CL59" s="56"/>
      <c r="CM59" s="56"/>
      <c r="CN59" s="56"/>
      <c r="CO59" s="56"/>
      <c r="CP59" s="56"/>
      <c r="CQ59" s="56"/>
      <c r="CR59" s="56"/>
      <c r="CS59" s="56"/>
      <c r="CT59" s="56"/>
      <c r="CU59" s="56"/>
      <c r="CV59" s="56"/>
      <c r="CW59" s="56"/>
      <c r="CX59" s="56"/>
      <c r="CY59" s="56"/>
      <c r="CZ59" s="56"/>
      <c r="DA59" s="56"/>
      <c r="DB59" s="56"/>
      <c r="DC59" s="56"/>
      <c r="DD59" s="56"/>
      <c r="DE59" s="56"/>
      <c r="DF59" s="56"/>
      <c r="DG59" s="56"/>
      <c r="DH59" s="56"/>
      <c r="DI59" s="56"/>
      <c r="DJ59" s="56"/>
      <c r="DK59" s="56"/>
      <c r="DL59" s="56"/>
      <c r="DM59" s="56"/>
      <c r="DN59" s="56"/>
      <c r="DO59" s="56"/>
      <c r="DP59" s="56"/>
      <c r="DQ59" s="56"/>
      <c r="DR59" s="56"/>
      <c r="DS59" s="56"/>
      <c r="DT59" s="56"/>
      <c r="DU59" s="56"/>
      <c r="DV59" s="56"/>
      <c r="DW59" s="56"/>
      <c r="DX59" s="56"/>
      <c r="DY59" s="56"/>
      <c r="DZ59" s="56"/>
      <c r="EA59" s="56"/>
      <c r="EB59" s="56"/>
      <c r="EC59" s="56"/>
      <c r="ED59" s="56"/>
      <c r="EE59" s="56"/>
      <c r="EF59" s="56"/>
      <c r="EG59" s="56"/>
      <c r="EH59" s="56"/>
      <c r="EI59" s="56"/>
      <c r="EJ59" s="56"/>
      <c r="EK59" s="56"/>
      <c r="EL59" s="56"/>
      <c r="EM59" s="56"/>
      <c r="EN59" s="56"/>
      <c r="EO59" s="56"/>
      <c r="EP59" s="56"/>
      <c r="EQ59" s="56"/>
      <c r="ER59" s="56"/>
      <c r="ES59" s="56"/>
      <c r="ET59" s="56"/>
      <c r="EU59" s="56"/>
      <c r="EV59" s="56"/>
      <c r="EW59" s="56"/>
      <c r="EX59" s="56"/>
      <c r="EY59" s="56"/>
      <c r="EZ59" s="56"/>
      <c r="FA59" s="56"/>
      <c r="FB59" s="56"/>
      <c r="FC59" s="56"/>
      <c r="FD59" s="56"/>
      <c r="FE59" s="56"/>
      <c r="FF59" s="56"/>
      <c r="FG59" s="56"/>
      <c r="FH59" s="56"/>
      <c r="FI59" s="56"/>
      <c r="FJ59" s="56"/>
      <c r="FK59" s="56"/>
      <c r="FL59" s="56"/>
      <c r="FM59" s="56"/>
      <c r="FN59" s="56"/>
      <c r="FO59" s="56"/>
      <c r="FP59" s="56"/>
      <c r="FQ59" s="56"/>
      <c r="FR59" s="56"/>
      <c r="FS59" s="56"/>
      <c r="FT59" s="56"/>
      <c r="FU59" s="56"/>
      <c r="FV59" s="56"/>
      <c r="FW59" s="56"/>
      <c r="FX59" s="56"/>
      <c r="FY59" s="56"/>
      <c r="FZ59" s="56"/>
      <c r="GA59" s="56"/>
      <c r="GB59" s="56"/>
      <c r="GC59" s="56"/>
      <c r="GD59" s="56"/>
      <c r="GE59" s="56"/>
      <c r="GF59" s="56"/>
      <c r="GG59" s="56"/>
      <c r="GH59" s="56"/>
      <c r="GI59" s="56"/>
      <c r="GJ59" s="56"/>
      <c r="GK59" s="56"/>
      <c r="GL59" s="56"/>
      <c r="GM59" s="56"/>
      <c r="GN59" s="56"/>
      <c r="GO59" s="56"/>
      <c r="GP59" s="56"/>
      <c r="GQ59" s="56"/>
      <c r="GR59" s="56"/>
      <c r="GS59" s="56"/>
      <c r="GT59" s="56"/>
      <c r="GU59" s="56">
        <v>6.3</v>
      </c>
      <c r="GV59" s="56">
        <v>26.7</v>
      </c>
      <c r="GW59" s="56">
        <v>82.1</v>
      </c>
      <c r="GX59" s="56">
        <v>94.7</v>
      </c>
      <c r="GY59" s="56">
        <v>92.1</v>
      </c>
      <c r="GZ59" s="56">
        <v>51.6</v>
      </c>
      <c r="HA59" s="56">
        <v>2.8</v>
      </c>
      <c r="HB59" s="56">
        <v>0.8</v>
      </c>
      <c r="HC59">
        <v>0.5</v>
      </c>
      <c r="HD59">
        <v>0.3</v>
      </c>
      <c r="HE59">
        <v>0.2</v>
      </c>
    </row>
    <row r="60" spans="1:213" x14ac:dyDescent="0.35">
      <c r="A60" s="56" t="s">
        <v>2295</v>
      </c>
      <c r="B60" s="56"/>
      <c r="C60" s="56"/>
      <c r="D60" s="56"/>
      <c r="E60" s="56"/>
      <c r="F60" s="56"/>
      <c r="G60" s="56"/>
      <c r="H60" s="56"/>
      <c r="I60" s="56"/>
      <c r="J60" s="56"/>
      <c r="K60" s="56"/>
      <c r="L60" s="56"/>
      <c r="M60" s="56"/>
      <c r="N60" s="56"/>
      <c r="O60" s="56"/>
      <c r="P60" s="56"/>
      <c r="Q60" s="56"/>
      <c r="R60" s="56"/>
      <c r="S60" s="56"/>
      <c r="T60" s="56"/>
      <c r="U60" s="56"/>
      <c r="V60" s="56"/>
      <c r="W60" s="56"/>
      <c r="X60" s="56"/>
      <c r="Y60" s="56"/>
      <c r="Z60" s="56"/>
      <c r="AA60" s="56"/>
      <c r="AB60" s="56"/>
      <c r="AC60" s="56"/>
      <c r="AD60" s="56"/>
      <c r="AE60" s="56"/>
      <c r="AF60" s="56"/>
      <c r="AG60" s="56"/>
      <c r="AH60" s="56"/>
      <c r="AI60" s="56"/>
      <c r="AJ60" s="56"/>
      <c r="AK60" s="56"/>
      <c r="AL60" s="56"/>
      <c r="AM60" s="56"/>
      <c r="AN60" s="56"/>
      <c r="AO60" s="56"/>
      <c r="AP60" s="56"/>
      <c r="AQ60" s="56"/>
      <c r="AR60" s="56"/>
      <c r="AS60" s="56"/>
      <c r="AT60" s="56"/>
      <c r="AU60" s="56"/>
      <c r="AV60" s="56"/>
      <c r="AW60" s="56"/>
      <c r="AX60" s="56"/>
      <c r="AY60" s="56"/>
      <c r="AZ60" s="56"/>
      <c r="BA60" s="56"/>
      <c r="BB60" s="56"/>
      <c r="BC60" s="56"/>
      <c r="BD60" s="56"/>
      <c r="BE60" s="56"/>
      <c r="BF60" s="56"/>
      <c r="BG60" s="56"/>
      <c r="BH60" s="56"/>
      <c r="BI60" s="56"/>
      <c r="BJ60" s="56"/>
      <c r="BK60" s="56"/>
      <c r="BL60" s="56"/>
      <c r="BM60" s="56"/>
      <c r="BN60" s="56"/>
      <c r="BO60" s="56"/>
      <c r="BP60" s="56"/>
      <c r="BQ60" s="56"/>
      <c r="BR60" s="56"/>
      <c r="BS60" s="56"/>
      <c r="BT60" s="56"/>
      <c r="BU60" s="56"/>
      <c r="BV60" s="56"/>
      <c r="BW60" s="56"/>
      <c r="BX60" s="56"/>
      <c r="BY60" s="56"/>
      <c r="BZ60" s="56"/>
      <c r="CA60" s="56"/>
      <c r="CB60" s="56"/>
      <c r="CC60" s="56"/>
      <c r="CD60" s="56"/>
      <c r="CE60" s="56"/>
      <c r="CF60" s="56"/>
      <c r="CG60" s="56"/>
      <c r="CH60" s="56"/>
      <c r="CI60" s="56"/>
      <c r="CJ60" s="56"/>
      <c r="CK60" s="56"/>
      <c r="CL60" s="56"/>
      <c r="CM60" s="56"/>
      <c r="CN60" s="56"/>
      <c r="CO60" s="56"/>
      <c r="CP60" s="56"/>
      <c r="CQ60" s="56"/>
      <c r="CR60" s="56"/>
      <c r="CS60" s="56"/>
      <c r="CT60" s="56"/>
      <c r="CU60" s="56"/>
      <c r="CV60" s="56"/>
      <c r="CW60" s="56"/>
      <c r="CX60" s="56"/>
      <c r="CY60" s="56"/>
      <c r="CZ60" s="56"/>
      <c r="DA60" s="56"/>
      <c r="DB60" s="56"/>
      <c r="DC60" s="56"/>
      <c r="DD60" s="56"/>
      <c r="DE60" s="56"/>
      <c r="DF60" s="56"/>
      <c r="DG60" s="56"/>
      <c r="DH60" s="56"/>
      <c r="DI60" s="56"/>
      <c r="DJ60" s="56"/>
      <c r="DK60" s="56"/>
      <c r="DL60" s="56"/>
      <c r="DM60" s="56"/>
      <c r="DN60" s="56"/>
      <c r="DO60" s="56"/>
      <c r="DP60" s="56"/>
      <c r="DQ60" s="56"/>
      <c r="DR60" s="56"/>
      <c r="DS60" s="56"/>
      <c r="DT60" s="56"/>
      <c r="DU60" s="56"/>
      <c r="DV60" s="56"/>
      <c r="DW60" s="56"/>
      <c r="DX60" s="56"/>
      <c r="DY60" s="56"/>
      <c r="DZ60" s="56"/>
      <c r="EA60" s="56"/>
      <c r="EB60" s="56"/>
      <c r="EC60" s="56"/>
      <c r="ED60" s="56"/>
      <c r="EE60" s="56"/>
      <c r="EF60" s="56"/>
      <c r="EG60" s="56"/>
      <c r="EH60" s="56"/>
      <c r="EI60" s="56"/>
      <c r="EJ60" s="56"/>
      <c r="EK60" s="56"/>
      <c r="EL60" s="56"/>
      <c r="EM60" s="56"/>
      <c r="EN60" s="56"/>
      <c r="EO60" s="56"/>
      <c r="EP60" s="56"/>
      <c r="EQ60" s="56"/>
      <c r="ER60" s="56"/>
      <c r="ES60" s="56"/>
      <c r="ET60" s="56"/>
      <c r="EU60" s="56"/>
      <c r="EV60" s="56"/>
      <c r="EW60" s="56"/>
      <c r="EX60" s="56"/>
      <c r="EY60" s="56"/>
      <c r="EZ60" s="56"/>
      <c r="FA60" s="56"/>
      <c r="FB60" s="56"/>
      <c r="FC60" s="56"/>
      <c r="FD60" s="56"/>
      <c r="FE60" s="56"/>
      <c r="FF60" s="56"/>
      <c r="FG60" s="56"/>
      <c r="FH60" s="56"/>
      <c r="FI60" s="56"/>
      <c r="FJ60" s="56"/>
      <c r="FK60" s="56"/>
      <c r="FL60" s="56"/>
      <c r="FM60" s="56"/>
      <c r="FN60" s="56"/>
      <c r="FO60" s="56"/>
      <c r="FP60" s="56"/>
      <c r="FQ60" s="56"/>
      <c r="FR60" s="56"/>
      <c r="FS60" s="56"/>
      <c r="FT60" s="56"/>
      <c r="FU60" s="56"/>
      <c r="FV60" s="56"/>
      <c r="FW60" s="56"/>
      <c r="FX60" s="56"/>
      <c r="FY60" s="56"/>
      <c r="FZ60" s="56"/>
      <c r="GA60" s="56"/>
      <c r="GB60" s="56"/>
      <c r="GC60" s="56"/>
      <c r="GD60" s="56"/>
      <c r="GE60" s="56"/>
      <c r="GF60" s="56"/>
      <c r="GG60" s="56"/>
      <c r="GH60" s="56"/>
      <c r="GI60" s="56"/>
      <c r="GJ60" s="56"/>
      <c r="GK60" s="56"/>
      <c r="GL60" s="56"/>
      <c r="GM60" s="56"/>
      <c r="GN60" s="56"/>
      <c r="GO60" s="56"/>
      <c r="GP60" s="56"/>
      <c r="GQ60" s="56"/>
      <c r="GR60" s="56"/>
      <c r="GS60" s="56"/>
      <c r="GT60" s="56"/>
      <c r="GU60" s="56">
        <v>74.400000000000006</v>
      </c>
      <c r="GV60" s="56">
        <v>138.30000000000001</v>
      </c>
      <c r="GW60" s="56">
        <v>106.8</v>
      </c>
      <c r="GX60" s="56">
        <v>89.2</v>
      </c>
      <c r="GY60" s="56">
        <v>72.3</v>
      </c>
      <c r="GZ60" s="56">
        <v>43.5</v>
      </c>
      <c r="HA60" s="56">
        <v>2.1</v>
      </c>
      <c r="HB60" s="56">
        <v>0.8</v>
      </c>
      <c r="HC60">
        <v>0.4</v>
      </c>
      <c r="HD60">
        <v>0.2</v>
      </c>
      <c r="HE60">
        <v>0.1</v>
      </c>
    </row>
    <row r="61" spans="1:213" x14ac:dyDescent="0.35">
      <c r="A61" s="56" t="s">
        <v>2296</v>
      </c>
      <c r="B61" s="56"/>
      <c r="C61" s="56"/>
      <c r="D61" s="56"/>
      <c r="E61" s="56"/>
      <c r="F61" s="56"/>
      <c r="G61" s="56"/>
      <c r="H61" s="56"/>
      <c r="I61" s="56"/>
      <c r="J61" s="56"/>
      <c r="K61" s="56"/>
      <c r="L61" s="56"/>
      <c r="M61" s="56"/>
      <c r="N61" s="56"/>
      <c r="O61" s="56"/>
      <c r="P61" s="56"/>
      <c r="Q61" s="56"/>
      <c r="R61" s="56"/>
      <c r="S61" s="56"/>
      <c r="T61" s="56"/>
      <c r="U61" s="56"/>
      <c r="V61" s="56"/>
      <c r="W61" s="56"/>
      <c r="X61" s="56"/>
      <c r="Y61" s="56"/>
      <c r="Z61" s="56"/>
      <c r="AA61" s="56"/>
      <c r="AB61" s="56"/>
      <c r="AC61" s="56"/>
      <c r="AD61" s="56"/>
      <c r="AE61" s="56"/>
      <c r="AF61" s="56"/>
      <c r="AG61" s="56"/>
      <c r="AH61" s="56"/>
      <c r="AI61" s="56"/>
      <c r="AJ61" s="56"/>
      <c r="AK61" s="56"/>
      <c r="AL61" s="56"/>
      <c r="AM61" s="56"/>
      <c r="AN61" s="56"/>
      <c r="AO61" s="56"/>
      <c r="AP61" s="56"/>
      <c r="AQ61" s="56"/>
      <c r="AR61" s="56"/>
      <c r="AS61" s="56"/>
      <c r="AT61" s="56"/>
      <c r="AU61" s="56"/>
      <c r="AV61" s="56"/>
      <c r="AW61" s="56"/>
      <c r="AX61" s="56"/>
      <c r="AY61" s="56"/>
      <c r="AZ61" s="56"/>
      <c r="BA61" s="56"/>
      <c r="BB61" s="56"/>
      <c r="BC61" s="56"/>
      <c r="BD61" s="56"/>
      <c r="BE61" s="56"/>
      <c r="BF61" s="56"/>
      <c r="BG61" s="56"/>
      <c r="BH61" s="56"/>
      <c r="BI61" s="56"/>
      <c r="BJ61" s="56"/>
      <c r="BK61" s="56"/>
      <c r="BL61" s="56"/>
      <c r="BM61" s="56"/>
      <c r="BN61" s="56"/>
      <c r="BO61" s="56"/>
      <c r="BP61" s="56"/>
      <c r="BQ61" s="56"/>
      <c r="BR61" s="56"/>
      <c r="BS61" s="56"/>
      <c r="BT61" s="56"/>
      <c r="BU61" s="56"/>
      <c r="BV61" s="56"/>
      <c r="BW61" s="56"/>
      <c r="BX61" s="56"/>
      <c r="BY61" s="56"/>
      <c r="BZ61" s="56"/>
      <c r="CA61" s="56"/>
      <c r="CB61" s="56"/>
      <c r="CC61" s="56"/>
      <c r="CD61" s="56"/>
      <c r="CE61" s="56"/>
      <c r="CF61" s="56"/>
      <c r="CG61" s="56"/>
      <c r="CH61" s="56"/>
      <c r="CI61" s="56"/>
      <c r="CJ61" s="56"/>
      <c r="CK61" s="56"/>
      <c r="CL61" s="56"/>
      <c r="CM61" s="56"/>
      <c r="CN61" s="56"/>
      <c r="CO61" s="56"/>
      <c r="CP61" s="56"/>
      <c r="CQ61" s="56"/>
      <c r="CR61" s="56"/>
      <c r="CS61" s="56"/>
      <c r="CT61" s="56"/>
      <c r="CU61" s="56"/>
      <c r="CV61" s="56"/>
      <c r="CW61" s="56"/>
      <c r="CX61" s="56"/>
      <c r="CY61" s="56"/>
      <c r="CZ61" s="56"/>
      <c r="DA61" s="56"/>
      <c r="DB61" s="56"/>
      <c r="DC61" s="56"/>
      <c r="DD61" s="56"/>
      <c r="DE61" s="56"/>
      <c r="DF61" s="56"/>
      <c r="DG61" s="56"/>
      <c r="DH61" s="56"/>
      <c r="DI61" s="56"/>
      <c r="DJ61" s="56"/>
      <c r="DK61" s="56"/>
      <c r="DL61" s="56"/>
      <c r="DM61" s="56"/>
      <c r="DN61" s="56"/>
      <c r="DO61" s="56"/>
      <c r="DP61" s="56"/>
      <c r="DQ61" s="56"/>
      <c r="DR61" s="56"/>
      <c r="DS61" s="56"/>
      <c r="DT61" s="56"/>
      <c r="DU61" s="56"/>
      <c r="DV61" s="56"/>
      <c r="DW61" s="56"/>
      <c r="DX61" s="56"/>
      <c r="DY61" s="56"/>
      <c r="DZ61" s="56"/>
      <c r="EA61" s="56"/>
      <c r="EB61" s="56"/>
      <c r="EC61" s="56"/>
      <c r="ED61" s="56"/>
      <c r="EE61" s="56"/>
      <c r="EF61" s="56"/>
      <c r="EG61" s="56"/>
      <c r="EH61" s="56"/>
      <c r="EI61" s="56"/>
      <c r="EJ61" s="56"/>
      <c r="EK61" s="56"/>
      <c r="EL61" s="56"/>
      <c r="EM61" s="56"/>
      <c r="EN61" s="56"/>
      <c r="EO61" s="56"/>
      <c r="EP61" s="56"/>
      <c r="EQ61" s="56"/>
      <c r="ER61" s="56"/>
      <c r="ES61" s="56"/>
      <c r="ET61" s="56"/>
      <c r="EU61" s="56"/>
      <c r="EV61" s="56"/>
      <c r="EW61" s="56"/>
      <c r="EX61" s="56"/>
      <c r="EY61" s="56"/>
      <c r="EZ61" s="56"/>
      <c r="FA61" s="56"/>
      <c r="FB61" s="56"/>
      <c r="FC61" s="56"/>
      <c r="FD61" s="56"/>
      <c r="FE61" s="56"/>
      <c r="FF61" s="56"/>
      <c r="FG61" s="56"/>
      <c r="FH61" s="56"/>
      <c r="FI61" s="56"/>
      <c r="FJ61" s="56"/>
      <c r="FK61" s="56"/>
      <c r="FL61" s="56"/>
      <c r="FM61" s="56"/>
      <c r="FN61" s="56"/>
      <c r="FO61" s="56"/>
      <c r="FP61" s="56"/>
      <c r="FQ61" s="56"/>
      <c r="FR61" s="56"/>
      <c r="FS61" s="56"/>
      <c r="FT61" s="56"/>
      <c r="FU61" s="56"/>
      <c r="FV61" s="56"/>
      <c r="FW61" s="56"/>
      <c r="FX61" s="56"/>
      <c r="FY61" s="56"/>
      <c r="FZ61" s="56"/>
      <c r="GA61" s="56"/>
      <c r="GB61" s="56"/>
      <c r="GC61" s="56"/>
      <c r="GD61" s="56"/>
      <c r="GE61" s="56"/>
      <c r="GF61" s="56"/>
      <c r="GG61" s="56"/>
      <c r="GH61" s="56"/>
      <c r="GI61" s="56"/>
      <c r="GJ61" s="56"/>
      <c r="GK61" s="56"/>
      <c r="GL61" s="56"/>
      <c r="GM61" s="56"/>
      <c r="GN61" s="56"/>
      <c r="GO61" s="56"/>
      <c r="GP61" s="56"/>
      <c r="GQ61" s="56"/>
      <c r="GR61" s="56"/>
      <c r="GS61" s="56"/>
      <c r="GT61" s="56"/>
      <c r="GU61" s="56">
        <v>698.9</v>
      </c>
      <c r="GV61" s="56">
        <v>413.9</v>
      </c>
      <c r="GW61" s="56">
        <v>14.7</v>
      </c>
      <c r="GX61" s="56">
        <v>288.2</v>
      </c>
      <c r="GY61" s="56">
        <v>233.3</v>
      </c>
      <c r="GZ61" s="56">
        <v>110.5</v>
      </c>
      <c r="HA61" s="56">
        <v>0</v>
      </c>
      <c r="HB61" s="56">
        <v>0</v>
      </c>
      <c r="HC61">
        <v>0</v>
      </c>
      <c r="HD61">
        <v>0</v>
      </c>
      <c r="HE61">
        <v>0</v>
      </c>
    </row>
    <row r="62" spans="1:213" x14ac:dyDescent="0.35">
      <c r="A62" s="56" t="s">
        <v>2297</v>
      </c>
      <c r="B62" s="56"/>
      <c r="C62" s="56"/>
      <c r="D62" s="56"/>
      <c r="E62" s="56"/>
      <c r="F62" s="56"/>
      <c r="G62" s="56"/>
      <c r="H62" s="56"/>
      <c r="I62" s="56"/>
      <c r="J62" s="56"/>
      <c r="K62" s="56"/>
      <c r="L62" s="56"/>
      <c r="M62" s="56"/>
      <c r="N62" s="56"/>
      <c r="O62" s="56"/>
      <c r="P62" s="56"/>
      <c r="Q62" s="56"/>
      <c r="R62" s="56"/>
      <c r="S62" s="56"/>
      <c r="T62" s="56"/>
      <c r="U62" s="56"/>
      <c r="V62" s="56"/>
      <c r="W62" s="56"/>
      <c r="X62" s="56"/>
      <c r="Y62" s="56"/>
      <c r="Z62" s="56"/>
      <c r="AA62" s="56"/>
      <c r="AB62" s="56"/>
      <c r="AC62" s="56"/>
      <c r="AD62" s="56"/>
      <c r="AE62" s="56"/>
      <c r="AF62" s="56"/>
      <c r="AG62" s="56"/>
      <c r="AH62" s="56"/>
      <c r="AI62" s="56"/>
      <c r="AJ62" s="56"/>
      <c r="AK62" s="56"/>
      <c r="AL62" s="56"/>
      <c r="AM62" s="56"/>
      <c r="AN62" s="56"/>
      <c r="AO62" s="56"/>
      <c r="AP62" s="56"/>
      <c r="AQ62" s="56"/>
      <c r="AR62" s="56"/>
      <c r="AS62" s="56"/>
      <c r="AT62" s="56"/>
      <c r="AU62" s="56"/>
      <c r="AV62" s="56"/>
      <c r="AW62" s="56"/>
      <c r="AX62" s="56"/>
      <c r="AY62" s="56"/>
      <c r="AZ62" s="56"/>
      <c r="BA62" s="56"/>
      <c r="BB62" s="56"/>
      <c r="BC62" s="56"/>
      <c r="BD62" s="56"/>
      <c r="BE62" s="56"/>
      <c r="BF62" s="56"/>
      <c r="BG62" s="56"/>
      <c r="BH62" s="56"/>
      <c r="BI62" s="56"/>
      <c r="BJ62" s="56"/>
      <c r="BK62" s="56"/>
      <c r="BL62" s="56"/>
      <c r="BM62" s="56"/>
      <c r="BN62" s="56"/>
      <c r="BO62" s="56"/>
      <c r="BP62" s="56"/>
      <c r="BQ62" s="56"/>
      <c r="BR62" s="56"/>
      <c r="BS62" s="56"/>
      <c r="BT62" s="56"/>
      <c r="BU62" s="56"/>
      <c r="BV62" s="56"/>
      <c r="BW62" s="56"/>
      <c r="BX62" s="56"/>
      <c r="BY62" s="56"/>
      <c r="BZ62" s="56"/>
      <c r="CA62" s="56"/>
      <c r="CB62" s="56"/>
      <c r="CC62" s="56"/>
      <c r="CD62" s="56"/>
      <c r="CE62" s="56"/>
      <c r="CF62" s="56"/>
      <c r="CG62" s="56"/>
      <c r="CH62" s="56"/>
      <c r="CI62" s="56"/>
      <c r="CJ62" s="56"/>
      <c r="CK62" s="56"/>
      <c r="CL62" s="56"/>
      <c r="CM62" s="56"/>
      <c r="CN62" s="56"/>
      <c r="CO62" s="56"/>
      <c r="CP62" s="56"/>
      <c r="CQ62" s="56"/>
      <c r="CR62" s="56"/>
      <c r="CS62" s="56"/>
      <c r="CT62" s="56"/>
      <c r="CU62" s="56"/>
      <c r="CV62" s="56"/>
      <c r="CW62" s="56"/>
      <c r="CX62" s="56"/>
      <c r="CY62" s="56"/>
      <c r="CZ62" s="56"/>
      <c r="DA62" s="56"/>
      <c r="DB62" s="56"/>
      <c r="DC62" s="56"/>
      <c r="DD62" s="56"/>
      <c r="DE62" s="56"/>
      <c r="DF62" s="56"/>
      <c r="DG62" s="56"/>
      <c r="DH62" s="56"/>
      <c r="DI62" s="56"/>
      <c r="DJ62" s="56"/>
      <c r="DK62" s="56"/>
      <c r="DL62" s="56"/>
      <c r="DM62" s="56"/>
      <c r="DN62" s="56"/>
      <c r="DO62" s="56"/>
      <c r="DP62" s="56"/>
      <c r="DQ62" s="56"/>
      <c r="DR62" s="56"/>
      <c r="DS62" s="56"/>
      <c r="DT62" s="56"/>
      <c r="DU62" s="56"/>
      <c r="DV62" s="56"/>
      <c r="DW62" s="56"/>
      <c r="DX62" s="56"/>
      <c r="DY62" s="56"/>
      <c r="DZ62" s="56"/>
      <c r="EA62" s="56"/>
      <c r="EB62" s="56"/>
      <c r="EC62" s="56"/>
      <c r="ED62" s="56"/>
      <c r="EE62" s="56"/>
      <c r="EF62" s="56"/>
      <c r="EG62" s="56"/>
      <c r="EH62" s="56"/>
      <c r="EI62" s="56"/>
      <c r="EJ62" s="56"/>
      <c r="EK62" s="56"/>
      <c r="EL62" s="56"/>
      <c r="EM62" s="56"/>
      <c r="EN62" s="56"/>
      <c r="EO62" s="56"/>
      <c r="EP62" s="56"/>
      <c r="EQ62" s="56"/>
      <c r="ER62" s="56"/>
      <c r="ES62" s="56"/>
      <c r="ET62" s="56"/>
      <c r="EU62" s="56"/>
      <c r="EV62" s="56"/>
      <c r="EW62" s="56"/>
      <c r="EX62" s="56"/>
      <c r="EY62" s="56"/>
      <c r="EZ62" s="56"/>
      <c r="FA62" s="56"/>
      <c r="FB62" s="56"/>
      <c r="FC62" s="56"/>
      <c r="FD62" s="56"/>
      <c r="FE62" s="56"/>
      <c r="FF62" s="56"/>
      <c r="FG62" s="56"/>
      <c r="FH62" s="56"/>
      <c r="FI62" s="56"/>
      <c r="FJ62" s="56"/>
      <c r="FK62" s="56"/>
      <c r="FL62" s="56"/>
      <c r="FM62" s="56"/>
      <c r="FN62" s="56"/>
      <c r="FO62" s="56"/>
      <c r="FP62" s="56"/>
      <c r="FQ62" s="56"/>
      <c r="FR62" s="56"/>
      <c r="FS62" s="56"/>
      <c r="FT62" s="56"/>
      <c r="FU62" s="56"/>
      <c r="FV62" s="56"/>
      <c r="FW62" s="56"/>
      <c r="FX62" s="56"/>
      <c r="FY62" s="56"/>
      <c r="FZ62" s="56"/>
      <c r="GA62" s="56"/>
      <c r="GB62" s="56"/>
      <c r="GC62" s="56"/>
      <c r="GD62" s="56"/>
      <c r="GE62" s="56"/>
      <c r="GF62" s="56"/>
      <c r="GG62" s="56"/>
      <c r="GH62" s="56"/>
      <c r="GI62" s="56"/>
      <c r="GJ62" s="56"/>
      <c r="GK62" s="56"/>
      <c r="GL62" s="56"/>
      <c r="GM62" s="56"/>
      <c r="GN62" s="56"/>
      <c r="GO62" s="56"/>
      <c r="GP62" s="56"/>
      <c r="GQ62" s="56"/>
      <c r="GR62" s="56"/>
      <c r="GS62" s="56"/>
      <c r="GT62" s="56"/>
      <c r="GU62" s="56">
        <v>779.6</v>
      </c>
      <c r="GV62" s="56">
        <v>582.4</v>
      </c>
      <c r="GW62" s="56">
        <v>216.6</v>
      </c>
      <c r="GX62" s="56">
        <v>497.6</v>
      </c>
      <c r="GY62" s="56">
        <v>401.5</v>
      </c>
      <c r="GZ62" s="56">
        <v>207.5</v>
      </c>
      <c r="HA62" s="56">
        <v>5.5</v>
      </c>
      <c r="HB62" s="56">
        <v>1.8</v>
      </c>
      <c r="HC62">
        <v>1</v>
      </c>
      <c r="HD62">
        <v>0.5</v>
      </c>
      <c r="HE62">
        <v>0.3</v>
      </c>
    </row>
    <row r="63" spans="1:213" x14ac:dyDescent="0.35">
      <c r="A63" s="56" t="s">
        <v>2298</v>
      </c>
      <c r="B63" s="56"/>
      <c r="C63" s="56"/>
      <c r="D63" s="56"/>
      <c r="E63" s="56"/>
      <c r="F63" s="56"/>
      <c r="G63" s="56"/>
      <c r="H63" s="56"/>
      <c r="I63" s="56"/>
      <c r="J63" s="56"/>
      <c r="K63" s="56"/>
      <c r="L63" s="56"/>
      <c r="M63" s="56"/>
      <c r="N63" s="56"/>
      <c r="O63" s="56"/>
      <c r="P63" s="56"/>
      <c r="Q63" s="56"/>
      <c r="R63" s="56"/>
      <c r="S63" s="56"/>
      <c r="T63" s="56"/>
      <c r="U63" s="56"/>
      <c r="V63" s="56"/>
      <c r="W63" s="56"/>
      <c r="X63" s="56"/>
      <c r="Y63" s="56"/>
      <c r="Z63" s="56"/>
      <c r="AA63" s="56"/>
      <c r="AB63" s="56"/>
      <c r="AC63" s="56"/>
      <c r="AD63" s="56"/>
      <c r="AE63" s="56"/>
      <c r="AF63" s="56"/>
      <c r="AG63" s="56"/>
      <c r="AH63" s="56"/>
      <c r="AI63" s="56"/>
      <c r="AJ63" s="56"/>
      <c r="AK63" s="56"/>
      <c r="AL63" s="56"/>
      <c r="AM63" s="56"/>
      <c r="AN63" s="56"/>
      <c r="AO63" s="56"/>
      <c r="AP63" s="56"/>
      <c r="AQ63" s="56"/>
      <c r="AR63" s="56"/>
      <c r="AS63" s="56"/>
      <c r="AT63" s="56"/>
      <c r="AU63" s="56"/>
      <c r="AV63" s="56"/>
      <c r="AW63" s="56"/>
      <c r="AX63" s="56"/>
      <c r="AY63" s="56"/>
      <c r="AZ63" s="56"/>
      <c r="BA63" s="56"/>
      <c r="BB63" s="56"/>
      <c r="BC63" s="56"/>
      <c r="BD63" s="56"/>
      <c r="BE63" s="56"/>
      <c r="BF63" s="56"/>
      <c r="BG63" s="56"/>
      <c r="BH63" s="56"/>
      <c r="BI63" s="56"/>
      <c r="BJ63" s="56"/>
      <c r="BK63" s="56"/>
      <c r="BL63" s="56"/>
      <c r="BM63" s="56"/>
      <c r="BN63" s="56"/>
      <c r="BO63" s="56"/>
      <c r="BP63" s="56"/>
      <c r="BQ63" s="56"/>
      <c r="BR63" s="56"/>
      <c r="BS63" s="56"/>
      <c r="BT63" s="56"/>
      <c r="BU63" s="56"/>
      <c r="BV63" s="56"/>
      <c r="BW63" s="56"/>
      <c r="BX63" s="56"/>
      <c r="BY63" s="56"/>
      <c r="BZ63" s="56"/>
      <c r="CA63" s="56"/>
      <c r="CB63" s="56"/>
      <c r="CC63" s="56"/>
      <c r="CD63" s="56"/>
      <c r="CE63" s="56"/>
      <c r="CF63" s="56"/>
      <c r="CG63" s="56"/>
      <c r="CH63" s="56"/>
      <c r="CI63" s="56"/>
      <c r="CJ63" s="56"/>
      <c r="CK63" s="56"/>
      <c r="CL63" s="56"/>
      <c r="CM63" s="56"/>
      <c r="CN63" s="56"/>
      <c r="CO63" s="56"/>
      <c r="CP63" s="56"/>
      <c r="CQ63" s="56"/>
      <c r="CR63" s="56"/>
      <c r="CS63" s="56"/>
      <c r="CT63" s="56"/>
      <c r="CU63" s="56"/>
      <c r="CV63" s="56"/>
      <c r="CW63" s="56"/>
      <c r="CX63" s="56"/>
      <c r="CY63" s="56"/>
      <c r="CZ63" s="56"/>
      <c r="DA63" s="56"/>
      <c r="DB63" s="56"/>
      <c r="DC63" s="56"/>
      <c r="DD63" s="56"/>
      <c r="DE63" s="56"/>
      <c r="DF63" s="56"/>
      <c r="DG63" s="56"/>
      <c r="DH63" s="56"/>
      <c r="DI63" s="56"/>
      <c r="DJ63" s="56"/>
      <c r="DK63" s="56"/>
      <c r="DL63" s="56"/>
      <c r="DM63" s="56"/>
      <c r="DN63" s="56"/>
      <c r="DO63" s="56"/>
      <c r="DP63" s="56"/>
      <c r="DQ63" s="56"/>
      <c r="DR63" s="56"/>
      <c r="DS63" s="56"/>
      <c r="DT63" s="56"/>
      <c r="DU63" s="56"/>
      <c r="DV63" s="56"/>
      <c r="DW63" s="56"/>
      <c r="DX63" s="56"/>
      <c r="DY63" s="56"/>
      <c r="DZ63" s="56"/>
      <c r="EA63" s="56"/>
      <c r="EB63" s="56"/>
      <c r="EC63" s="56"/>
      <c r="ED63" s="56"/>
      <c r="EE63" s="56"/>
      <c r="EF63" s="56"/>
      <c r="EG63" s="56"/>
      <c r="EH63" s="56"/>
      <c r="EI63" s="56"/>
      <c r="EJ63" s="56"/>
      <c r="EK63" s="56"/>
      <c r="EL63" s="56"/>
      <c r="EM63" s="56"/>
      <c r="EN63" s="56"/>
      <c r="EO63" s="56"/>
      <c r="EP63" s="56"/>
      <c r="EQ63" s="56"/>
      <c r="ER63" s="56"/>
      <c r="ES63" s="56"/>
      <c r="ET63" s="56"/>
      <c r="EU63" s="56"/>
      <c r="EV63" s="56"/>
      <c r="EW63" s="56"/>
      <c r="EX63" s="56"/>
      <c r="EY63" s="56"/>
      <c r="EZ63" s="56"/>
      <c r="FA63" s="56"/>
      <c r="FB63" s="56"/>
      <c r="FC63" s="56"/>
      <c r="FD63" s="56"/>
      <c r="FE63" s="56"/>
      <c r="FF63" s="56"/>
      <c r="FG63" s="56"/>
      <c r="FH63" s="56"/>
      <c r="FI63" s="56"/>
      <c r="FJ63" s="56"/>
      <c r="FK63" s="56"/>
      <c r="FL63" s="56"/>
      <c r="FM63" s="56"/>
      <c r="FN63" s="56"/>
      <c r="FO63" s="56"/>
      <c r="FP63" s="56"/>
      <c r="FQ63" s="56"/>
      <c r="FR63" s="56"/>
      <c r="FS63" s="56"/>
      <c r="FT63" s="56"/>
      <c r="FU63" s="56"/>
      <c r="FV63" s="56"/>
      <c r="FW63" s="56"/>
      <c r="FX63" s="56"/>
      <c r="FY63" s="56"/>
      <c r="FZ63" s="56"/>
      <c r="GA63" s="56"/>
      <c r="GB63" s="56"/>
      <c r="GC63" s="56"/>
      <c r="GD63" s="56"/>
      <c r="GE63" s="56"/>
      <c r="GF63" s="56"/>
      <c r="GG63" s="56"/>
      <c r="GH63" s="56"/>
      <c r="GI63" s="56"/>
      <c r="GJ63" s="56"/>
      <c r="GK63" s="56"/>
      <c r="GL63" s="56"/>
      <c r="GM63" s="56"/>
      <c r="GN63" s="56"/>
      <c r="GO63" s="56"/>
      <c r="GP63" s="56"/>
      <c r="GQ63" s="56"/>
      <c r="GR63" s="56"/>
      <c r="GS63" s="56"/>
      <c r="GT63" s="56"/>
      <c r="GU63" s="56">
        <v>0.1</v>
      </c>
      <c r="GV63" s="56">
        <v>3.7</v>
      </c>
      <c r="GW63" s="56">
        <v>12.9</v>
      </c>
      <c r="GX63" s="56">
        <v>25.5</v>
      </c>
      <c r="GY63" s="56">
        <v>3.8</v>
      </c>
      <c r="GZ63" s="56">
        <v>1.8</v>
      </c>
      <c r="HA63" s="56">
        <v>0.6</v>
      </c>
      <c r="HB63" s="56">
        <v>0.2</v>
      </c>
      <c r="HC63">
        <v>0.1</v>
      </c>
      <c r="HD63">
        <v>0</v>
      </c>
      <c r="HE63">
        <v>0</v>
      </c>
    </row>
    <row r="64" spans="1:213" x14ac:dyDescent="0.35">
      <c r="A64" s="56" t="s">
        <v>2299</v>
      </c>
      <c r="B64" s="56"/>
      <c r="C64" s="56"/>
      <c r="D64" s="56"/>
      <c r="E64" s="56"/>
      <c r="F64" s="56"/>
      <c r="G64" s="56"/>
      <c r="H64" s="56"/>
      <c r="I64" s="56"/>
      <c r="J64" s="56"/>
      <c r="K64" s="56"/>
      <c r="L64" s="56"/>
      <c r="M64" s="56"/>
      <c r="N64" s="56"/>
      <c r="O64" s="56"/>
      <c r="P64" s="56"/>
      <c r="Q64" s="56"/>
      <c r="R64" s="56"/>
      <c r="S64" s="56"/>
      <c r="T64" s="56"/>
      <c r="U64" s="56"/>
      <c r="V64" s="56"/>
      <c r="W64" s="56"/>
      <c r="X64" s="56"/>
      <c r="Y64" s="56"/>
      <c r="Z64" s="56"/>
      <c r="AA64" s="56"/>
      <c r="AB64" s="56"/>
      <c r="AC64" s="56"/>
      <c r="AD64" s="56"/>
      <c r="AE64" s="56"/>
      <c r="AF64" s="56"/>
      <c r="AG64" s="56"/>
      <c r="AH64" s="56"/>
      <c r="AI64" s="56"/>
      <c r="AJ64" s="56"/>
      <c r="AK64" s="56"/>
      <c r="AL64" s="56"/>
      <c r="AM64" s="56"/>
      <c r="AN64" s="56"/>
      <c r="AO64" s="56"/>
      <c r="AP64" s="56"/>
      <c r="AQ64" s="56"/>
      <c r="AR64" s="56"/>
      <c r="AS64" s="56"/>
      <c r="AT64" s="56"/>
      <c r="AU64" s="56"/>
      <c r="AV64" s="56"/>
      <c r="AW64" s="56"/>
      <c r="AX64" s="56"/>
      <c r="AY64" s="56"/>
      <c r="AZ64" s="56"/>
      <c r="BA64" s="56"/>
      <c r="BB64" s="56"/>
      <c r="BC64" s="56"/>
      <c r="BD64" s="56"/>
      <c r="BE64" s="56"/>
      <c r="BF64" s="56"/>
      <c r="BG64" s="56"/>
      <c r="BH64" s="56"/>
      <c r="BI64" s="56"/>
      <c r="BJ64" s="56"/>
      <c r="BK64" s="56"/>
      <c r="BL64" s="56"/>
      <c r="BM64" s="56"/>
      <c r="BN64" s="56"/>
      <c r="BO64" s="56"/>
      <c r="BP64" s="56"/>
      <c r="BQ64" s="56"/>
      <c r="BR64" s="56"/>
      <c r="BS64" s="56"/>
      <c r="BT64" s="56"/>
      <c r="BU64" s="56"/>
      <c r="BV64" s="56"/>
      <c r="BW64" s="56"/>
      <c r="BX64" s="56"/>
      <c r="BY64" s="56"/>
      <c r="BZ64" s="56"/>
      <c r="CA64" s="56"/>
      <c r="CB64" s="56"/>
      <c r="CC64" s="56"/>
      <c r="CD64" s="56"/>
      <c r="CE64" s="56"/>
      <c r="CF64" s="56"/>
      <c r="CG64" s="56"/>
      <c r="CH64" s="56"/>
      <c r="CI64" s="56"/>
      <c r="CJ64" s="56"/>
      <c r="CK64" s="56"/>
      <c r="CL64" s="56"/>
      <c r="CM64" s="56"/>
      <c r="CN64" s="56"/>
      <c r="CO64" s="56"/>
      <c r="CP64" s="56"/>
      <c r="CQ64" s="56"/>
      <c r="CR64" s="56"/>
      <c r="CS64" s="56"/>
      <c r="CT64" s="56"/>
      <c r="CU64" s="56"/>
      <c r="CV64" s="56"/>
      <c r="CW64" s="56"/>
      <c r="CX64" s="56"/>
      <c r="CY64" s="56"/>
      <c r="CZ64" s="56"/>
      <c r="DA64" s="56"/>
      <c r="DB64" s="56"/>
      <c r="DC64" s="56"/>
      <c r="DD64" s="56"/>
      <c r="DE64" s="56"/>
      <c r="DF64" s="56"/>
      <c r="DG64" s="56"/>
      <c r="DH64" s="56"/>
      <c r="DI64" s="56"/>
      <c r="DJ64" s="56"/>
      <c r="DK64" s="56"/>
      <c r="DL64" s="56"/>
      <c r="DM64" s="56"/>
      <c r="DN64" s="56"/>
      <c r="DO64" s="56"/>
      <c r="DP64" s="56"/>
      <c r="DQ64" s="56"/>
      <c r="DR64" s="56"/>
      <c r="DS64" s="56"/>
      <c r="DT64" s="56"/>
      <c r="DU64" s="56"/>
      <c r="DV64" s="56"/>
      <c r="DW64" s="56"/>
      <c r="DX64" s="56"/>
      <c r="DY64" s="56"/>
      <c r="DZ64" s="56"/>
      <c r="EA64" s="56"/>
      <c r="EB64" s="56"/>
      <c r="EC64" s="56"/>
      <c r="ED64" s="56"/>
      <c r="EE64" s="56"/>
      <c r="EF64" s="56"/>
      <c r="EG64" s="56"/>
      <c r="EH64" s="56"/>
      <c r="EI64" s="56"/>
      <c r="EJ64" s="56"/>
      <c r="EK64" s="56"/>
      <c r="EL64" s="56"/>
      <c r="EM64" s="56"/>
      <c r="EN64" s="56"/>
      <c r="EO64" s="56"/>
      <c r="EP64" s="56"/>
      <c r="EQ64" s="56"/>
      <c r="ER64" s="56"/>
      <c r="ES64" s="56"/>
      <c r="ET64" s="56"/>
      <c r="EU64" s="56"/>
      <c r="EV64" s="56"/>
      <c r="EW64" s="56"/>
      <c r="EX64" s="56"/>
      <c r="EY64" s="56"/>
      <c r="EZ64" s="56"/>
      <c r="FA64" s="56"/>
      <c r="FB64" s="56"/>
      <c r="FC64" s="56"/>
      <c r="FD64" s="56"/>
      <c r="FE64" s="56"/>
      <c r="FF64" s="56"/>
      <c r="FG64" s="56"/>
      <c r="FH64" s="56"/>
      <c r="FI64" s="56"/>
      <c r="FJ64" s="56"/>
      <c r="FK64" s="56"/>
      <c r="FL64" s="56"/>
      <c r="FM64" s="56"/>
      <c r="FN64" s="56"/>
      <c r="FO64" s="56"/>
      <c r="FP64" s="56"/>
      <c r="FQ64" s="56"/>
      <c r="FR64" s="56"/>
      <c r="FS64" s="56"/>
      <c r="FT64" s="56"/>
      <c r="FU64" s="56"/>
      <c r="FV64" s="56"/>
      <c r="FW64" s="56"/>
      <c r="FX64" s="56"/>
      <c r="FY64" s="56"/>
      <c r="FZ64" s="56"/>
      <c r="GA64" s="56"/>
      <c r="GB64" s="56"/>
      <c r="GC64" s="56"/>
      <c r="GD64" s="56"/>
      <c r="GE64" s="56"/>
      <c r="GF64" s="56"/>
      <c r="GG64" s="56"/>
      <c r="GH64" s="56"/>
      <c r="GI64" s="56"/>
      <c r="GJ64" s="56"/>
      <c r="GK64" s="56"/>
      <c r="GL64" s="56"/>
      <c r="GM64" s="56"/>
      <c r="GN64" s="56"/>
      <c r="GO64" s="56"/>
      <c r="GP64" s="56"/>
      <c r="GQ64" s="56"/>
      <c r="GR64" s="56"/>
      <c r="GS64" s="56"/>
      <c r="GT64" s="56"/>
      <c r="GU64" s="56"/>
      <c r="GV64" s="56">
        <v>106.2</v>
      </c>
      <c r="GW64" s="56">
        <v>35.9</v>
      </c>
      <c r="GX64" s="56">
        <v>1.6</v>
      </c>
      <c r="GY64" s="56">
        <v>0.6</v>
      </c>
      <c r="GZ64" s="56">
        <v>0.1</v>
      </c>
      <c r="HA64" s="56">
        <v>0</v>
      </c>
      <c r="HB64" s="56">
        <v>0</v>
      </c>
      <c r="HC64">
        <v>0</v>
      </c>
      <c r="HD64">
        <v>0</v>
      </c>
      <c r="HE64">
        <v>0</v>
      </c>
    </row>
    <row r="65" spans="1:223" x14ac:dyDescent="0.35">
      <c r="A65" s="56" t="s">
        <v>2300</v>
      </c>
      <c r="B65" s="56">
        <v>5.7</v>
      </c>
      <c r="C65" s="56">
        <v>5.4</v>
      </c>
      <c r="D65" s="56">
        <v>4.9000000000000004</v>
      </c>
      <c r="E65" s="56">
        <v>5.0999999999999996</v>
      </c>
      <c r="F65" s="56">
        <v>5.6</v>
      </c>
      <c r="G65" s="56">
        <v>6.4</v>
      </c>
      <c r="H65" s="56">
        <v>5.9</v>
      </c>
      <c r="I65" s="56">
        <v>5.8</v>
      </c>
      <c r="J65" s="56">
        <v>5.9</v>
      </c>
      <c r="K65" s="56">
        <v>5.5</v>
      </c>
      <c r="L65" s="56">
        <v>7</v>
      </c>
      <c r="M65" s="56">
        <v>5.9</v>
      </c>
      <c r="N65" s="56">
        <v>5.9</v>
      </c>
      <c r="O65" s="56">
        <v>6.4</v>
      </c>
      <c r="P65" s="56">
        <v>5.5</v>
      </c>
      <c r="Q65" s="56">
        <v>6.1</v>
      </c>
      <c r="R65" s="56">
        <v>8</v>
      </c>
      <c r="S65" s="56">
        <v>8.8000000000000007</v>
      </c>
      <c r="T65" s="56">
        <v>6.7</v>
      </c>
      <c r="U65" s="56">
        <v>8.1</v>
      </c>
      <c r="V65" s="56">
        <v>9</v>
      </c>
      <c r="W65" s="56">
        <v>8.1</v>
      </c>
      <c r="X65" s="56">
        <v>11.1</v>
      </c>
      <c r="Y65" s="56">
        <v>10.7</v>
      </c>
      <c r="Z65" s="56">
        <v>10.3</v>
      </c>
      <c r="AA65" s="56">
        <v>10</v>
      </c>
      <c r="AB65" s="56">
        <v>10.8</v>
      </c>
      <c r="AC65" s="56">
        <v>11.3</v>
      </c>
      <c r="AD65" s="56">
        <v>10.9</v>
      </c>
      <c r="AE65" s="56">
        <v>10.9</v>
      </c>
      <c r="AF65" s="56">
        <v>12.1</v>
      </c>
      <c r="AG65" s="56">
        <v>10.9</v>
      </c>
      <c r="AH65" s="56">
        <v>11.2</v>
      </c>
      <c r="AI65" s="56">
        <v>11.8</v>
      </c>
      <c r="AJ65" s="56">
        <v>12.2</v>
      </c>
      <c r="AK65" s="56">
        <v>12.8</v>
      </c>
      <c r="AL65" s="56">
        <v>13.9</v>
      </c>
      <c r="AM65" s="56">
        <v>13.4</v>
      </c>
      <c r="AN65" s="56">
        <v>14.7</v>
      </c>
      <c r="AO65" s="56">
        <v>16.100000000000001</v>
      </c>
      <c r="AP65" s="56">
        <v>16.7</v>
      </c>
      <c r="AQ65" s="56">
        <v>16.899999999999999</v>
      </c>
      <c r="AR65" s="56">
        <v>16.3</v>
      </c>
      <c r="AS65" s="56">
        <v>17.100000000000001</v>
      </c>
      <c r="AT65" s="56">
        <v>16.399999999999999</v>
      </c>
      <c r="AU65" s="56">
        <v>16</v>
      </c>
      <c r="AV65" s="56">
        <v>15.1</v>
      </c>
      <c r="AW65" s="56">
        <v>15.4</v>
      </c>
      <c r="AX65" s="56">
        <v>14.2</v>
      </c>
      <c r="AY65" s="56">
        <v>14.9</v>
      </c>
      <c r="AZ65" s="56">
        <v>14.8</v>
      </c>
      <c r="BA65" s="56">
        <v>14.7</v>
      </c>
      <c r="BB65" s="56">
        <v>16.100000000000001</v>
      </c>
      <c r="BC65" s="56">
        <v>14.3</v>
      </c>
      <c r="BD65" s="56">
        <v>16</v>
      </c>
      <c r="BE65" s="56">
        <v>15.9</v>
      </c>
      <c r="BF65" s="56">
        <v>16.7</v>
      </c>
      <c r="BG65" s="56">
        <v>17.3</v>
      </c>
      <c r="BH65" s="56">
        <v>18.2</v>
      </c>
      <c r="BI65" s="56">
        <v>18.899999999999999</v>
      </c>
      <c r="BJ65" s="56">
        <v>17.2</v>
      </c>
      <c r="BK65" s="56">
        <v>19.600000000000001</v>
      </c>
      <c r="BL65" s="56">
        <v>20.2</v>
      </c>
      <c r="BM65" s="56">
        <v>21.3</v>
      </c>
      <c r="BN65" s="56">
        <v>19.8</v>
      </c>
      <c r="BO65" s="56">
        <v>20.7</v>
      </c>
      <c r="BP65" s="56">
        <v>21.4</v>
      </c>
      <c r="BQ65" s="56">
        <v>18.399999999999999</v>
      </c>
      <c r="BR65" s="56">
        <v>18.899999999999999</v>
      </c>
      <c r="BS65" s="56">
        <v>19.7</v>
      </c>
      <c r="BT65" s="56">
        <v>19</v>
      </c>
      <c r="BU65" s="56">
        <v>18.8</v>
      </c>
      <c r="BV65" s="56">
        <v>19.100000000000001</v>
      </c>
      <c r="BW65" s="56">
        <v>20</v>
      </c>
      <c r="BX65" s="56">
        <v>20.5</v>
      </c>
      <c r="BY65" s="56">
        <v>19.399999999999999</v>
      </c>
      <c r="BZ65" s="56">
        <v>20.3</v>
      </c>
      <c r="CA65" s="56">
        <v>20.100000000000001</v>
      </c>
      <c r="CB65" s="56">
        <v>19</v>
      </c>
      <c r="CC65" s="56">
        <v>21.5</v>
      </c>
      <c r="CD65" s="56">
        <v>22.3</v>
      </c>
      <c r="CE65" s="56">
        <v>20.3</v>
      </c>
      <c r="CF65" s="56">
        <v>20.7</v>
      </c>
      <c r="CG65" s="56">
        <v>49.5</v>
      </c>
      <c r="CH65" s="56">
        <v>26</v>
      </c>
      <c r="CI65" s="56">
        <v>22.2</v>
      </c>
      <c r="CJ65" s="56">
        <v>37.1</v>
      </c>
      <c r="CK65" s="56">
        <v>20.8</v>
      </c>
      <c r="CL65" s="56">
        <v>21.6</v>
      </c>
      <c r="CM65" s="56">
        <v>23.2</v>
      </c>
      <c r="CN65" s="56">
        <v>22.5</v>
      </c>
      <c r="CO65" s="56">
        <v>23.2</v>
      </c>
      <c r="CP65" s="56">
        <v>24.4</v>
      </c>
      <c r="CQ65" s="56">
        <v>22.6</v>
      </c>
      <c r="CR65" s="56">
        <v>25.3</v>
      </c>
      <c r="CS65" s="56">
        <v>24.9</v>
      </c>
      <c r="CT65" s="56">
        <v>23.8</v>
      </c>
      <c r="CU65" s="56">
        <v>27.5</v>
      </c>
      <c r="CV65" s="56">
        <v>26.2</v>
      </c>
      <c r="CW65" s="56">
        <v>26.7</v>
      </c>
      <c r="CX65" s="56">
        <v>27.9</v>
      </c>
      <c r="CY65" s="56">
        <v>28.2</v>
      </c>
      <c r="CZ65" s="56">
        <v>28.4</v>
      </c>
      <c r="DA65" s="56">
        <v>27</v>
      </c>
      <c r="DB65" s="56">
        <v>29.3</v>
      </c>
      <c r="DC65" s="56">
        <v>28.1</v>
      </c>
      <c r="DD65" s="56">
        <v>27.3</v>
      </c>
      <c r="DE65" s="56">
        <v>28.9</v>
      </c>
      <c r="DF65" s="56">
        <v>28.6</v>
      </c>
      <c r="DG65" s="56">
        <v>29.5</v>
      </c>
      <c r="DH65" s="56">
        <v>29.7</v>
      </c>
      <c r="DI65" s="56">
        <v>29</v>
      </c>
      <c r="DJ65" s="56">
        <v>27.3</v>
      </c>
      <c r="DK65" s="56">
        <v>27.5</v>
      </c>
      <c r="DL65" s="56">
        <v>29.4</v>
      </c>
      <c r="DM65" s="56">
        <v>31.5</v>
      </c>
      <c r="DN65" s="56">
        <v>29.2</v>
      </c>
      <c r="DO65" s="56">
        <v>33.9</v>
      </c>
      <c r="DP65" s="56">
        <v>35.9</v>
      </c>
      <c r="DQ65" s="56">
        <v>56.3</v>
      </c>
      <c r="DR65" s="56">
        <v>38</v>
      </c>
      <c r="DS65" s="56">
        <v>37.9</v>
      </c>
      <c r="DT65" s="56">
        <v>39.4</v>
      </c>
      <c r="DU65" s="56">
        <v>49.6</v>
      </c>
      <c r="DV65" s="56">
        <v>40.9</v>
      </c>
      <c r="DW65" s="56">
        <v>43.8</v>
      </c>
      <c r="DX65" s="56">
        <v>44.3</v>
      </c>
      <c r="DY65" s="56">
        <v>45.3</v>
      </c>
      <c r="DZ65" s="56">
        <v>59.6</v>
      </c>
      <c r="EA65" s="56">
        <v>47.2</v>
      </c>
      <c r="EB65" s="56">
        <v>43.2</v>
      </c>
      <c r="EC65" s="56">
        <v>63.5</v>
      </c>
      <c r="ED65" s="56">
        <v>65.7</v>
      </c>
      <c r="EE65" s="56">
        <v>75.5</v>
      </c>
      <c r="EF65" s="56">
        <v>71.5</v>
      </c>
      <c r="EG65" s="56">
        <v>66.400000000000006</v>
      </c>
      <c r="EH65" s="56">
        <v>75.3</v>
      </c>
      <c r="EI65" s="56">
        <v>65.2</v>
      </c>
      <c r="EJ65" s="56">
        <v>74.7</v>
      </c>
      <c r="EK65" s="56">
        <v>70.2</v>
      </c>
      <c r="EL65" s="56">
        <v>90.6</v>
      </c>
      <c r="EM65" s="56">
        <v>75</v>
      </c>
      <c r="EN65" s="56">
        <v>141.5</v>
      </c>
      <c r="EO65" s="56">
        <v>82.9</v>
      </c>
      <c r="EP65" s="56">
        <v>80.5</v>
      </c>
      <c r="EQ65" s="56">
        <v>77.5</v>
      </c>
      <c r="ER65" s="56">
        <v>74.8</v>
      </c>
      <c r="ES65" s="56">
        <v>73.900000000000006</v>
      </c>
      <c r="ET65" s="56">
        <v>90.3</v>
      </c>
      <c r="EU65" s="56">
        <v>86.5</v>
      </c>
      <c r="EV65" s="56">
        <v>86.3</v>
      </c>
      <c r="EW65" s="56">
        <v>80.400000000000006</v>
      </c>
      <c r="EX65" s="56">
        <v>87</v>
      </c>
      <c r="EY65" s="56">
        <v>81.400000000000006</v>
      </c>
      <c r="EZ65" s="56">
        <v>91.2</v>
      </c>
      <c r="FA65" s="56">
        <v>348.6</v>
      </c>
      <c r="FB65" s="56">
        <v>301.2</v>
      </c>
      <c r="FC65" s="56">
        <v>226</v>
      </c>
      <c r="FD65" s="56">
        <v>144.9</v>
      </c>
      <c r="FE65" s="56">
        <v>178.4</v>
      </c>
      <c r="FF65" s="56">
        <v>164.3</v>
      </c>
      <c r="FG65" s="56">
        <v>195.8</v>
      </c>
      <c r="FH65" s="56">
        <v>122.5</v>
      </c>
      <c r="FI65" s="56">
        <v>110</v>
      </c>
      <c r="FJ65" s="56">
        <v>110.2</v>
      </c>
      <c r="FK65" s="56">
        <v>142.19999999999999</v>
      </c>
      <c r="FL65" s="56">
        <v>122.8</v>
      </c>
      <c r="FM65" s="56">
        <v>149.69999999999999</v>
      </c>
      <c r="FN65" s="56">
        <v>110.8</v>
      </c>
      <c r="FO65" s="56">
        <v>93</v>
      </c>
      <c r="FP65" s="56">
        <v>90.7</v>
      </c>
      <c r="FQ65" s="56">
        <v>125.3</v>
      </c>
      <c r="FR65" s="56">
        <v>91.2</v>
      </c>
      <c r="FS65" s="56">
        <v>84.4</v>
      </c>
      <c r="FT65" s="56">
        <v>85.3</v>
      </c>
      <c r="FU65" s="56">
        <v>79.7</v>
      </c>
      <c r="FV65" s="56">
        <v>86.8</v>
      </c>
      <c r="FW65" s="56">
        <v>84.1</v>
      </c>
      <c r="FX65" s="56">
        <v>83</v>
      </c>
      <c r="FY65" s="56">
        <v>80.8</v>
      </c>
      <c r="FZ65" s="56">
        <v>83.2</v>
      </c>
      <c r="GA65" s="56">
        <v>77.099999999999994</v>
      </c>
      <c r="GB65" s="56">
        <v>83.9</v>
      </c>
      <c r="GC65" s="56">
        <v>76.400000000000006</v>
      </c>
      <c r="GD65" s="56">
        <v>80.900000000000006</v>
      </c>
      <c r="GE65" s="56">
        <v>77.2</v>
      </c>
      <c r="GF65" s="56">
        <v>79.599999999999994</v>
      </c>
      <c r="GG65" s="56">
        <v>84.5</v>
      </c>
      <c r="GH65" s="56">
        <v>84.3</v>
      </c>
      <c r="GI65" s="56">
        <v>85.5</v>
      </c>
      <c r="GJ65" s="56">
        <v>116.5</v>
      </c>
      <c r="GK65" s="56">
        <v>81</v>
      </c>
      <c r="GL65" s="56">
        <v>78.900000000000006</v>
      </c>
      <c r="GM65" s="56">
        <v>86.1</v>
      </c>
      <c r="GN65" s="56">
        <v>85.3</v>
      </c>
      <c r="GO65" s="56">
        <v>82.9</v>
      </c>
      <c r="GP65" s="56">
        <v>86</v>
      </c>
      <c r="GQ65" s="56">
        <v>78.599999999999994</v>
      </c>
      <c r="GR65" s="56">
        <v>82.2</v>
      </c>
      <c r="GS65" s="56">
        <v>134</v>
      </c>
      <c r="GT65" s="56">
        <v>95.5</v>
      </c>
      <c r="GU65" s="56">
        <v>92.4</v>
      </c>
      <c r="GV65" s="56">
        <v>92.9</v>
      </c>
      <c r="GW65" s="56">
        <v>89.2</v>
      </c>
      <c r="GX65" s="56">
        <v>301.10000000000002</v>
      </c>
      <c r="GY65" s="56">
        <v>85.6</v>
      </c>
      <c r="GZ65" s="56">
        <v>98.4</v>
      </c>
      <c r="HA65" s="56">
        <v>88.6</v>
      </c>
      <c r="HB65" s="56">
        <v>89.5</v>
      </c>
      <c r="HC65">
        <v>476.6</v>
      </c>
      <c r="HD65">
        <v>203.9</v>
      </c>
      <c r="HE65">
        <v>108.6</v>
      </c>
      <c r="HF65">
        <v>246.5</v>
      </c>
      <c r="HG65">
        <v>385</v>
      </c>
      <c r="HH65">
        <v>343</v>
      </c>
      <c r="HI65">
        <v>164.7</v>
      </c>
      <c r="HJ65">
        <v>159.80000000000001</v>
      </c>
      <c r="HK65">
        <v>167.3</v>
      </c>
      <c r="HL65">
        <v>186.2</v>
      </c>
      <c r="HM65">
        <v>253.4</v>
      </c>
      <c r="HN65">
        <v>157.4</v>
      </c>
      <c r="HO65">
        <v>122.9</v>
      </c>
    </row>
    <row r="66" spans="1:223" x14ac:dyDescent="0.35">
      <c r="A66" s="56" t="s">
        <v>2301</v>
      </c>
      <c r="B66" s="56">
        <v>0.58399999999999996</v>
      </c>
      <c r="C66" s="56">
        <v>0.98</v>
      </c>
      <c r="D66" s="56">
        <v>1.256</v>
      </c>
      <c r="E66" s="56">
        <v>1.5920000000000001</v>
      </c>
      <c r="F66" s="56">
        <v>1.62</v>
      </c>
      <c r="G66" s="56">
        <v>1.6</v>
      </c>
      <c r="H66" s="56">
        <v>1.7</v>
      </c>
      <c r="I66" s="56">
        <v>1.8720000000000001</v>
      </c>
      <c r="J66" s="56">
        <v>1.8320000000000001</v>
      </c>
      <c r="K66" s="56">
        <v>1.8240000000000001</v>
      </c>
      <c r="L66" s="56">
        <v>2.1080000000000001</v>
      </c>
      <c r="M66" s="56">
        <v>2.1560000000000001</v>
      </c>
      <c r="N66" s="56">
        <v>2.1560000000000001</v>
      </c>
      <c r="O66" s="56">
        <v>2.1440000000000001</v>
      </c>
      <c r="P66" s="56">
        <v>2.2480000000000002</v>
      </c>
      <c r="Q66" s="56">
        <v>2.2879999999999998</v>
      </c>
      <c r="R66" s="56">
        <v>3.0640000000000001</v>
      </c>
      <c r="S66" s="56">
        <v>3.16</v>
      </c>
      <c r="T66" s="56">
        <v>3.62</v>
      </c>
      <c r="U66" s="56">
        <v>3.8879999999999999</v>
      </c>
      <c r="V66" s="56">
        <v>4.3639999999999999</v>
      </c>
      <c r="W66" s="56">
        <v>4.5119999999999996</v>
      </c>
      <c r="X66" s="56">
        <v>4.8319999999999999</v>
      </c>
      <c r="Y66" s="56">
        <v>4.68</v>
      </c>
      <c r="Z66" s="56">
        <v>4.7679999999999998</v>
      </c>
      <c r="AA66" s="56">
        <v>4.6760000000000002</v>
      </c>
      <c r="AB66" s="56">
        <v>4.4160000000000004</v>
      </c>
      <c r="AC66" s="56">
        <v>4.532</v>
      </c>
      <c r="AD66" s="56">
        <v>4.4960000000000004</v>
      </c>
      <c r="AE66" s="56">
        <v>4.3159999999999998</v>
      </c>
      <c r="AF66" s="56">
        <v>4.38</v>
      </c>
      <c r="AG66" s="56">
        <v>4.3840000000000003</v>
      </c>
      <c r="AH66" s="56">
        <v>4.5839999999999996</v>
      </c>
      <c r="AI66" s="56">
        <v>4.4880000000000004</v>
      </c>
      <c r="AJ66" s="56">
        <v>4.6719999999999997</v>
      </c>
      <c r="AK66" s="56">
        <v>4.5960000000000001</v>
      </c>
      <c r="AL66" s="56">
        <v>5.4240000000000004</v>
      </c>
      <c r="AM66" s="56">
        <v>5.78</v>
      </c>
      <c r="AN66" s="56">
        <v>6.88</v>
      </c>
      <c r="AO66" s="56">
        <v>7.2439999999999998</v>
      </c>
      <c r="AP66" s="56">
        <v>7.7640000000000002</v>
      </c>
      <c r="AQ66" s="56">
        <v>8.14</v>
      </c>
      <c r="AR66" s="56">
        <v>8.44</v>
      </c>
      <c r="AS66" s="56">
        <v>8.5120000000000005</v>
      </c>
      <c r="AT66" s="56">
        <v>10.144</v>
      </c>
      <c r="AU66" s="56">
        <v>10.272</v>
      </c>
      <c r="AV66" s="56">
        <v>10.16</v>
      </c>
      <c r="AW66" s="56">
        <v>9.6839999999999993</v>
      </c>
      <c r="AX66" s="56">
        <v>9.2959999999999994</v>
      </c>
      <c r="AY66" s="56">
        <v>9.4320000000000004</v>
      </c>
      <c r="AZ66" s="56">
        <v>9.6760000000000002</v>
      </c>
      <c r="BA66" s="56">
        <v>11.18</v>
      </c>
      <c r="BB66" s="56">
        <v>11.288</v>
      </c>
      <c r="BC66" s="56">
        <v>11.124000000000001</v>
      </c>
      <c r="BD66" s="56">
        <v>10.964</v>
      </c>
      <c r="BE66" s="56">
        <v>10.888</v>
      </c>
      <c r="BF66" s="56">
        <v>10.8</v>
      </c>
      <c r="BG66" s="56">
        <v>10.624000000000001</v>
      </c>
      <c r="BH66" s="56">
        <v>10.432</v>
      </c>
      <c r="BI66" s="56">
        <v>10.82</v>
      </c>
      <c r="BJ66" s="56">
        <v>10.784000000000001</v>
      </c>
      <c r="BK66" s="56">
        <v>10.72</v>
      </c>
      <c r="BL66" s="56">
        <v>10.612</v>
      </c>
      <c r="BM66" s="56">
        <v>10.644</v>
      </c>
      <c r="BN66" s="56">
        <v>10.488</v>
      </c>
      <c r="BO66" s="56">
        <v>10.564</v>
      </c>
      <c r="BP66" s="56">
        <v>10.576000000000001</v>
      </c>
      <c r="BQ66" s="56">
        <v>10.584</v>
      </c>
      <c r="BR66" s="56">
        <v>10.54</v>
      </c>
      <c r="BS66" s="56">
        <v>10.488</v>
      </c>
      <c r="BT66" s="56">
        <v>10.311999999999999</v>
      </c>
      <c r="BU66" s="56">
        <v>11.087999999999999</v>
      </c>
      <c r="BV66" s="56">
        <v>11.176</v>
      </c>
      <c r="BW66" s="56">
        <v>11.132</v>
      </c>
      <c r="BX66" s="56">
        <v>11.052</v>
      </c>
      <c r="BY66" s="56">
        <v>11.492000000000001</v>
      </c>
      <c r="BZ66" s="56">
        <v>11.656000000000001</v>
      </c>
      <c r="CA66" s="56">
        <v>11.712</v>
      </c>
      <c r="CB66" s="56">
        <v>11.784000000000001</v>
      </c>
      <c r="CC66" s="56">
        <v>14.148</v>
      </c>
      <c r="CD66" s="56">
        <v>13.984</v>
      </c>
      <c r="CE66" s="56">
        <v>14.215999999999999</v>
      </c>
      <c r="CF66" s="56">
        <v>14.404</v>
      </c>
      <c r="CG66" s="56">
        <v>16.36</v>
      </c>
      <c r="CH66" s="56">
        <v>16.995999999999999</v>
      </c>
      <c r="CI66" s="56">
        <v>17.635999999999999</v>
      </c>
      <c r="CJ66" s="56">
        <v>18.091999999999999</v>
      </c>
      <c r="CK66" s="56">
        <v>20.332000000000001</v>
      </c>
      <c r="CL66" s="56">
        <v>20.596</v>
      </c>
      <c r="CM66" s="56">
        <v>20.931999999999999</v>
      </c>
      <c r="CN66" s="56">
        <v>21.792000000000002</v>
      </c>
      <c r="CO66" s="56">
        <v>21.86</v>
      </c>
      <c r="CP66" s="56">
        <v>21.82</v>
      </c>
      <c r="CQ66" s="56">
        <v>22.14</v>
      </c>
      <c r="CR66" s="56">
        <v>22.204000000000001</v>
      </c>
      <c r="CS66" s="56">
        <v>22.68</v>
      </c>
      <c r="CT66" s="56">
        <v>23.06</v>
      </c>
      <c r="CU66" s="56">
        <v>22.58</v>
      </c>
      <c r="CV66" s="56">
        <v>22.504000000000001</v>
      </c>
      <c r="CW66" s="56">
        <v>23.224</v>
      </c>
      <c r="CX66" s="56">
        <v>22.716000000000001</v>
      </c>
      <c r="CY66" s="56">
        <v>22.384</v>
      </c>
      <c r="CZ66" s="56">
        <v>22.052</v>
      </c>
      <c r="DA66" s="56">
        <v>22.635999999999999</v>
      </c>
      <c r="DB66" s="56">
        <v>22.564</v>
      </c>
      <c r="DC66" s="56">
        <v>22.236000000000001</v>
      </c>
      <c r="DD66" s="56">
        <v>21.852</v>
      </c>
      <c r="DE66" s="56">
        <v>21.16</v>
      </c>
      <c r="DF66" s="56">
        <v>20.04</v>
      </c>
      <c r="DG66" s="56">
        <v>19.076000000000001</v>
      </c>
      <c r="DH66" s="56">
        <v>18.143999999999998</v>
      </c>
      <c r="DI66" s="56">
        <v>17.667999999999999</v>
      </c>
      <c r="DJ66" s="56">
        <v>17.123999999999999</v>
      </c>
      <c r="DK66" s="56">
        <v>16.579999999999998</v>
      </c>
      <c r="DL66" s="56">
        <v>15.976000000000001</v>
      </c>
      <c r="DM66" s="56">
        <v>16.18</v>
      </c>
      <c r="DN66" s="56">
        <v>15.788</v>
      </c>
      <c r="DO66" s="56">
        <v>15.464</v>
      </c>
      <c r="DP66" s="56">
        <v>15.284000000000001</v>
      </c>
      <c r="DQ66" s="56">
        <v>15.356</v>
      </c>
      <c r="DR66" s="56">
        <v>13.616</v>
      </c>
      <c r="DS66" s="56">
        <v>14.896000000000001</v>
      </c>
      <c r="DT66" s="56">
        <v>14.84</v>
      </c>
      <c r="DU66" s="56">
        <v>14.907999999999999</v>
      </c>
      <c r="DV66" s="56">
        <v>15.1</v>
      </c>
      <c r="DW66" s="56">
        <v>15.536</v>
      </c>
      <c r="DX66" s="56">
        <v>15.996</v>
      </c>
      <c r="DY66" s="56">
        <v>17.236000000000001</v>
      </c>
      <c r="DZ66" s="56">
        <v>17.898</v>
      </c>
      <c r="EA66" s="56">
        <v>18.222000000000001</v>
      </c>
      <c r="EB66" s="56">
        <v>18.484999999999999</v>
      </c>
      <c r="EC66" s="56">
        <v>19.841999999999999</v>
      </c>
      <c r="ED66" s="56">
        <v>20.652000000000001</v>
      </c>
      <c r="EE66" s="56">
        <v>21.759</v>
      </c>
      <c r="EF66" s="56">
        <v>22.788</v>
      </c>
      <c r="EG66" s="56">
        <v>23.298999999999999</v>
      </c>
      <c r="EH66" s="56">
        <v>24.085999999999999</v>
      </c>
      <c r="EI66" s="56">
        <v>24.969000000000001</v>
      </c>
      <c r="EJ66" s="56">
        <v>25.888000000000002</v>
      </c>
      <c r="EK66" s="56">
        <v>28.838999999999999</v>
      </c>
      <c r="EL66" s="56">
        <v>27.844000000000001</v>
      </c>
      <c r="EM66" s="56">
        <v>28.236999999999998</v>
      </c>
      <c r="EN66" s="56">
        <v>29.613</v>
      </c>
      <c r="EO66" s="56">
        <v>32.274000000000001</v>
      </c>
      <c r="EP66" s="56">
        <v>29.234999999999999</v>
      </c>
      <c r="EQ66" s="56">
        <v>29.263999999999999</v>
      </c>
      <c r="ER66" s="56">
        <v>29.344000000000001</v>
      </c>
      <c r="ES66" s="56">
        <v>29.716999999999999</v>
      </c>
      <c r="ET66" s="56">
        <v>30</v>
      </c>
      <c r="EU66" s="56">
        <v>30.391999999999999</v>
      </c>
      <c r="EV66" s="56">
        <v>30.74</v>
      </c>
      <c r="EW66" s="56">
        <v>32.552999999999997</v>
      </c>
      <c r="EX66" s="56">
        <v>33.466000000000001</v>
      </c>
      <c r="EY66" s="56">
        <v>34.606999999999999</v>
      </c>
      <c r="EZ66" s="56">
        <v>37.1</v>
      </c>
      <c r="FA66" s="56">
        <v>42.963999999999999</v>
      </c>
      <c r="FB66" s="56">
        <v>44.63</v>
      </c>
      <c r="FC66" s="56">
        <v>55.540999999999997</v>
      </c>
      <c r="FD66" s="56">
        <v>58.195</v>
      </c>
      <c r="FE66" s="56">
        <v>60.683</v>
      </c>
      <c r="FF66" s="56">
        <v>63.749000000000002</v>
      </c>
      <c r="FG66" s="56">
        <v>65.742999999999995</v>
      </c>
      <c r="FH66" s="56">
        <v>67.739999999999995</v>
      </c>
      <c r="FI66" s="56">
        <v>68.828000000000003</v>
      </c>
      <c r="FJ66" s="56">
        <v>71.063000000000002</v>
      </c>
      <c r="FK66" s="56">
        <v>72.828999999999994</v>
      </c>
      <c r="FL66" s="56">
        <v>73.527000000000001</v>
      </c>
      <c r="FM66" s="56">
        <v>73.492000000000004</v>
      </c>
      <c r="FN66" s="56">
        <v>74.054000000000002</v>
      </c>
      <c r="FO66" s="56">
        <v>74.347999999999999</v>
      </c>
      <c r="FP66" s="56">
        <v>75.343000000000004</v>
      </c>
      <c r="FQ66" s="56">
        <v>75.66</v>
      </c>
      <c r="FR66" s="56">
        <v>75.959999999999994</v>
      </c>
      <c r="FS66" s="56">
        <v>76.039000000000001</v>
      </c>
      <c r="FT66" s="56">
        <v>75.213999999999999</v>
      </c>
      <c r="FU66" s="56">
        <v>71.414000000000001</v>
      </c>
      <c r="FV66" s="56">
        <v>69.317999999999998</v>
      </c>
      <c r="FW66" s="56">
        <v>69.353999999999999</v>
      </c>
      <c r="FX66" s="56">
        <v>68.644999999999996</v>
      </c>
      <c r="FY66" s="56">
        <v>70.316999999999993</v>
      </c>
      <c r="FZ66" s="56">
        <v>69.766999999999996</v>
      </c>
      <c r="GA66" s="56">
        <v>69.164000000000001</v>
      </c>
      <c r="GB66" s="56">
        <v>68.382000000000005</v>
      </c>
      <c r="GC66" s="56">
        <v>67.638000000000005</v>
      </c>
      <c r="GD66" s="56">
        <v>67.293999999999997</v>
      </c>
      <c r="GE66" s="56">
        <v>65.412999999999997</v>
      </c>
      <c r="GF66" s="56">
        <v>64.802999999999997</v>
      </c>
      <c r="GG66" s="56">
        <v>64.498999999999995</v>
      </c>
      <c r="GH66" s="56">
        <v>63.667000000000002</v>
      </c>
      <c r="GI66" s="56">
        <v>62.198</v>
      </c>
      <c r="GJ66" s="56">
        <v>63.704999999999998</v>
      </c>
      <c r="GK66" s="56">
        <v>67.448999999999998</v>
      </c>
      <c r="GL66" s="56">
        <v>59.752000000000002</v>
      </c>
      <c r="GM66" s="56">
        <v>58.478999999999999</v>
      </c>
      <c r="GN66" s="56">
        <v>57.514000000000003</v>
      </c>
      <c r="GO66" s="56">
        <v>57.017000000000003</v>
      </c>
      <c r="GP66" s="56">
        <v>55.875</v>
      </c>
      <c r="GQ66" s="56">
        <v>54.335999999999999</v>
      </c>
      <c r="GR66" s="56">
        <v>54.345999999999997</v>
      </c>
      <c r="GS66" s="56">
        <v>54.290999999999997</v>
      </c>
      <c r="GT66" s="56">
        <v>61.624000000000002</v>
      </c>
      <c r="GU66" s="56">
        <v>105.667</v>
      </c>
      <c r="GV66" s="56">
        <v>105.886</v>
      </c>
      <c r="GW66" s="56">
        <v>106.60599999999999</v>
      </c>
      <c r="GX66" s="56">
        <v>145.78700000000001</v>
      </c>
      <c r="GY66" s="56">
        <v>155.346</v>
      </c>
      <c r="GZ66" s="56">
        <v>148.60300000000001</v>
      </c>
      <c r="HA66" s="56">
        <v>154.94</v>
      </c>
      <c r="HB66" s="56">
        <v>131.55099999999999</v>
      </c>
      <c r="HC66">
        <v>128.34899999999999</v>
      </c>
      <c r="HD66">
        <v>125.361</v>
      </c>
      <c r="HE66">
        <v>146.43</v>
      </c>
      <c r="HF66">
        <v>138.40799999999999</v>
      </c>
      <c r="HG66">
        <v>106.691</v>
      </c>
      <c r="HH66">
        <v>106.29600000000001</v>
      </c>
      <c r="HI66">
        <v>93.49</v>
      </c>
      <c r="HJ66">
        <v>92.007999999999996</v>
      </c>
      <c r="HK66">
        <v>96.12</v>
      </c>
      <c r="HL66">
        <v>102.79</v>
      </c>
      <c r="HM66">
        <v>98.516000000000005</v>
      </c>
      <c r="HN66">
        <v>95.266000000000005</v>
      </c>
      <c r="HO66">
        <v>92.81</v>
      </c>
    </row>
    <row r="67" spans="1:223" x14ac:dyDescent="0.35">
      <c r="A67" s="56" t="s">
        <v>2302</v>
      </c>
      <c r="B67" s="56">
        <v>38.1</v>
      </c>
      <c r="C67" s="56">
        <v>38.633333333333297</v>
      </c>
      <c r="D67" s="56">
        <v>39.033333333333303</v>
      </c>
      <c r="E67" s="56">
        <v>39.6</v>
      </c>
      <c r="F67" s="56">
        <v>39.933333333333302</v>
      </c>
      <c r="G67" s="56">
        <v>40.299999999999997</v>
      </c>
      <c r="H67" s="56">
        <v>40.700000000000003</v>
      </c>
      <c r="I67" s="56">
        <v>41</v>
      </c>
      <c r="J67" s="56">
        <v>41.3333333333333</v>
      </c>
      <c r="K67" s="56">
        <v>41.6</v>
      </c>
      <c r="L67" s="56">
        <v>41.933333333333302</v>
      </c>
      <c r="M67" s="56">
        <v>42.366666666666703</v>
      </c>
      <c r="N67" s="56">
        <v>43.033333333333303</v>
      </c>
      <c r="O67" s="56">
        <v>43.933333333333302</v>
      </c>
      <c r="P67" s="56">
        <v>44.8</v>
      </c>
      <c r="Q67" s="56">
        <v>45.933333333333302</v>
      </c>
      <c r="R67" s="56">
        <v>47.3</v>
      </c>
      <c r="S67" s="56">
        <v>48.566666666666698</v>
      </c>
      <c r="T67" s="56">
        <v>49.933333333333302</v>
      </c>
      <c r="U67" s="56">
        <v>51.466666666666697</v>
      </c>
      <c r="V67" s="56">
        <v>52.566666666666698</v>
      </c>
      <c r="W67" s="56">
        <v>53.2</v>
      </c>
      <c r="X67" s="56">
        <v>54.266666666666701</v>
      </c>
      <c r="Y67" s="56">
        <v>55.266666666666701</v>
      </c>
      <c r="Z67" s="56">
        <v>55.9</v>
      </c>
      <c r="AA67" s="56">
        <v>56.4</v>
      </c>
      <c r="AB67" s="56">
        <v>57.3</v>
      </c>
      <c r="AC67" s="56">
        <v>58.133333333333297</v>
      </c>
      <c r="AD67" s="56">
        <v>59.2</v>
      </c>
      <c r="AE67" s="56">
        <v>60.233333333333299</v>
      </c>
      <c r="AF67" s="56">
        <v>61.066666666666698</v>
      </c>
      <c r="AG67" s="56">
        <v>61.966666666666697</v>
      </c>
      <c r="AH67" s="56">
        <v>63.033333333333303</v>
      </c>
      <c r="AI67" s="56">
        <v>64.466666666666697</v>
      </c>
      <c r="AJ67" s="56">
        <v>65.966666666666697</v>
      </c>
      <c r="AK67" s="56">
        <v>67.5</v>
      </c>
      <c r="AL67" s="56">
        <v>69.2</v>
      </c>
      <c r="AM67" s="56">
        <v>71.400000000000006</v>
      </c>
      <c r="AN67" s="56">
        <v>73.7</v>
      </c>
      <c r="AO67" s="56">
        <v>76.033333333333303</v>
      </c>
      <c r="AP67" s="56">
        <v>79.033333333333303</v>
      </c>
      <c r="AQ67" s="56">
        <v>81.7</v>
      </c>
      <c r="AR67" s="56">
        <v>83.233333333333306</v>
      </c>
      <c r="AS67" s="56">
        <v>85.566666666666706</v>
      </c>
      <c r="AT67" s="56">
        <v>87.933333333333294</v>
      </c>
      <c r="AU67" s="56">
        <v>89.766666666666694</v>
      </c>
      <c r="AV67" s="56">
        <v>92.266666666666694</v>
      </c>
      <c r="AW67" s="56">
        <v>93.766666666666694</v>
      </c>
      <c r="AX67" s="56">
        <v>94.6</v>
      </c>
      <c r="AY67" s="56">
        <v>95.966666666666697</v>
      </c>
      <c r="AZ67" s="56">
        <v>97.633333333333297</v>
      </c>
      <c r="BA67" s="56">
        <v>97.933333333333294</v>
      </c>
      <c r="BB67" s="56">
        <v>98</v>
      </c>
      <c r="BC67" s="56">
        <v>99.133333333333297</v>
      </c>
      <c r="BD67" s="56">
        <v>100.1</v>
      </c>
      <c r="BE67" s="56">
        <v>101.1</v>
      </c>
      <c r="BF67" s="56">
        <v>102.533333333333</v>
      </c>
      <c r="BG67" s="56">
        <v>103.5</v>
      </c>
      <c r="BH67" s="56">
        <v>104.4</v>
      </c>
      <c r="BI67" s="56">
        <v>105.3</v>
      </c>
      <c r="BJ67" s="56">
        <v>106.26666666666701</v>
      </c>
      <c r="BK67" s="56">
        <v>107.23333333333299</v>
      </c>
      <c r="BL67" s="56">
        <v>107.9</v>
      </c>
      <c r="BM67" s="56">
        <v>109</v>
      </c>
      <c r="BN67" s="56">
        <v>109.566666666667</v>
      </c>
      <c r="BO67" s="56">
        <v>109.033333333333</v>
      </c>
      <c r="BP67" s="56">
        <v>109.7</v>
      </c>
      <c r="BQ67" s="56">
        <v>110.466666666667</v>
      </c>
      <c r="BR67" s="56">
        <v>111.8</v>
      </c>
      <c r="BS67" s="56">
        <v>113.066666666667</v>
      </c>
      <c r="BT67" s="56">
        <v>114.26666666666701</v>
      </c>
      <c r="BU67" s="56">
        <v>115.333333333333</v>
      </c>
      <c r="BV67" s="56">
        <v>116.23333333333299</v>
      </c>
      <c r="BW67" s="56">
        <v>117.566666666667</v>
      </c>
      <c r="BX67" s="56">
        <v>119</v>
      </c>
      <c r="BY67" s="56">
        <v>120.3</v>
      </c>
      <c r="BZ67" s="56">
        <v>121.666666666667</v>
      </c>
      <c r="CA67" s="56">
        <v>123.633333333333</v>
      </c>
      <c r="CB67" s="56">
        <v>124.6</v>
      </c>
      <c r="CC67" s="56">
        <v>125.866666666667</v>
      </c>
      <c r="CD67" s="56">
        <v>128.03333333333299</v>
      </c>
      <c r="CE67" s="56">
        <v>129.30000000000001</v>
      </c>
      <c r="CF67" s="56">
        <v>131.53333333333299</v>
      </c>
      <c r="CG67" s="56">
        <v>133.76666666666699</v>
      </c>
      <c r="CH67" s="56">
        <v>134.76666666666699</v>
      </c>
      <c r="CI67" s="56">
        <v>135.566666666667</v>
      </c>
      <c r="CJ67" s="56">
        <v>136.6</v>
      </c>
      <c r="CK67" s="56">
        <v>137.73333333333301</v>
      </c>
      <c r="CL67" s="56">
        <v>138.666666666667</v>
      </c>
      <c r="CM67" s="56">
        <v>139.73333333333301</v>
      </c>
      <c r="CN67" s="56">
        <v>140.80000000000001</v>
      </c>
      <c r="CO67" s="56">
        <v>142.03333333333299</v>
      </c>
      <c r="CP67" s="56">
        <v>143.066666666667</v>
      </c>
      <c r="CQ67" s="56">
        <v>144.1</v>
      </c>
      <c r="CR67" s="56">
        <v>144.76666666666699</v>
      </c>
      <c r="CS67" s="56">
        <v>145.96666666666701</v>
      </c>
      <c r="CT67" s="56">
        <v>146.69999999999999</v>
      </c>
      <c r="CU67" s="56">
        <v>147.53333333333299</v>
      </c>
      <c r="CV67" s="56">
        <v>148.9</v>
      </c>
      <c r="CW67" s="56">
        <v>149.76666666666699</v>
      </c>
      <c r="CX67" s="56">
        <v>150.86666666666699</v>
      </c>
      <c r="CY67" s="56">
        <v>152.1</v>
      </c>
      <c r="CZ67" s="56">
        <v>152.86666666666699</v>
      </c>
      <c r="DA67" s="56">
        <v>153.69999999999999</v>
      </c>
      <c r="DB67" s="56">
        <v>155.066666666667</v>
      </c>
      <c r="DC67" s="56">
        <v>156.4</v>
      </c>
      <c r="DD67" s="56">
        <v>157.30000000000001</v>
      </c>
      <c r="DE67" s="56">
        <v>158.666666666667</v>
      </c>
      <c r="DF67" s="56">
        <v>159.63333333333301</v>
      </c>
      <c r="DG67" s="56">
        <v>160</v>
      </c>
      <c r="DH67" s="56">
        <v>160.80000000000001</v>
      </c>
      <c r="DI67" s="56">
        <v>161.666666666667</v>
      </c>
      <c r="DJ67" s="56">
        <v>162</v>
      </c>
      <c r="DK67" s="56">
        <v>162.53333333333299</v>
      </c>
      <c r="DL67" s="56">
        <v>163.36666666666699</v>
      </c>
      <c r="DM67" s="56">
        <v>164.13333333333301</v>
      </c>
      <c r="DN67" s="56">
        <v>164.73333333333301</v>
      </c>
      <c r="DO67" s="56">
        <v>165.96666666666701</v>
      </c>
      <c r="DP67" s="56">
        <v>167.2</v>
      </c>
      <c r="DQ67" s="56">
        <v>168.433333333333</v>
      </c>
      <c r="DR67" s="56">
        <v>170.1</v>
      </c>
      <c r="DS67" s="56">
        <v>171.433333333333</v>
      </c>
      <c r="DT67" s="56">
        <v>173</v>
      </c>
      <c r="DU67" s="56">
        <v>174.23333333333301</v>
      </c>
      <c r="DV67" s="56">
        <v>175.9</v>
      </c>
      <c r="DW67" s="56">
        <v>177.13333333333301</v>
      </c>
      <c r="DX67" s="56">
        <v>177.63333333333301</v>
      </c>
      <c r="DY67" s="56">
        <v>177.5</v>
      </c>
      <c r="DZ67" s="56">
        <v>178.066666666667</v>
      </c>
      <c r="EA67" s="56">
        <v>179.46666666666701</v>
      </c>
      <c r="EB67" s="56">
        <v>180.433333333333</v>
      </c>
      <c r="EC67" s="56">
        <v>181.5</v>
      </c>
      <c r="ED67" s="56">
        <v>183.36666666666699</v>
      </c>
      <c r="EE67" s="56">
        <v>183.066666666667</v>
      </c>
      <c r="EF67" s="56">
        <v>184.433333333333</v>
      </c>
      <c r="EG67" s="56">
        <v>185.13333333333301</v>
      </c>
      <c r="EH67" s="56">
        <v>186.7</v>
      </c>
      <c r="EI67" s="56">
        <v>188.166666666667</v>
      </c>
      <c r="EJ67" s="56">
        <v>189.36666666666699</v>
      </c>
      <c r="EK67" s="56">
        <v>191.4</v>
      </c>
      <c r="EL67" s="56">
        <v>192.36666666666699</v>
      </c>
      <c r="EM67" s="56">
        <v>193.666666666667</v>
      </c>
      <c r="EN67" s="56">
        <v>196.6</v>
      </c>
      <c r="EO67" s="56">
        <v>198.433333333333</v>
      </c>
      <c r="EP67" s="56">
        <v>199.46666666666701</v>
      </c>
      <c r="EQ67" s="56">
        <v>201.26666666666699</v>
      </c>
      <c r="ER67" s="56">
        <v>203.166666666667</v>
      </c>
      <c r="ES67" s="56">
        <v>202.333333333333</v>
      </c>
      <c r="ET67" s="56">
        <v>204.31700000000001</v>
      </c>
      <c r="EU67" s="56">
        <v>206.631</v>
      </c>
      <c r="EV67" s="56">
        <v>207.93899999999999</v>
      </c>
      <c r="EW67" s="56">
        <v>210.48966666666701</v>
      </c>
      <c r="EX67" s="56">
        <v>212.76966666666701</v>
      </c>
      <c r="EY67" s="56">
        <v>215.53766666666701</v>
      </c>
      <c r="EZ67" s="56">
        <v>218.86099999999999</v>
      </c>
      <c r="FA67" s="56">
        <v>213.84866666666699</v>
      </c>
      <c r="FB67" s="56">
        <v>212.37766666666701</v>
      </c>
      <c r="FC67" s="56">
        <v>213.50700000000001</v>
      </c>
      <c r="FD67" s="56">
        <v>215.34399999999999</v>
      </c>
      <c r="FE67" s="56">
        <v>217.03</v>
      </c>
      <c r="FF67" s="56">
        <v>217.374</v>
      </c>
      <c r="FG67" s="56">
        <v>217.297333333333</v>
      </c>
      <c r="FH67" s="56">
        <v>217.934333333333</v>
      </c>
      <c r="FI67" s="56">
        <v>219.69900000000001</v>
      </c>
      <c r="FJ67" s="56">
        <v>222.04366666666701</v>
      </c>
      <c r="FK67" s="56">
        <v>224.56833333333299</v>
      </c>
      <c r="FL67" s="56">
        <v>226.03266666666701</v>
      </c>
      <c r="FM67" s="56">
        <v>227.047333333333</v>
      </c>
      <c r="FN67" s="56">
        <v>228.32599999999999</v>
      </c>
      <c r="FO67" s="56">
        <v>228.80799999999999</v>
      </c>
      <c r="FP67" s="56">
        <v>229.84100000000001</v>
      </c>
      <c r="FQ67" s="56">
        <v>231.369333333333</v>
      </c>
      <c r="FR67" s="56">
        <v>232.29933333333301</v>
      </c>
      <c r="FS67" s="56">
        <v>232.04499999999999</v>
      </c>
      <c r="FT67" s="56">
        <v>233.3</v>
      </c>
      <c r="FU67" s="56">
        <v>234.16266666666701</v>
      </c>
      <c r="FV67" s="56">
        <v>235.62100000000001</v>
      </c>
      <c r="FW67" s="56">
        <v>236.87233333333299</v>
      </c>
      <c r="FX67" s="56">
        <v>237.47833333333301</v>
      </c>
      <c r="FY67" s="56">
        <v>236.88833333333301</v>
      </c>
      <c r="FZ67" s="56">
        <v>235.35499999999999</v>
      </c>
      <c r="GA67" s="56">
        <v>236.96</v>
      </c>
      <c r="GB67" s="56">
        <v>237.85499999999999</v>
      </c>
      <c r="GC67" s="56">
        <v>237.83699999999999</v>
      </c>
      <c r="GD67" s="56">
        <v>237.689333333333</v>
      </c>
      <c r="GE67" s="56">
        <v>239.59033333333301</v>
      </c>
      <c r="GF67" s="56">
        <v>240.607333333333</v>
      </c>
      <c r="GG67" s="56">
        <v>242.13466666666699</v>
      </c>
      <c r="GH67" s="56">
        <v>243.838666666667</v>
      </c>
      <c r="GI67" s="56">
        <v>244.12</v>
      </c>
      <c r="GJ67" s="56">
        <v>245.28700000000001</v>
      </c>
      <c r="GK67" s="56">
        <v>247.238333333333</v>
      </c>
      <c r="GL67" s="56">
        <v>249.321666666667</v>
      </c>
      <c r="GM67" s="56">
        <v>250.679</v>
      </c>
      <c r="GN67" s="56">
        <v>251.68633333333301</v>
      </c>
      <c r="GO67" s="56">
        <v>252.71100000000001</v>
      </c>
      <c r="GP67" s="56">
        <v>253.38566666666699</v>
      </c>
      <c r="GQ67" s="56">
        <v>255.24733333333299</v>
      </c>
      <c r="GR67" s="56">
        <v>256.089333333333</v>
      </c>
      <c r="GS67" s="56">
        <v>257.88799999999998</v>
      </c>
      <c r="GT67" s="56">
        <v>258.81766666666698</v>
      </c>
      <c r="GU67" s="56">
        <v>256.29199999999997</v>
      </c>
      <c r="GV67" s="56">
        <v>259.22166666666698</v>
      </c>
      <c r="GW67" s="56">
        <v>261.09166666666698</v>
      </c>
      <c r="GX67" s="56">
        <v>263.68633333333298</v>
      </c>
      <c r="GY67" s="56">
        <v>268.57966666666698</v>
      </c>
      <c r="GZ67" s="56">
        <v>272.88633333333303</v>
      </c>
      <c r="HA67" s="56">
        <v>278.719333333333</v>
      </c>
      <c r="HB67" s="56">
        <v>284.84466666666702</v>
      </c>
      <c r="HC67">
        <v>291.65100000000001</v>
      </c>
      <c r="HD67">
        <v>295.50766666666698</v>
      </c>
      <c r="HE67">
        <v>298.49833333333299</v>
      </c>
      <c r="HF67">
        <v>301.191666666667</v>
      </c>
      <c r="HG67">
        <v>303.42433333333298</v>
      </c>
      <c r="HH67">
        <v>306.04233333333298</v>
      </c>
      <c r="HI67">
        <v>308.15833333333302</v>
      </c>
      <c r="HJ67">
        <v>310.97433333333299</v>
      </c>
      <c r="HK67">
        <v>313.095666666667</v>
      </c>
      <c r="HL67">
        <v>314.18266666666699</v>
      </c>
      <c r="HM67">
        <v>316.53866666666698</v>
      </c>
      <c r="HN67">
        <v>319.49200000000002</v>
      </c>
      <c r="HO67">
        <v>320.80033333333301</v>
      </c>
    </row>
    <row r="68" spans="1:223" x14ac:dyDescent="0.35">
      <c r="A68" s="56" t="s">
        <v>2303</v>
      </c>
      <c r="B68" s="56">
        <v>38.299999999999997</v>
      </c>
      <c r="C68" s="56">
        <v>38.8333333333333</v>
      </c>
      <c r="D68" s="56">
        <v>39.233333333333299</v>
      </c>
      <c r="E68" s="56">
        <v>39.799999999999997</v>
      </c>
      <c r="F68" s="56">
        <v>40.1666666666667</v>
      </c>
      <c r="G68" s="56">
        <v>40.533333333333303</v>
      </c>
      <c r="H68" s="56">
        <v>40.966666666666697</v>
      </c>
      <c r="I68" s="56">
        <v>41.233333333333299</v>
      </c>
      <c r="J68" s="56">
        <v>41.6</v>
      </c>
      <c r="K68" s="56">
        <v>41.8</v>
      </c>
      <c r="L68" s="56">
        <v>42.2</v>
      </c>
      <c r="M68" s="56">
        <v>42.633333333333297</v>
      </c>
      <c r="N68" s="56">
        <v>43.266666666666701</v>
      </c>
      <c r="O68" s="56">
        <v>44.1666666666667</v>
      </c>
      <c r="P68" s="56">
        <v>45.066666666666698</v>
      </c>
      <c r="Q68" s="56">
        <v>46.1666666666667</v>
      </c>
      <c r="R68" s="56">
        <v>47.566666666666698</v>
      </c>
      <c r="S68" s="56">
        <v>48.766666666666701</v>
      </c>
      <c r="T68" s="56">
        <v>50.233333333333299</v>
      </c>
      <c r="U68" s="56">
        <v>51.766666666666701</v>
      </c>
      <c r="V68" s="56">
        <v>52.866666666666703</v>
      </c>
      <c r="W68" s="56">
        <v>53.5</v>
      </c>
      <c r="X68" s="56">
        <v>54.566666666666698</v>
      </c>
      <c r="Y68" s="56">
        <v>55.566666666666698</v>
      </c>
      <c r="Z68" s="56">
        <v>56.233333333333299</v>
      </c>
      <c r="AA68" s="56">
        <v>56.733333333333299</v>
      </c>
      <c r="AB68" s="56">
        <v>57.6</v>
      </c>
      <c r="AC68" s="56">
        <v>58.433333333333302</v>
      </c>
      <c r="AD68" s="56">
        <v>59.533333333333303</v>
      </c>
      <c r="AE68" s="56">
        <v>60.6</v>
      </c>
      <c r="AF68" s="56">
        <v>61.433333333333302</v>
      </c>
      <c r="AG68" s="56">
        <v>62.266666666666701</v>
      </c>
      <c r="AH68" s="56">
        <v>63.366666666666703</v>
      </c>
      <c r="AI68" s="56">
        <v>64.766666666666694</v>
      </c>
      <c r="AJ68" s="56">
        <v>66.233333333333306</v>
      </c>
      <c r="AK68" s="56">
        <v>67.8333333333333</v>
      </c>
      <c r="AL68" s="56">
        <v>69.566666666666706</v>
      </c>
      <c r="AM68" s="56">
        <v>71.900000000000006</v>
      </c>
      <c r="AN68" s="56">
        <v>74.233333333333306</v>
      </c>
      <c r="AO68" s="56">
        <v>76.5</v>
      </c>
      <c r="AP68" s="56">
        <v>79.5</v>
      </c>
      <c r="AQ68" s="56">
        <v>82.2</v>
      </c>
      <c r="AR68" s="56">
        <v>83.733333333333306</v>
      </c>
      <c r="AS68" s="56">
        <v>86.1666666666667</v>
      </c>
      <c r="AT68" s="56">
        <v>88.466666666666697</v>
      </c>
      <c r="AU68" s="56">
        <v>90.233333333333306</v>
      </c>
      <c r="AV68" s="56">
        <v>92.733333333333306</v>
      </c>
      <c r="AW68" s="56">
        <v>94.1666666666667</v>
      </c>
      <c r="AX68" s="56">
        <v>94.966666666666697</v>
      </c>
      <c r="AY68" s="56">
        <v>96.233333333333306</v>
      </c>
      <c r="AZ68" s="56">
        <v>98</v>
      </c>
      <c r="BA68" s="56">
        <v>98.3333333333333</v>
      </c>
      <c r="BB68" s="56">
        <v>98.3</v>
      </c>
      <c r="BC68" s="56">
        <v>99.433333333333294</v>
      </c>
      <c r="BD68" s="56">
        <v>100.4</v>
      </c>
      <c r="BE68" s="56">
        <v>101.166666666667</v>
      </c>
      <c r="BF68" s="56">
        <v>101.933333333333</v>
      </c>
      <c r="BG68" s="56">
        <v>102.466666666667</v>
      </c>
      <c r="BH68" s="56">
        <v>103.933333333333</v>
      </c>
      <c r="BI68" s="56">
        <v>104.8</v>
      </c>
      <c r="BJ68" s="56">
        <v>105.666666666667</v>
      </c>
      <c r="BK68" s="56">
        <v>106.633333333333</v>
      </c>
      <c r="BL68" s="56">
        <v>107.133333333333</v>
      </c>
      <c r="BM68" s="56">
        <v>108.2</v>
      </c>
      <c r="BN68" s="56">
        <v>108.666666666667</v>
      </c>
      <c r="BO68" s="56">
        <v>107.933333333333</v>
      </c>
      <c r="BP68" s="56">
        <v>108.5</v>
      </c>
      <c r="BQ68" s="56">
        <v>109.2</v>
      </c>
      <c r="BR68" s="56">
        <v>110.666666666667</v>
      </c>
      <c r="BS68" s="56">
        <v>111.966666666667</v>
      </c>
      <c r="BT68" s="56">
        <v>113.166666666667</v>
      </c>
      <c r="BU68" s="56">
        <v>114.166666666667</v>
      </c>
      <c r="BV68" s="56">
        <v>114.933333333333</v>
      </c>
      <c r="BW68" s="56">
        <v>116.2</v>
      </c>
      <c r="BX68" s="56">
        <v>117.73333333333299</v>
      </c>
      <c r="BY68" s="56">
        <v>118.933333333333</v>
      </c>
      <c r="BZ68" s="56">
        <v>120.366666666667</v>
      </c>
      <c r="CA68" s="56">
        <v>122.4</v>
      </c>
      <c r="CB68" s="56">
        <v>123.26666666666701</v>
      </c>
      <c r="CC68" s="56">
        <v>124.4</v>
      </c>
      <c r="CD68" s="56">
        <v>126.566666666667</v>
      </c>
      <c r="CE68" s="56">
        <v>127.666666666667</v>
      </c>
      <c r="CF68" s="56">
        <v>129.86666666666699</v>
      </c>
      <c r="CG68" s="56">
        <v>132.1</v>
      </c>
      <c r="CH68" s="56">
        <v>132.933333333333</v>
      </c>
      <c r="CI68" s="56">
        <v>133.73333333333301</v>
      </c>
      <c r="CJ68" s="56">
        <v>134.63333333333301</v>
      </c>
      <c r="CK68" s="56">
        <v>135.73333333333301</v>
      </c>
      <c r="CL68" s="56">
        <v>136.53333333333299</v>
      </c>
      <c r="CM68" s="56">
        <v>137.566666666667</v>
      </c>
      <c r="CN68" s="56">
        <v>138.69999999999999</v>
      </c>
      <c r="CO68" s="56">
        <v>139.80000000000001</v>
      </c>
      <c r="CP68" s="56">
        <v>140.76666666666699</v>
      </c>
      <c r="CQ68" s="56">
        <v>141.73333333333301</v>
      </c>
      <c r="CR68" s="56">
        <v>142.333333333333</v>
      </c>
      <c r="CS68" s="56">
        <v>143.433333333333</v>
      </c>
      <c r="CT68" s="56">
        <v>144.03333333333299</v>
      </c>
      <c r="CU68" s="56">
        <v>144.86666666666699</v>
      </c>
      <c r="CV68" s="56">
        <v>146.4</v>
      </c>
      <c r="CW68" s="56">
        <v>147.26666666666699</v>
      </c>
      <c r="CX68" s="56">
        <v>148.333333333333</v>
      </c>
      <c r="CY68" s="56">
        <v>149.5</v>
      </c>
      <c r="CZ68" s="56">
        <v>150.166666666667</v>
      </c>
      <c r="DA68" s="56">
        <v>151</v>
      </c>
      <c r="DB68" s="56">
        <v>152.4</v>
      </c>
      <c r="DC68" s="56">
        <v>153.73333333333301</v>
      </c>
      <c r="DD68" s="56">
        <v>154.566666666667</v>
      </c>
      <c r="DE68" s="56">
        <v>155.86666666666699</v>
      </c>
      <c r="DF68" s="56">
        <v>156.80000000000001</v>
      </c>
      <c r="DG68" s="56">
        <v>157.1</v>
      </c>
      <c r="DH68" s="56">
        <v>157.80000000000001</v>
      </c>
      <c r="DI68" s="56">
        <v>158.53333333333299</v>
      </c>
      <c r="DJ68" s="56">
        <v>158.73333333333301</v>
      </c>
      <c r="DK68" s="56">
        <v>159.19999999999999</v>
      </c>
      <c r="DL68" s="56">
        <v>159.96666666666701</v>
      </c>
      <c r="DM68" s="56">
        <v>160.76666666666699</v>
      </c>
      <c r="DN68" s="56">
        <v>161.36666666666699</v>
      </c>
      <c r="DO68" s="56">
        <v>162.53333333333299</v>
      </c>
      <c r="DP68" s="56">
        <v>163.9</v>
      </c>
      <c r="DQ68" s="56">
        <v>165.2</v>
      </c>
      <c r="DR68" s="56">
        <v>166.833333333333</v>
      </c>
      <c r="DS68" s="56">
        <v>168.166666666667</v>
      </c>
      <c r="DT68" s="56">
        <v>169.7</v>
      </c>
      <c r="DU68" s="56">
        <v>170.833333333333</v>
      </c>
      <c r="DV68" s="56">
        <v>172.433333333333</v>
      </c>
      <c r="DW68" s="56">
        <v>173.73333333333301</v>
      </c>
      <c r="DX68" s="56">
        <v>174.1</v>
      </c>
      <c r="DY68" s="56">
        <v>173.666666666667</v>
      </c>
      <c r="DZ68" s="56">
        <v>174.03333333333299</v>
      </c>
      <c r="EA68" s="56">
        <v>175.53333333333299</v>
      </c>
      <c r="EB68" s="56">
        <v>176.5</v>
      </c>
      <c r="EC68" s="56">
        <v>177.46666666666701</v>
      </c>
      <c r="ED68" s="56">
        <v>179.46666666666701</v>
      </c>
      <c r="EE68" s="56">
        <v>178.933333333333</v>
      </c>
      <c r="EF68" s="56">
        <v>180.2</v>
      </c>
      <c r="EG68" s="56">
        <v>180.73333333333301</v>
      </c>
      <c r="EH68" s="56">
        <v>182.333333333333</v>
      </c>
      <c r="EI68" s="56">
        <v>183.666666666667</v>
      </c>
      <c r="EJ68" s="56">
        <v>184.86666666666699</v>
      </c>
      <c r="EK68" s="56">
        <v>187.066666666667</v>
      </c>
      <c r="EL68" s="56">
        <v>187.933333333333</v>
      </c>
      <c r="EM68" s="56">
        <v>189.23333333333301</v>
      </c>
      <c r="EN68" s="56">
        <v>192.566666666667</v>
      </c>
      <c r="EO68" s="56">
        <v>194.2</v>
      </c>
      <c r="EP68" s="56">
        <v>195.13333333333301</v>
      </c>
      <c r="EQ68" s="56">
        <v>196.933333333333</v>
      </c>
      <c r="ER68" s="56">
        <v>198.8</v>
      </c>
      <c r="ES68" s="56">
        <v>197.566666666667</v>
      </c>
      <c r="ET68" s="56">
        <v>199.553</v>
      </c>
      <c r="EU68" s="56">
        <v>202.077</v>
      </c>
      <c r="EV68" s="56">
        <v>203.37</v>
      </c>
      <c r="EW68" s="56">
        <v>206.08566666666701</v>
      </c>
      <c r="EX68" s="56">
        <v>208.51599999999999</v>
      </c>
      <c r="EY68" s="56">
        <v>211.50266666666701</v>
      </c>
      <c r="EZ68" s="56">
        <v>215.13</v>
      </c>
      <c r="FA68" s="56">
        <v>208.838666666667</v>
      </c>
      <c r="FB68" s="56">
        <v>206.94333333333299</v>
      </c>
      <c r="FC68" s="56">
        <v>208.39033333333299</v>
      </c>
      <c r="FD68" s="56">
        <v>210.69499999999999</v>
      </c>
      <c r="FE68" s="56">
        <v>212.63266666666701</v>
      </c>
      <c r="FF68" s="56">
        <v>213.23699999999999</v>
      </c>
      <c r="FG68" s="56">
        <v>213.15066666666701</v>
      </c>
      <c r="FH68" s="56">
        <v>213.82</v>
      </c>
      <c r="FI68" s="56">
        <v>215.76400000000001</v>
      </c>
      <c r="FJ68" s="56">
        <v>218.41566666666699</v>
      </c>
      <c r="FK68" s="56">
        <v>221.28766666666701</v>
      </c>
      <c r="FL68" s="56">
        <v>222.738</v>
      </c>
      <c r="FM68" s="56">
        <v>223.774666666667</v>
      </c>
      <c r="FN68" s="56">
        <v>225.08733333333299</v>
      </c>
      <c r="FO68" s="56">
        <v>225.45933333333301</v>
      </c>
      <c r="FP68" s="56">
        <v>226.357</v>
      </c>
      <c r="FQ68" s="56">
        <v>227.97166666666701</v>
      </c>
      <c r="FR68" s="56">
        <v>228.83666666666701</v>
      </c>
      <c r="FS68" s="56">
        <v>228.40966666666699</v>
      </c>
      <c r="FT68" s="56">
        <v>229.589</v>
      </c>
      <c r="FU68" s="56">
        <v>230.43366666666699</v>
      </c>
      <c r="FV68" s="56">
        <v>231.95</v>
      </c>
      <c r="FW68" s="56">
        <v>233.101333333333</v>
      </c>
      <c r="FX68" s="56">
        <v>233.494333333333</v>
      </c>
      <c r="FY68" s="56">
        <v>232.43100000000001</v>
      </c>
      <c r="FZ68" s="56">
        <v>230.23666666666699</v>
      </c>
      <c r="GA68" s="56">
        <v>231.957666666667</v>
      </c>
      <c r="GB68" s="56">
        <v>232.69333333333299</v>
      </c>
      <c r="GC68" s="56">
        <v>232.280333333333</v>
      </c>
      <c r="GD68" s="56">
        <v>231.78100000000001</v>
      </c>
      <c r="GE68" s="56">
        <v>233.774</v>
      </c>
      <c r="GF68" s="56">
        <v>234.59666666666701</v>
      </c>
      <c r="GG68" s="56">
        <v>236.14066666666699</v>
      </c>
      <c r="GH68" s="56">
        <v>237.85900000000001</v>
      </c>
      <c r="GI68" s="56">
        <v>237.92533333333299</v>
      </c>
      <c r="GJ68" s="56">
        <v>239.136666666667</v>
      </c>
      <c r="GK68" s="56">
        <v>241.27633333333301</v>
      </c>
      <c r="GL68" s="56">
        <v>243.41566666666699</v>
      </c>
      <c r="GM68" s="56">
        <v>244.71766666666699</v>
      </c>
      <c r="GN68" s="56">
        <v>245.76533333333299</v>
      </c>
      <c r="GO68" s="56">
        <v>246.649666666667</v>
      </c>
      <c r="GP68" s="56">
        <v>246.95666666666699</v>
      </c>
      <c r="GQ68" s="56">
        <v>248.90166666666701</v>
      </c>
      <c r="GR68" s="56">
        <v>249.57300000000001</v>
      </c>
      <c r="GS68" s="56">
        <v>251.42666666666699</v>
      </c>
      <c r="GT68" s="56">
        <v>252.22366666666699</v>
      </c>
      <c r="GU68" s="56">
        <v>249.43633333333301</v>
      </c>
      <c r="GV68" s="56">
        <v>252.75966666666699</v>
      </c>
      <c r="GW68" s="56">
        <v>254.77833333333299</v>
      </c>
      <c r="GX68" s="56">
        <v>257.66966666666701</v>
      </c>
      <c r="GY68" s="56">
        <v>262.95999999999998</v>
      </c>
      <c r="GZ68" s="56">
        <v>267.53366666666699</v>
      </c>
      <c r="HA68" s="56">
        <v>273.86533333333301</v>
      </c>
      <c r="HB68" s="56">
        <v>280.40166666666698</v>
      </c>
      <c r="HC68">
        <v>287.327333333333</v>
      </c>
      <c r="HD68">
        <v>290.77633333333301</v>
      </c>
      <c r="HE68">
        <v>293.27266666666702</v>
      </c>
      <c r="HF68">
        <v>295.58499999999998</v>
      </c>
      <c r="HG68">
        <v>297.64733333333299</v>
      </c>
      <c r="HH68">
        <v>300.33833333333303</v>
      </c>
      <c r="HI68">
        <v>302.40766666666701</v>
      </c>
      <c r="HJ68">
        <v>305.06766666666698</v>
      </c>
      <c r="HK68">
        <v>307.15133333333301</v>
      </c>
      <c r="HL68">
        <v>307.93066666666698</v>
      </c>
      <c r="HM68">
        <v>310.089333333333</v>
      </c>
      <c r="HN68">
        <v>313.09133333333301</v>
      </c>
      <c r="HO68">
        <v>314.18266666666699</v>
      </c>
    </row>
    <row r="69" spans="1:223" x14ac:dyDescent="0.35">
      <c r="A69" s="56" t="s">
        <v>2304</v>
      </c>
      <c r="B69" s="56">
        <v>5306</v>
      </c>
      <c r="C69" s="56">
        <v>5349.1</v>
      </c>
      <c r="D69" s="56">
        <v>5391.1</v>
      </c>
      <c r="E69" s="56">
        <v>5432.9</v>
      </c>
      <c r="F69" s="56">
        <v>5476.1</v>
      </c>
      <c r="G69" s="56">
        <v>5522.1</v>
      </c>
      <c r="H69" s="56">
        <v>5569.5</v>
      </c>
      <c r="I69" s="56">
        <v>5617.2</v>
      </c>
      <c r="J69" s="56">
        <v>5663.7</v>
      </c>
      <c r="K69" s="56">
        <v>5708.1</v>
      </c>
      <c r="L69" s="56">
        <v>5751.4</v>
      </c>
      <c r="M69" s="56">
        <v>5794.8</v>
      </c>
      <c r="N69" s="56">
        <v>5839.5</v>
      </c>
      <c r="O69" s="56">
        <v>5887.3</v>
      </c>
      <c r="P69" s="56">
        <v>5936.7</v>
      </c>
      <c r="Q69" s="56">
        <v>5987.8</v>
      </c>
      <c r="R69" s="56">
        <v>6039.6</v>
      </c>
      <c r="S69" s="56">
        <v>6091.8</v>
      </c>
      <c r="T69" s="56">
        <v>6143.2</v>
      </c>
      <c r="U69" s="56">
        <v>6194</v>
      </c>
      <c r="V69" s="56">
        <v>6243.7</v>
      </c>
      <c r="W69" s="56">
        <v>6292.8</v>
      </c>
      <c r="X69" s="56">
        <v>6341.6</v>
      </c>
      <c r="Y69" s="56">
        <v>6390.2</v>
      </c>
      <c r="Z69" s="56">
        <v>6438.2</v>
      </c>
      <c r="AA69" s="56">
        <v>6486.3</v>
      </c>
      <c r="AB69" s="56">
        <v>6535.4</v>
      </c>
      <c r="AC69" s="56">
        <v>6585.2</v>
      </c>
      <c r="AD69" s="56">
        <v>6637</v>
      </c>
      <c r="AE69" s="56">
        <v>6690.5</v>
      </c>
      <c r="AF69" s="56">
        <v>6745.2</v>
      </c>
      <c r="AG69" s="56">
        <v>6801.6</v>
      </c>
      <c r="AH69" s="56">
        <v>6859.4</v>
      </c>
      <c r="AI69" s="56">
        <v>6918.2</v>
      </c>
      <c r="AJ69" s="56">
        <v>6978.6</v>
      </c>
      <c r="AK69" s="56">
        <v>7040.2</v>
      </c>
      <c r="AL69" s="56">
        <v>7104</v>
      </c>
      <c r="AM69" s="56">
        <v>7165.9</v>
      </c>
      <c r="AN69" s="56">
        <v>7224.3</v>
      </c>
      <c r="AO69" s="56">
        <v>7278.1</v>
      </c>
      <c r="AP69" s="56">
        <v>7326.4</v>
      </c>
      <c r="AQ69" s="56">
        <v>7368</v>
      </c>
      <c r="AR69" s="56">
        <v>7403.1</v>
      </c>
      <c r="AS69" s="56">
        <v>7440.2</v>
      </c>
      <c r="AT69" s="56">
        <v>7464</v>
      </c>
      <c r="AU69" s="56">
        <v>7511</v>
      </c>
      <c r="AV69" s="56">
        <v>7561.3</v>
      </c>
      <c r="AW69" s="56">
        <v>7614.9</v>
      </c>
      <c r="AX69" s="56">
        <v>7670.9</v>
      </c>
      <c r="AY69" s="56">
        <v>7728.7</v>
      </c>
      <c r="AZ69" s="56">
        <v>7788.1</v>
      </c>
      <c r="BA69" s="56">
        <v>7848.9</v>
      </c>
      <c r="BB69" s="56">
        <v>7909.5</v>
      </c>
      <c r="BC69" s="56">
        <v>7971.6</v>
      </c>
      <c r="BD69" s="56">
        <v>8035.4</v>
      </c>
      <c r="BE69" s="56">
        <v>8101.8</v>
      </c>
      <c r="BF69" s="56">
        <v>8170.8</v>
      </c>
      <c r="BG69" s="56">
        <v>8242.5</v>
      </c>
      <c r="BH69" s="56">
        <v>8315.7999999999993</v>
      </c>
      <c r="BI69" s="56">
        <v>8390.4</v>
      </c>
      <c r="BJ69" s="56">
        <v>8465.2999999999993</v>
      </c>
      <c r="BK69" s="56">
        <v>8540.4</v>
      </c>
      <c r="BL69" s="56">
        <v>8615.2999999999993</v>
      </c>
      <c r="BM69" s="56">
        <v>8689.7000000000007</v>
      </c>
      <c r="BN69" s="56">
        <v>8763.2000000000007</v>
      </c>
      <c r="BO69" s="56">
        <v>8835.9</v>
      </c>
      <c r="BP69" s="56">
        <v>8908.2000000000007</v>
      </c>
      <c r="BQ69" s="56">
        <v>8980.7999999999993</v>
      </c>
      <c r="BR69" s="56">
        <v>9053.2999999999993</v>
      </c>
      <c r="BS69" s="56">
        <v>9125.6</v>
      </c>
      <c r="BT69" s="56">
        <v>9197.7999999999993</v>
      </c>
      <c r="BU69" s="56">
        <v>9270.5</v>
      </c>
      <c r="BV69" s="56">
        <v>9343.1</v>
      </c>
      <c r="BW69" s="56">
        <v>9416.2999999999993</v>
      </c>
      <c r="BX69" s="56">
        <v>9489.7000000000007</v>
      </c>
      <c r="BY69" s="56">
        <v>9563.6</v>
      </c>
      <c r="BZ69" s="56">
        <v>9637.7000000000007</v>
      </c>
      <c r="CA69" s="56">
        <v>9711.9</v>
      </c>
      <c r="CB69" s="56">
        <v>9786.1</v>
      </c>
      <c r="CC69" s="56">
        <v>9860</v>
      </c>
      <c r="CD69" s="56">
        <v>9933.2000000000007</v>
      </c>
      <c r="CE69" s="56">
        <v>10005.200000000001</v>
      </c>
      <c r="CF69" s="56">
        <v>10075.4</v>
      </c>
      <c r="CG69" s="56">
        <v>10143.6</v>
      </c>
      <c r="CH69" s="56">
        <v>10210.299999999999</v>
      </c>
      <c r="CI69" s="56">
        <v>10275.4</v>
      </c>
      <c r="CJ69" s="56">
        <v>10339.4</v>
      </c>
      <c r="CK69" s="56">
        <v>10403.4</v>
      </c>
      <c r="CL69" s="56">
        <v>10467.5</v>
      </c>
      <c r="CM69" s="56">
        <v>10532.4</v>
      </c>
      <c r="CN69" s="56">
        <v>10598.6</v>
      </c>
      <c r="CO69" s="56">
        <v>10665.8</v>
      </c>
      <c r="CP69" s="56">
        <v>10734</v>
      </c>
      <c r="CQ69" s="56">
        <v>10804</v>
      </c>
      <c r="CR69" s="56">
        <v>10875.2</v>
      </c>
      <c r="CS69" s="56">
        <v>10947.4</v>
      </c>
      <c r="CT69" s="56">
        <v>11020.7</v>
      </c>
      <c r="CU69" s="56">
        <v>11094.9</v>
      </c>
      <c r="CV69" s="56">
        <v>11170.7</v>
      </c>
      <c r="CW69" s="56">
        <v>11247.9</v>
      </c>
      <c r="CX69" s="56">
        <v>11325.9</v>
      </c>
      <c r="CY69" s="56">
        <v>11405.4</v>
      </c>
      <c r="CZ69" s="56">
        <v>11485.9</v>
      </c>
      <c r="DA69" s="56">
        <v>11568.5</v>
      </c>
      <c r="DB69" s="56">
        <v>11652.9</v>
      </c>
      <c r="DC69" s="56">
        <v>11742.6</v>
      </c>
      <c r="DD69" s="56">
        <v>11838.8</v>
      </c>
      <c r="DE69" s="56">
        <v>11941.3</v>
      </c>
      <c r="DF69" s="56">
        <v>12049.8</v>
      </c>
      <c r="DG69" s="56">
        <v>12163.6</v>
      </c>
      <c r="DH69" s="56">
        <v>12282.9</v>
      </c>
      <c r="DI69" s="56">
        <v>12406.6</v>
      </c>
      <c r="DJ69" s="56">
        <v>12534</v>
      </c>
      <c r="DK69" s="56">
        <v>12665.4</v>
      </c>
      <c r="DL69" s="56">
        <v>12799.2</v>
      </c>
      <c r="DM69" s="56">
        <v>12935.6</v>
      </c>
      <c r="DN69" s="56">
        <v>13074.8</v>
      </c>
      <c r="DO69" s="56">
        <v>13215.7</v>
      </c>
      <c r="DP69" s="56">
        <v>13358.5</v>
      </c>
      <c r="DQ69" s="56">
        <v>13503.5</v>
      </c>
      <c r="DR69" s="56">
        <v>13650</v>
      </c>
      <c r="DS69" s="56">
        <v>13792.7</v>
      </c>
      <c r="DT69" s="56">
        <v>13929.5</v>
      </c>
      <c r="DU69" s="56">
        <v>14059.4</v>
      </c>
      <c r="DV69" s="56">
        <v>14182.4</v>
      </c>
      <c r="DW69" s="56">
        <v>14298.5</v>
      </c>
      <c r="DX69" s="56">
        <v>14407.7</v>
      </c>
      <c r="DY69" s="56">
        <v>14510.9</v>
      </c>
      <c r="DZ69" s="56">
        <v>14608.7</v>
      </c>
      <c r="EA69" s="56">
        <v>14702.9</v>
      </c>
      <c r="EB69" s="56">
        <v>14795.1</v>
      </c>
      <c r="EC69" s="56">
        <v>14886.2</v>
      </c>
      <c r="ED69" s="56">
        <v>14977.2</v>
      </c>
      <c r="EE69" s="56">
        <v>15069</v>
      </c>
      <c r="EF69" s="56">
        <v>15161</v>
      </c>
      <c r="EG69" s="56">
        <v>15254.3</v>
      </c>
      <c r="EH69" s="56">
        <v>15349.4</v>
      </c>
      <c r="EI69" s="56">
        <v>15445.8</v>
      </c>
      <c r="EJ69" s="56">
        <v>15544.1</v>
      </c>
      <c r="EK69" s="56">
        <v>15643.4</v>
      </c>
      <c r="EL69" s="56">
        <v>15740.4</v>
      </c>
      <c r="EM69" s="56">
        <v>15834</v>
      </c>
      <c r="EN69" s="56">
        <v>15925.5</v>
      </c>
      <c r="EO69" s="56">
        <v>16014.2</v>
      </c>
      <c r="EP69" s="56">
        <v>16099.6</v>
      </c>
      <c r="EQ69" s="56">
        <v>16182.6</v>
      </c>
      <c r="ER69" s="56">
        <v>16261.6</v>
      </c>
      <c r="ES69" s="56">
        <v>16336.4</v>
      </c>
      <c r="ET69" s="56">
        <v>16413.099999999999</v>
      </c>
      <c r="EU69" s="56">
        <v>16492.8</v>
      </c>
      <c r="EV69" s="56">
        <v>16575.400000000001</v>
      </c>
      <c r="EW69" s="56">
        <v>16658.3</v>
      </c>
      <c r="EX69" s="56">
        <v>16741.8</v>
      </c>
      <c r="EY69" s="56">
        <v>16824</v>
      </c>
      <c r="EZ69" s="56">
        <v>16903.8</v>
      </c>
      <c r="FA69" s="56">
        <v>16979.7</v>
      </c>
      <c r="FB69" s="56">
        <v>17050.2</v>
      </c>
      <c r="FC69" s="56">
        <v>17116.5</v>
      </c>
      <c r="FD69" s="56">
        <v>17179</v>
      </c>
      <c r="FE69" s="56">
        <v>17239.5</v>
      </c>
      <c r="FF69" s="56">
        <v>17300.3</v>
      </c>
      <c r="FG69" s="56">
        <v>17362.2</v>
      </c>
      <c r="FH69" s="56">
        <v>17426.5</v>
      </c>
      <c r="FI69" s="56">
        <v>17492.5</v>
      </c>
      <c r="FJ69" s="56">
        <v>17560.5</v>
      </c>
      <c r="FK69" s="56">
        <v>17630.5</v>
      </c>
      <c r="FL69" s="56">
        <v>17702.599999999999</v>
      </c>
      <c r="FM69" s="56">
        <v>17776.3</v>
      </c>
      <c r="FN69" s="56">
        <v>17851.5</v>
      </c>
      <c r="FO69" s="56">
        <v>17928.900000000001</v>
      </c>
      <c r="FP69" s="56">
        <v>18007.8</v>
      </c>
      <c r="FQ69" s="56">
        <v>18088</v>
      </c>
      <c r="FR69" s="56">
        <v>18170.2</v>
      </c>
      <c r="FS69" s="56">
        <v>18253.5</v>
      </c>
      <c r="FT69" s="56">
        <v>18337.599999999999</v>
      </c>
      <c r="FU69" s="56">
        <v>18422.900000000001</v>
      </c>
      <c r="FV69" s="56">
        <v>18509.400000000001</v>
      </c>
      <c r="FW69" s="56">
        <v>18597.099999999999</v>
      </c>
      <c r="FX69" s="56">
        <v>18686.8</v>
      </c>
      <c r="FY69" s="56">
        <v>18777.7</v>
      </c>
      <c r="FZ69" s="56">
        <v>18869.8</v>
      </c>
      <c r="GA69" s="56">
        <v>18963</v>
      </c>
      <c r="GB69" s="56">
        <v>19056.8</v>
      </c>
      <c r="GC69" s="56">
        <v>19151</v>
      </c>
      <c r="GD69" s="56">
        <v>19245.2</v>
      </c>
      <c r="GE69" s="56">
        <v>19339.7</v>
      </c>
      <c r="GF69" s="56">
        <v>19434.099999999999</v>
      </c>
      <c r="GG69" s="56">
        <v>19528.099999999999</v>
      </c>
      <c r="GH69" s="56">
        <v>19622.2</v>
      </c>
      <c r="GI69" s="56">
        <v>19717.099999999999</v>
      </c>
      <c r="GJ69" s="56">
        <v>19814.5</v>
      </c>
      <c r="GK69" s="56">
        <v>19914.3</v>
      </c>
      <c r="GL69" s="56">
        <v>20016.5</v>
      </c>
      <c r="GM69" s="56">
        <v>20121.7</v>
      </c>
      <c r="GN69" s="56">
        <v>20228.099999999999</v>
      </c>
      <c r="GO69" s="56">
        <v>20335.099999999999</v>
      </c>
      <c r="GP69" s="56">
        <v>20443</v>
      </c>
      <c r="GQ69" s="56">
        <v>20551.099999999999</v>
      </c>
      <c r="GR69" s="56">
        <v>20659</v>
      </c>
      <c r="GS69" s="56">
        <v>20764</v>
      </c>
      <c r="GT69" s="56">
        <v>20867.3</v>
      </c>
      <c r="GU69" s="56">
        <v>20970.400000000001</v>
      </c>
      <c r="GV69" s="56">
        <v>21071.8</v>
      </c>
      <c r="GW69" s="56">
        <v>21174.3</v>
      </c>
      <c r="GX69" s="56">
        <v>21277.7</v>
      </c>
      <c r="GY69" s="56">
        <v>21382.9</v>
      </c>
      <c r="GZ69" s="56">
        <v>21493</v>
      </c>
      <c r="HA69" s="56">
        <v>21606.1</v>
      </c>
      <c r="HB69" s="56">
        <v>21722</v>
      </c>
      <c r="HC69">
        <v>21840.6</v>
      </c>
      <c r="HD69">
        <v>21961.5</v>
      </c>
      <c r="HE69">
        <v>22084.9</v>
      </c>
      <c r="HF69">
        <v>22208.2</v>
      </c>
      <c r="HG69">
        <v>22333.1</v>
      </c>
      <c r="HH69">
        <v>22459.7</v>
      </c>
      <c r="HI69">
        <v>22588.2</v>
      </c>
      <c r="HJ69">
        <v>22718.1</v>
      </c>
      <c r="HK69">
        <v>22849.9</v>
      </c>
      <c r="HL69">
        <v>22981.3</v>
      </c>
      <c r="HM69">
        <v>23113.3</v>
      </c>
      <c r="HN69">
        <v>23243.200000000001</v>
      </c>
      <c r="HO69">
        <v>23376.1</v>
      </c>
    </row>
    <row r="70" spans="1:223" x14ac:dyDescent="0.35">
      <c r="A70" s="56" t="s">
        <v>2305</v>
      </c>
      <c r="B70" s="56">
        <v>1052.2</v>
      </c>
      <c r="C70" s="56">
        <v>1075.5999999999999</v>
      </c>
      <c r="D70" s="56">
        <v>1093</v>
      </c>
      <c r="E70" s="56">
        <v>1116</v>
      </c>
      <c r="F70" s="56">
        <v>1142</v>
      </c>
      <c r="G70" s="56">
        <v>1166.5999999999999</v>
      </c>
      <c r="H70" s="56">
        <v>1188.7</v>
      </c>
      <c r="I70" s="56">
        <v>1208.8</v>
      </c>
      <c r="J70" s="56">
        <v>1237.4000000000001</v>
      </c>
      <c r="K70" s="56">
        <v>1254.9000000000001</v>
      </c>
      <c r="L70" s="56">
        <v>1276.5</v>
      </c>
      <c r="M70" s="56">
        <v>1302.5</v>
      </c>
      <c r="N70" s="56">
        <v>1327.7</v>
      </c>
      <c r="O70" s="56">
        <v>1359.1</v>
      </c>
      <c r="P70" s="56">
        <v>1397.2</v>
      </c>
      <c r="Q70" s="56">
        <v>1437.3</v>
      </c>
      <c r="R70" s="56">
        <v>1477.1</v>
      </c>
      <c r="S70" s="56">
        <v>1525.1</v>
      </c>
      <c r="T70" s="56">
        <v>1583</v>
      </c>
      <c r="U70" s="56">
        <v>1643.1</v>
      </c>
      <c r="V70" s="56">
        <v>1693.9</v>
      </c>
      <c r="W70" s="56">
        <v>1732.6</v>
      </c>
      <c r="X70" s="56">
        <v>1776.8</v>
      </c>
      <c r="Y70" s="56">
        <v>1820.4</v>
      </c>
      <c r="Z70" s="56">
        <v>1853.5</v>
      </c>
      <c r="AA70" s="56">
        <v>1886.1</v>
      </c>
      <c r="AB70" s="56">
        <v>1925</v>
      </c>
      <c r="AC70" s="56">
        <v>1974.5</v>
      </c>
      <c r="AD70" s="56">
        <v>2021.9</v>
      </c>
      <c r="AE70" s="56">
        <v>2067</v>
      </c>
      <c r="AF70" s="56">
        <v>2109.3000000000002</v>
      </c>
      <c r="AG70" s="56">
        <v>2172.9</v>
      </c>
      <c r="AH70" s="56">
        <v>2223.3000000000002</v>
      </c>
      <c r="AI70" s="56">
        <v>2285.1</v>
      </c>
      <c r="AJ70" s="56">
        <v>2344.3000000000002</v>
      </c>
      <c r="AK70" s="56">
        <v>2413.3000000000002</v>
      </c>
      <c r="AL70" s="56">
        <v>2479.6</v>
      </c>
      <c r="AM70" s="56">
        <v>2562.4</v>
      </c>
      <c r="AN70" s="56">
        <v>2639.8</v>
      </c>
      <c r="AO70" s="56">
        <v>2708.9</v>
      </c>
      <c r="AP70" s="56">
        <v>2784</v>
      </c>
      <c r="AQ70" s="56">
        <v>2866.5</v>
      </c>
      <c r="AR70" s="56">
        <v>2944.6</v>
      </c>
      <c r="AS70" s="56">
        <v>3036.4</v>
      </c>
      <c r="AT70" s="56">
        <v>3126.3</v>
      </c>
      <c r="AU70" s="56">
        <v>3208.3</v>
      </c>
      <c r="AV70" s="56">
        <v>3290.6</v>
      </c>
      <c r="AW70" s="56">
        <v>3371.2</v>
      </c>
      <c r="AX70" s="56">
        <v>3442.8</v>
      </c>
      <c r="AY70" s="56">
        <v>3513.8</v>
      </c>
      <c r="AZ70" s="56">
        <v>3590.9</v>
      </c>
      <c r="BA70" s="56">
        <v>3656.5</v>
      </c>
      <c r="BB70" s="56">
        <v>3712.5</v>
      </c>
      <c r="BC70" s="56">
        <v>3769.4</v>
      </c>
      <c r="BD70" s="56">
        <v>3840.1</v>
      </c>
      <c r="BE70" s="56">
        <v>3901.1</v>
      </c>
      <c r="BF70" s="56">
        <v>3974.3</v>
      </c>
      <c r="BG70" s="56">
        <v>4043.3</v>
      </c>
      <c r="BH70" s="56">
        <v>4115.6000000000004</v>
      </c>
      <c r="BI70" s="56">
        <v>4183.6000000000004</v>
      </c>
      <c r="BJ70" s="56">
        <v>4262.7</v>
      </c>
      <c r="BK70" s="56">
        <v>4328.2</v>
      </c>
      <c r="BL70" s="56">
        <v>4392.5</v>
      </c>
      <c r="BM70" s="56">
        <v>4455.1000000000004</v>
      </c>
      <c r="BN70" s="56">
        <v>4515.1000000000004</v>
      </c>
      <c r="BO70" s="56">
        <v>4569.8</v>
      </c>
      <c r="BP70" s="56">
        <v>4626.2</v>
      </c>
      <c r="BQ70" s="56">
        <v>4689.3</v>
      </c>
      <c r="BR70" s="56">
        <v>4757.3999999999996</v>
      </c>
      <c r="BS70" s="56">
        <v>4828.6000000000004</v>
      </c>
      <c r="BT70" s="56">
        <v>4903.7</v>
      </c>
      <c r="BU70" s="56">
        <v>4981.8</v>
      </c>
      <c r="BV70" s="56">
        <v>5060.2</v>
      </c>
      <c r="BW70" s="56">
        <v>5149.3999999999996</v>
      </c>
      <c r="BX70" s="56">
        <v>5251.5</v>
      </c>
      <c r="BY70" s="56">
        <v>5338.2</v>
      </c>
      <c r="BZ70" s="56">
        <v>5435.7</v>
      </c>
      <c r="CA70" s="56">
        <v>5535.9</v>
      </c>
      <c r="CB70" s="56">
        <v>5619</v>
      </c>
      <c r="CC70" s="56">
        <v>5701.6</v>
      </c>
      <c r="CD70" s="56">
        <v>5805.9</v>
      </c>
      <c r="CE70" s="56">
        <v>5913.5</v>
      </c>
      <c r="CF70" s="56">
        <v>6006</v>
      </c>
      <c r="CG70" s="56">
        <v>6091.7</v>
      </c>
      <c r="CH70" s="56">
        <v>6191.9</v>
      </c>
      <c r="CI70" s="56">
        <v>6277.1</v>
      </c>
      <c r="CJ70" s="56">
        <v>6365.5</v>
      </c>
      <c r="CK70" s="56">
        <v>6442.9</v>
      </c>
      <c r="CL70" s="56">
        <v>6506.8</v>
      </c>
      <c r="CM70" s="56">
        <v>6586.5</v>
      </c>
      <c r="CN70" s="56">
        <v>6660.2</v>
      </c>
      <c r="CO70" s="56">
        <v>6748.6</v>
      </c>
      <c r="CP70" s="56">
        <v>6829.8</v>
      </c>
      <c r="CQ70" s="56">
        <v>6915.3</v>
      </c>
      <c r="CR70" s="56">
        <v>7002.2</v>
      </c>
      <c r="CS70" s="56">
        <v>7087.1</v>
      </c>
      <c r="CT70" s="56">
        <v>7168.8</v>
      </c>
      <c r="CU70" s="56">
        <v>7251.8</v>
      </c>
      <c r="CV70" s="56">
        <v>7343.3</v>
      </c>
      <c r="CW70" s="56">
        <v>7434.2</v>
      </c>
      <c r="CX70" s="56">
        <v>7526.2</v>
      </c>
      <c r="CY70" s="56">
        <v>7615.5</v>
      </c>
      <c r="CZ70" s="56">
        <v>7707</v>
      </c>
      <c r="DA70" s="56">
        <v>7799.8</v>
      </c>
      <c r="DB70" s="56">
        <v>7894.6</v>
      </c>
      <c r="DC70" s="56">
        <v>7988.2</v>
      </c>
      <c r="DD70" s="56">
        <v>8080</v>
      </c>
      <c r="DE70" s="56">
        <v>8193.6</v>
      </c>
      <c r="DF70" s="56">
        <v>8317.4</v>
      </c>
      <c r="DG70" s="56">
        <v>8412.6</v>
      </c>
      <c r="DH70" s="56">
        <v>8532.2000000000007</v>
      </c>
      <c r="DI70" s="56">
        <v>8646.7999999999993</v>
      </c>
      <c r="DJ70" s="56">
        <v>8748.1</v>
      </c>
      <c r="DK70" s="56">
        <v>8860.6</v>
      </c>
      <c r="DL70" s="56">
        <v>8992.1</v>
      </c>
      <c r="DM70" s="56">
        <v>9113.6</v>
      </c>
      <c r="DN70" s="56">
        <v>9241.5</v>
      </c>
      <c r="DO70" s="56">
        <v>9376.5</v>
      </c>
      <c r="DP70" s="56">
        <v>9511.2000000000007</v>
      </c>
      <c r="DQ70" s="56">
        <v>9667.9</v>
      </c>
      <c r="DR70" s="56">
        <v>9837.7999999999993</v>
      </c>
      <c r="DS70" s="56">
        <v>10002.5</v>
      </c>
      <c r="DT70" s="56">
        <v>10160.799999999999</v>
      </c>
      <c r="DU70" s="56">
        <v>10310.700000000001</v>
      </c>
      <c r="DV70" s="56">
        <v>10469.700000000001</v>
      </c>
      <c r="DW70" s="56">
        <v>10618.9</v>
      </c>
      <c r="DX70" s="56">
        <v>10742</v>
      </c>
      <c r="DY70" s="56">
        <v>10853</v>
      </c>
      <c r="DZ70" s="56">
        <v>10960.5</v>
      </c>
      <c r="EA70" s="56">
        <v>11069.8</v>
      </c>
      <c r="EB70" s="56">
        <v>11192.4</v>
      </c>
      <c r="EC70" s="56">
        <v>11326.6</v>
      </c>
      <c r="ED70" s="56">
        <v>11451.7</v>
      </c>
      <c r="EE70" s="56">
        <v>11562.5</v>
      </c>
      <c r="EF70" s="56">
        <v>11699.6</v>
      </c>
      <c r="EG70" s="56">
        <v>11843.3</v>
      </c>
      <c r="EH70" s="56">
        <v>12002.1</v>
      </c>
      <c r="EI70" s="56">
        <v>12175</v>
      </c>
      <c r="EJ70" s="56">
        <v>12330.3</v>
      </c>
      <c r="EK70" s="56">
        <v>12505.2</v>
      </c>
      <c r="EL70" s="56">
        <v>12683.2</v>
      </c>
      <c r="EM70" s="56">
        <v>12850.6</v>
      </c>
      <c r="EN70" s="56">
        <v>13042.6</v>
      </c>
      <c r="EO70" s="56">
        <v>13223</v>
      </c>
      <c r="EP70" s="56">
        <v>13387.8</v>
      </c>
      <c r="EQ70" s="56">
        <v>13574.3</v>
      </c>
      <c r="ER70" s="56">
        <v>13735.8</v>
      </c>
      <c r="ES70" s="56">
        <v>13848.4</v>
      </c>
      <c r="ET70" s="56">
        <v>14045.7</v>
      </c>
      <c r="EU70" s="56">
        <v>14212.1</v>
      </c>
      <c r="EV70" s="56">
        <v>14361.2</v>
      </c>
      <c r="EW70" s="56">
        <v>14491.6</v>
      </c>
      <c r="EX70" s="56">
        <v>14618.2</v>
      </c>
      <c r="EY70" s="56">
        <v>14761</v>
      </c>
      <c r="EZ70" s="56">
        <v>14942.7</v>
      </c>
      <c r="FA70" s="56">
        <v>15046.2</v>
      </c>
      <c r="FB70" s="56">
        <v>15096.7</v>
      </c>
      <c r="FC70" s="56">
        <v>15130.2</v>
      </c>
      <c r="FD70" s="56">
        <v>15203.5</v>
      </c>
      <c r="FE70" s="56">
        <v>15305.3</v>
      </c>
      <c r="FF70" s="56">
        <v>15403.5</v>
      </c>
      <c r="FG70" s="56">
        <v>15534</v>
      </c>
      <c r="FH70" s="56">
        <v>15639</v>
      </c>
      <c r="FI70" s="56">
        <v>15789.4</v>
      </c>
      <c r="FJ70" s="56">
        <v>15932</v>
      </c>
      <c r="FK70" s="56">
        <v>16101.2</v>
      </c>
      <c r="FL70" s="56">
        <v>16264.4</v>
      </c>
      <c r="FM70" s="56">
        <v>16351.6</v>
      </c>
      <c r="FN70" s="56">
        <v>16517.099999999999</v>
      </c>
      <c r="FO70" s="56">
        <v>16657.099999999999</v>
      </c>
      <c r="FP70" s="56">
        <v>16822.2</v>
      </c>
      <c r="FQ70" s="56">
        <v>16982</v>
      </c>
      <c r="FR70" s="56">
        <v>17126.8</v>
      </c>
      <c r="FS70" s="56">
        <v>17242.400000000001</v>
      </c>
      <c r="FT70" s="56">
        <v>17406.7</v>
      </c>
      <c r="FU70" s="56">
        <v>17580.2</v>
      </c>
      <c r="FV70" s="56">
        <v>17729.7</v>
      </c>
      <c r="FW70" s="56">
        <v>17914.599999999999</v>
      </c>
      <c r="FX70" s="56">
        <v>18074.900000000001</v>
      </c>
      <c r="FY70" s="56">
        <v>18181</v>
      </c>
      <c r="FZ70" s="56">
        <v>18260.099999999999</v>
      </c>
      <c r="GA70" s="56">
        <v>18455.8</v>
      </c>
      <c r="GB70" s="56">
        <v>18596.2</v>
      </c>
      <c r="GC70" s="56">
        <v>18687.599999999999</v>
      </c>
      <c r="GD70" s="56">
        <v>18763.3</v>
      </c>
      <c r="GE70" s="56">
        <v>18983.599999999999</v>
      </c>
      <c r="GF70" s="56">
        <v>19125</v>
      </c>
      <c r="GG70" s="56">
        <v>19310.599999999999</v>
      </c>
      <c r="GH70" s="56">
        <v>19502.599999999999</v>
      </c>
      <c r="GI70" s="56">
        <v>19648</v>
      </c>
      <c r="GJ70" s="56">
        <v>19846.599999999999</v>
      </c>
      <c r="GK70" s="56">
        <v>20069.2</v>
      </c>
      <c r="GL70" s="56">
        <v>20300.7</v>
      </c>
      <c r="GM70" s="56">
        <v>20551.5</v>
      </c>
      <c r="GN70" s="56">
        <v>20749.400000000001</v>
      </c>
      <c r="GO70" s="56">
        <v>20949</v>
      </c>
      <c r="GP70" s="56">
        <v>21123.4</v>
      </c>
      <c r="GQ70" s="56">
        <v>21344.7</v>
      </c>
      <c r="GR70" s="56">
        <v>21525.200000000001</v>
      </c>
      <c r="GS70" s="56">
        <v>21701.8</v>
      </c>
      <c r="GT70" s="56">
        <v>21910.5</v>
      </c>
      <c r="GU70" s="56">
        <v>21937.5</v>
      </c>
      <c r="GV70" s="56">
        <v>22236.5</v>
      </c>
      <c r="GW70" s="56">
        <v>22496.6</v>
      </c>
      <c r="GX70" s="56">
        <v>22892.7</v>
      </c>
      <c r="GY70" s="56">
        <v>23362.2</v>
      </c>
      <c r="GZ70" s="56">
        <v>23835.1</v>
      </c>
      <c r="HA70" s="56">
        <v>24377.200000000001</v>
      </c>
      <c r="HB70" s="56">
        <v>25006.1</v>
      </c>
      <c r="HC70">
        <v>25713.200000000001</v>
      </c>
      <c r="HD70">
        <v>26146.7</v>
      </c>
      <c r="HE70">
        <v>26536.6</v>
      </c>
      <c r="HF70">
        <v>26927.8</v>
      </c>
      <c r="HG70">
        <v>27202.5</v>
      </c>
      <c r="HH70">
        <v>27573.4</v>
      </c>
      <c r="HI70">
        <v>27838</v>
      </c>
      <c r="HJ70">
        <v>28207.7</v>
      </c>
      <c r="HK70">
        <v>28549.4</v>
      </c>
      <c r="HL70">
        <v>28845.5</v>
      </c>
      <c r="HM70">
        <v>29181.8</v>
      </c>
      <c r="HN70">
        <v>29512.400000000001</v>
      </c>
      <c r="HO70">
        <v>29836.7</v>
      </c>
    </row>
    <row r="71" spans="1:223" x14ac:dyDescent="0.35">
      <c r="A71" s="56" t="s">
        <v>2306</v>
      </c>
      <c r="B71" s="56">
        <v>1</v>
      </c>
      <c r="C71" s="56">
        <v>1</v>
      </c>
      <c r="D71" s="56">
        <v>1</v>
      </c>
      <c r="E71" s="56">
        <v>1</v>
      </c>
      <c r="F71" s="56">
        <v>-1</v>
      </c>
      <c r="G71" s="56">
        <v>-1</v>
      </c>
      <c r="H71" s="56">
        <v>-1</v>
      </c>
      <c r="I71" s="56">
        <v>-1</v>
      </c>
      <c r="J71" s="56">
        <v>-1</v>
      </c>
      <c r="K71" s="56">
        <v>-1</v>
      </c>
      <c r="L71" s="56">
        <v>-1</v>
      </c>
      <c r="M71" s="56">
        <v>-1</v>
      </c>
      <c r="N71" s="56">
        <v>-1</v>
      </c>
      <c r="O71" s="56">
        <v>-1</v>
      </c>
      <c r="P71" s="56">
        <v>-1</v>
      </c>
      <c r="Q71" s="56">
        <v>1</v>
      </c>
      <c r="R71" s="56">
        <v>1</v>
      </c>
      <c r="S71" s="56">
        <v>1</v>
      </c>
      <c r="T71" s="56">
        <v>1</v>
      </c>
      <c r="U71" s="56">
        <v>1</v>
      </c>
      <c r="V71" s="56">
        <v>1</v>
      </c>
      <c r="W71" s="56">
        <v>-1</v>
      </c>
      <c r="X71" s="56">
        <v>-1</v>
      </c>
      <c r="Y71" s="56">
        <v>-1</v>
      </c>
      <c r="Z71" s="56">
        <v>-1</v>
      </c>
      <c r="AA71" s="56">
        <v>-1</v>
      </c>
      <c r="AB71" s="56">
        <v>-1</v>
      </c>
      <c r="AC71" s="56">
        <v>-1</v>
      </c>
      <c r="AD71" s="56">
        <v>-1</v>
      </c>
      <c r="AE71" s="56">
        <v>-1</v>
      </c>
      <c r="AF71" s="56">
        <v>-1</v>
      </c>
      <c r="AG71" s="56">
        <v>-1</v>
      </c>
      <c r="AH71" s="56">
        <v>-1</v>
      </c>
      <c r="AI71" s="56">
        <v>-1</v>
      </c>
      <c r="AJ71" s="56">
        <v>-1</v>
      </c>
      <c r="AK71" s="56">
        <v>-1</v>
      </c>
      <c r="AL71" s="56">
        <v>-1</v>
      </c>
      <c r="AM71" s="56">
        <v>-1</v>
      </c>
      <c r="AN71" s="56">
        <v>-1</v>
      </c>
      <c r="AO71" s="56">
        <v>-1</v>
      </c>
      <c r="AP71" s="56">
        <v>1</v>
      </c>
      <c r="AQ71" s="56">
        <v>1</v>
      </c>
      <c r="AR71" s="56">
        <v>1</v>
      </c>
      <c r="AS71" s="56">
        <v>-1</v>
      </c>
      <c r="AT71" s="56">
        <v>-1</v>
      </c>
      <c r="AU71" s="56">
        <v>-1</v>
      </c>
      <c r="AV71" s="56">
        <v>1</v>
      </c>
      <c r="AW71" s="56">
        <v>1</v>
      </c>
      <c r="AX71" s="56">
        <v>1</v>
      </c>
      <c r="AY71" s="56">
        <v>1</v>
      </c>
      <c r="AZ71" s="56">
        <v>1</v>
      </c>
      <c r="BA71" s="56">
        <v>1</v>
      </c>
      <c r="BB71" s="56">
        <v>-1</v>
      </c>
      <c r="BC71" s="56">
        <v>-1</v>
      </c>
      <c r="BD71" s="56">
        <v>-1</v>
      </c>
      <c r="BE71" s="56">
        <v>-1</v>
      </c>
      <c r="BF71" s="56">
        <v>-1</v>
      </c>
      <c r="BG71" s="56">
        <v>-1</v>
      </c>
      <c r="BH71" s="56">
        <v>-1</v>
      </c>
      <c r="BI71" s="56">
        <v>-1</v>
      </c>
      <c r="BJ71" s="56">
        <v>-1</v>
      </c>
      <c r="BK71" s="56">
        <v>-1</v>
      </c>
      <c r="BL71" s="56">
        <v>-1</v>
      </c>
      <c r="BM71" s="56">
        <v>-1</v>
      </c>
      <c r="BN71" s="56">
        <v>-1</v>
      </c>
      <c r="BO71" s="56">
        <v>-1</v>
      </c>
      <c r="BP71" s="56">
        <v>-1</v>
      </c>
      <c r="BQ71" s="56">
        <v>-1</v>
      </c>
      <c r="BR71" s="56">
        <v>-1</v>
      </c>
      <c r="BS71" s="56">
        <v>-1</v>
      </c>
      <c r="BT71" s="56">
        <v>-1</v>
      </c>
      <c r="BU71" s="56">
        <v>-1</v>
      </c>
      <c r="BV71" s="56">
        <v>-1</v>
      </c>
      <c r="BW71" s="56">
        <v>-1</v>
      </c>
      <c r="BX71" s="56">
        <v>-1</v>
      </c>
      <c r="BY71" s="56">
        <v>-1</v>
      </c>
      <c r="BZ71" s="56">
        <v>-1</v>
      </c>
      <c r="CA71" s="56">
        <v>-1</v>
      </c>
      <c r="CB71" s="56">
        <v>-1</v>
      </c>
      <c r="CC71" s="56">
        <v>-1</v>
      </c>
      <c r="CD71" s="56">
        <v>-1</v>
      </c>
      <c r="CE71" s="56">
        <v>-1</v>
      </c>
      <c r="CF71" s="56">
        <v>1</v>
      </c>
      <c r="CG71" s="56">
        <v>1</v>
      </c>
      <c r="CH71" s="56">
        <v>1</v>
      </c>
      <c r="CI71" s="56">
        <v>-1</v>
      </c>
      <c r="CJ71" s="56">
        <v>-1</v>
      </c>
      <c r="CK71" s="56">
        <v>-1</v>
      </c>
      <c r="CL71" s="56">
        <v>-1</v>
      </c>
      <c r="CM71" s="56">
        <v>-1</v>
      </c>
      <c r="CN71" s="56">
        <v>-1</v>
      </c>
      <c r="CO71" s="56">
        <v>-1</v>
      </c>
      <c r="CP71" s="56">
        <v>-1</v>
      </c>
      <c r="CQ71" s="56">
        <v>-1</v>
      </c>
      <c r="CR71" s="56">
        <v>-1</v>
      </c>
      <c r="CS71" s="56">
        <v>-1</v>
      </c>
      <c r="CT71" s="56">
        <v>-1</v>
      </c>
      <c r="CU71" s="56">
        <v>-1</v>
      </c>
      <c r="CV71" s="56">
        <v>-1</v>
      </c>
      <c r="CW71" s="56">
        <v>-1</v>
      </c>
      <c r="CX71" s="56">
        <v>-1</v>
      </c>
      <c r="CY71" s="56">
        <v>-1</v>
      </c>
      <c r="CZ71" s="56">
        <v>-1</v>
      </c>
      <c r="DA71" s="56">
        <v>-1</v>
      </c>
      <c r="DB71" s="56">
        <v>-1</v>
      </c>
      <c r="DC71" s="56">
        <v>-1</v>
      </c>
      <c r="DD71" s="56">
        <v>-1</v>
      </c>
      <c r="DE71" s="56">
        <v>-1</v>
      </c>
      <c r="DF71" s="56">
        <v>-1</v>
      </c>
      <c r="DG71" s="56">
        <v>-1</v>
      </c>
      <c r="DH71" s="56">
        <v>-1</v>
      </c>
      <c r="DI71" s="56">
        <v>-1</v>
      </c>
      <c r="DJ71" s="56">
        <v>-1</v>
      </c>
      <c r="DK71" s="56">
        <v>-1</v>
      </c>
      <c r="DL71" s="56">
        <v>-1</v>
      </c>
      <c r="DM71" s="56">
        <v>-1</v>
      </c>
      <c r="DN71" s="56">
        <v>-1</v>
      </c>
      <c r="DO71" s="56">
        <v>-1</v>
      </c>
      <c r="DP71" s="56">
        <v>-1</v>
      </c>
      <c r="DQ71" s="56">
        <v>-1</v>
      </c>
      <c r="DR71" s="56">
        <v>-1</v>
      </c>
      <c r="DS71" s="56">
        <v>-1</v>
      </c>
      <c r="DT71" s="56">
        <v>-1</v>
      </c>
      <c r="DU71" s="56">
        <v>-1</v>
      </c>
      <c r="DV71" s="56">
        <v>1</v>
      </c>
      <c r="DW71" s="56">
        <v>1</v>
      </c>
      <c r="DX71" s="56">
        <v>1</v>
      </c>
      <c r="DY71" s="56">
        <v>1</v>
      </c>
      <c r="DZ71" s="56">
        <v>-1</v>
      </c>
      <c r="EA71" s="56">
        <v>-1</v>
      </c>
      <c r="EB71" s="56">
        <v>-1</v>
      </c>
      <c r="EC71" s="56">
        <v>-1</v>
      </c>
      <c r="ED71" s="56">
        <v>-1</v>
      </c>
      <c r="EE71" s="56">
        <v>-1</v>
      </c>
      <c r="EF71" s="56">
        <v>-1</v>
      </c>
      <c r="EG71" s="56">
        <v>-1</v>
      </c>
      <c r="EH71" s="56">
        <v>-1</v>
      </c>
      <c r="EI71" s="56">
        <v>-1</v>
      </c>
      <c r="EJ71" s="56">
        <v>-1</v>
      </c>
      <c r="EK71" s="56">
        <v>-1</v>
      </c>
      <c r="EL71" s="56">
        <v>-1</v>
      </c>
      <c r="EM71" s="56">
        <v>-1</v>
      </c>
      <c r="EN71" s="56">
        <v>-1</v>
      </c>
      <c r="EO71" s="56">
        <v>-1</v>
      </c>
      <c r="EP71" s="56">
        <v>-1</v>
      </c>
      <c r="EQ71" s="56">
        <v>-1</v>
      </c>
      <c r="ER71" s="56">
        <v>-1</v>
      </c>
      <c r="ES71" s="56">
        <v>-1</v>
      </c>
      <c r="ET71" s="56">
        <v>-1</v>
      </c>
      <c r="EU71" s="56">
        <v>-1</v>
      </c>
      <c r="EV71" s="56">
        <v>-1</v>
      </c>
      <c r="EW71" s="56">
        <v>1</v>
      </c>
      <c r="EX71" s="56">
        <v>1</v>
      </c>
      <c r="EY71" s="56">
        <v>1</v>
      </c>
      <c r="EZ71" s="56">
        <v>1</v>
      </c>
      <c r="FA71" s="56">
        <v>1</v>
      </c>
      <c r="FB71" s="56">
        <v>1</v>
      </c>
      <c r="FC71" s="56">
        <v>1</v>
      </c>
      <c r="FD71" s="56">
        <v>-1</v>
      </c>
      <c r="FE71" s="56">
        <v>-1</v>
      </c>
      <c r="FF71" s="56">
        <v>-1</v>
      </c>
      <c r="FG71" s="56">
        <v>-1</v>
      </c>
      <c r="FH71" s="56">
        <v>-1</v>
      </c>
      <c r="FI71" s="56">
        <v>-1</v>
      </c>
      <c r="FJ71" s="56">
        <v>-1</v>
      </c>
      <c r="FK71" s="56">
        <v>-1</v>
      </c>
      <c r="FL71" s="56">
        <v>-1</v>
      </c>
      <c r="FM71" s="56">
        <v>-1</v>
      </c>
      <c r="FN71" s="56">
        <v>-1</v>
      </c>
      <c r="FO71" s="56">
        <v>-1</v>
      </c>
      <c r="FP71" s="56">
        <v>-1</v>
      </c>
      <c r="FQ71" s="56">
        <v>-1</v>
      </c>
      <c r="FR71" s="56">
        <v>-1</v>
      </c>
      <c r="FS71" s="56">
        <v>-1</v>
      </c>
      <c r="FT71" s="56">
        <v>-1</v>
      </c>
      <c r="FU71" s="56">
        <v>-1</v>
      </c>
      <c r="FV71" s="56">
        <v>-1</v>
      </c>
      <c r="FW71" s="56">
        <v>-1</v>
      </c>
      <c r="FX71" s="56">
        <v>-1</v>
      </c>
      <c r="FY71" s="56">
        <v>-1</v>
      </c>
      <c r="FZ71" s="56">
        <v>-1</v>
      </c>
      <c r="GA71" s="56">
        <v>-1</v>
      </c>
      <c r="GB71" s="56">
        <v>-1</v>
      </c>
      <c r="GC71" s="56">
        <v>-1</v>
      </c>
      <c r="GD71" s="56">
        <v>-1</v>
      </c>
      <c r="GE71" s="56">
        <v>-1</v>
      </c>
      <c r="GF71" s="56">
        <v>-1</v>
      </c>
      <c r="GG71" s="56">
        <v>-1</v>
      </c>
      <c r="GH71" s="56">
        <v>-1</v>
      </c>
      <c r="GI71" s="56">
        <v>-1</v>
      </c>
      <c r="GJ71" s="56">
        <v>-1</v>
      </c>
      <c r="GK71" s="56">
        <v>-1</v>
      </c>
      <c r="GL71" s="56">
        <v>-1</v>
      </c>
      <c r="GM71" s="56">
        <v>-1</v>
      </c>
      <c r="GN71" s="56">
        <v>-1</v>
      </c>
      <c r="GO71" s="56">
        <v>-1</v>
      </c>
      <c r="GP71" s="56">
        <v>-1</v>
      </c>
      <c r="GQ71" s="56">
        <v>-1</v>
      </c>
      <c r="GR71" s="56">
        <v>-1</v>
      </c>
      <c r="GS71" s="56">
        <v>1</v>
      </c>
      <c r="GT71" s="56">
        <v>1</v>
      </c>
      <c r="GU71" s="56">
        <v>1</v>
      </c>
      <c r="GV71" s="56">
        <v>-1</v>
      </c>
      <c r="GW71" s="56">
        <v>-1</v>
      </c>
      <c r="GX71" s="56">
        <v>-1</v>
      </c>
      <c r="GY71" s="56">
        <v>-1</v>
      </c>
      <c r="GZ71" s="56">
        <v>-1</v>
      </c>
      <c r="HA71" s="56">
        <v>-1</v>
      </c>
      <c r="HB71" s="56">
        <v>-1</v>
      </c>
      <c r="HC71">
        <v>-1</v>
      </c>
      <c r="HD71">
        <v>-1</v>
      </c>
      <c r="HE71">
        <v>-1</v>
      </c>
      <c r="HF71">
        <v>-1</v>
      </c>
      <c r="HG71">
        <v>-1</v>
      </c>
      <c r="HH71">
        <v>-1</v>
      </c>
      <c r="HI71">
        <v>-1</v>
      </c>
      <c r="HJ71">
        <v>-1</v>
      </c>
      <c r="HK71">
        <v>-1</v>
      </c>
      <c r="HL71">
        <v>-1</v>
      </c>
      <c r="HM71">
        <v>-1</v>
      </c>
      <c r="HN71">
        <v>-1</v>
      </c>
      <c r="HO71">
        <v>-1</v>
      </c>
    </row>
    <row r="72" spans="1:223" x14ac:dyDescent="0.35">
      <c r="A72" s="56" t="s">
        <v>2307</v>
      </c>
      <c r="B72" s="56">
        <v>2613.3333333333298</v>
      </c>
      <c r="C72" s="56">
        <v>2648.3333333333298</v>
      </c>
      <c r="D72" s="56">
        <v>2681.6666666666702</v>
      </c>
      <c r="E72" s="56">
        <v>2716.3333333333298</v>
      </c>
      <c r="F72" s="56">
        <v>2719.3333333333298</v>
      </c>
      <c r="G72" s="56">
        <v>2739.6666666666702</v>
      </c>
      <c r="H72" s="56">
        <v>2751.6666666666702</v>
      </c>
      <c r="I72" s="56">
        <v>2781</v>
      </c>
      <c r="J72" s="56">
        <v>2815</v>
      </c>
      <c r="K72" s="56">
        <v>2849</v>
      </c>
      <c r="L72" s="56">
        <v>2874</v>
      </c>
      <c r="M72" s="56">
        <v>2901.3333333333298</v>
      </c>
      <c r="N72" s="56">
        <v>2899.6666666666702</v>
      </c>
      <c r="O72" s="56">
        <v>2911.6666666666702</v>
      </c>
      <c r="P72" s="56">
        <v>2926.3333333333298</v>
      </c>
      <c r="Q72" s="56">
        <v>2953.3333333333298</v>
      </c>
      <c r="R72" s="56">
        <v>2988.6666666666702</v>
      </c>
      <c r="S72" s="56">
        <v>3018</v>
      </c>
      <c r="T72" s="56">
        <v>3048.3333333333298</v>
      </c>
      <c r="U72" s="56">
        <v>3099</v>
      </c>
      <c r="V72" s="56">
        <v>3161.6666666666702</v>
      </c>
      <c r="W72" s="56">
        <v>3177.3333333333298</v>
      </c>
      <c r="X72" s="56">
        <v>3178</v>
      </c>
      <c r="Y72" s="56">
        <v>3197.3333333333298</v>
      </c>
      <c r="Z72" s="56">
        <v>3214.3333333333298</v>
      </c>
      <c r="AA72" s="56">
        <v>3241.6666666666702</v>
      </c>
      <c r="AB72" s="56">
        <v>3290.6666666666702</v>
      </c>
      <c r="AC72" s="56">
        <v>3342</v>
      </c>
      <c r="AD72" s="56">
        <v>3341.3333333333298</v>
      </c>
      <c r="AE72" s="56">
        <v>3374.6666666666702</v>
      </c>
      <c r="AF72" s="56">
        <v>3385</v>
      </c>
      <c r="AG72" s="56">
        <v>3404.6666666666702</v>
      </c>
      <c r="AH72" s="56">
        <v>3442.3333333333298</v>
      </c>
      <c r="AI72" s="56">
        <v>3479</v>
      </c>
      <c r="AJ72" s="56">
        <v>3477.3333333333298</v>
      </c>
      <c r="AK72" s="56">
        <v>3494</v>
      </c>
      <c r="AL72" s="56">
        <v>3504.3333333333298</v>
      </c>
      <c r="AM72" s="56">
        <v>3518</v>
      </c>
      <c r="AN72" s="56">
        <v>3560.6666666666702</v>
      </c>
      <c r="AO72" s="56">
        <v>3579.3333333333298</v>
      </c>
      <c r="AP72" s="56">
        <v>3582</v>
      </c>
      <c r="AQ72" s="56">
        <v>3602.6666666666702</v>
      </c>
      <c r="AR72" s="56">
        <v>3624</v>
      </c>
      <c r="AS72" s="56">
        <v>3630.6666666666702</v>
      </c>
      <c r="AT72" s="56">
        <v>3636</v>
      </c>
      <c r="AU72" s="56">
        <v>3631.6666666666702</v>
      </c>
      <c r="AV72" s="56">
        <v>3640</v>
      </c>
      <c r="AW72" s="56">
        <v>3653</v>
      </c>
      <c r="AX72" s="56">
        <v>3645.6666666666702</v>
      </c>
      <c r="AY72" s="56">
        <v>3647.3333333333298</v>
      </c>
      <c r="AZ72" s="56">
        <v>3625.6666666666702</v>
      </c>
      <c r="BA72" s="56">
        <v>3640.3333333333298</v>
      </c>
      <c r="BB72" s="56">
        <v>3650.3333333333298</v>
      </c>
      <c r="BC72" s="56">
        <v>3656</v>
      </c>
      <c r="BD72" s="56">
        <v>3671.3333333333298</v>
      </c>
      <c r="BE72" s="56">
        <v>3671.6666666666702</v>
      </c>
      <c r="BF72" s="56">
        <v>3687</v>
      </c>
      <c r="BG72" s="56">
        <v>3720</v>
      </c>
      <c r="BH72" s="56">
        <v>3758</v>
      </c>
      <c r="BI72" s="56">
        <v>3773</v>
      </c>
      <c r="BJ72" s="56">
        <v>3798.3333333333298</v>
      </c>
      <c r="BK72" s="56">
        <v>3819.3333333333298</v>
      </c>
      <c r="BL72" s="56">
        <v>3844.3333333333298</v>
      </c>
      <c r="BM72" s="56">
        <v>3864.3333333333298</v>
      </c>
      <c r="BN72" s="56">
        <v>3872.3333333333298</v>
      </c>
      <c r="BO72" s="56">
        <v>3883</v>
      </c>
      <c r="BP72" s="56">
        <v>3889.3333333333298</v>
      </c>
      <c r="BQ72" s="56">
        <v>3926.6666666666702</v>
      </c>
      <c r="BR72" s="56">
        <v>3943.6666666666702</v>
      </c>
      <c r="BS72" s="56">
        <v>3953</v>
      </c>
      <c r="BT72" s="56">
        <v>3969</v>
      </c>
      <c r="BU72" s="56">
        <v>4000.6666666666702</v>
      </c>
      <c r="BV72" s="56">
        <v>4030.6666666666702</v>
      </c>
      <c r="BW72" s="56">
        <v>4065.3333333333298</v>
      </c>
      <c r="BX72" s="56">
        <v>4094.3333333333298</v>
      </c>
      <c r="BY72" s="56">
        <v>4114.6666666666697</v>
      </c>
      <c r="BZ72" s="56">
        <v>4135.6666666666697</v>
      </c>
      <c r="CA72" s="56">
        <v>4169</v>
      </c>
      <c r="CB72" s="56">
        <v>4201.3333333333303</v>
      </c>
      <c r="CC72" s="56">
        <v>4221</v>
      </c>
      <c r="CD72" s="56">
        <v>4258</v>
      </c>
      <c r="CE72" s="56">
        <v>4295.6666666666697</v>
      </c>
      <c r="CF72" s="56">
        <v>4322.6666666666697</v>
      </c>
      <c r="CG72" s="56">
        <v>4342.6666666666697</v>
      </c>
      <c r="CH72" s="56">
        <v>4358</v>
      </c>
      <c r="CI72" s="56">
        <v>4362.3333333333303</v>
      </c>
      <c r="CJ72" s="56">
        <v>4345</v>
      </c>
      <c r="CK72" s="56">
        <v>4354.3333333333303</v>
      </c>
      <c r="CL72" s="56">
        <v>4372</v>
      </c>
      <c r="CM72" s="56">
        <v>4395.6666666666697</v>
      </c>
      <c r="CN72" s="56">
        <v>4425.3333333333303</v>
      </c>
      <c r="CO72" s="56">
        <v>4438</v>
      </c>
      <c r="CP72" s="56">
        <v>4456</v>
      </c>
      <c r="CQ72" s="56">
        <v>4478</v>
      </c>
      <c r="CR72" s="56">
        <v>4496</v>
      </c>
      <c r="CS72" s="56">
        <v>4515</v>
      </c>
      <c r="CT72" s="56">
        <v>4523.6666666666697</v>
      </c>
      <c r="CU72" s="56">
        <v>4555.3333333333303</v>
      </c>
      <c r="CV72" s="56">
        <v>4600</v>
      </c>
      <c r="CW72" s="56">
        <v>4626.3333333333303</v>
      </c>
      <c r="CX72" s="56">
        <v>4649.6666666666697</v>
      </c>
      <c r="CY72" s="56">
        <v>4643</v>
      </c>
      <c r="CZ72" s="56">
        <v>4623.6666666666697</v>
      </c>
      <c r="DA72" s="56">
        <v>4624.6666666666697</v>
      </c>
      <c r="DB72" s="56">
        <v>4621.3333333333303</v>
      </c>
      <c r="DC72" s="56">
        <v>4618.3333333333303</v>
      </c>
      <c r="DD72" s="56">
        <v>4600.3333333333303</v>
      </c>
      <c r="DE72" s="56">
        <v>4581.3333333333303</v>
      </c>
      <c r="DF72" s="56">
        <v>4574.3333333333303</v>
      </c>
      <c r="DG72" s="56">
        <v>4577</v>
      </c>
      <c r="DH72" s="56">
        <v>4589</v>
      </c>
      <c r="DI72" s="56">
        <v>4583</v>
      </c>
      <c r="DJ72" s="56">
        <v>4578</v>
      </c>
      <c r="DK72" s="56">
        <v>4596.6666666666697</v>
      </c>
      <c r="DL72" s="56">
        <v>4631.6666666666697</v>
      </c>
      <c r="DM72" s="56">
        <v>4640.6666666666697</v>
      </c>
      <c r="DN72" s="56">
        <v>4669</v>
      </c>
      <c r="DO72" s="56">
        <v>4688.3333333333303</v>
      </c>
      <c r="DP72" s="56">
        <v>4717.3333333333303</v>
      </c>
      <c r="DQ72" s="56">
        <v>4757.3333333333303</v>
      </c>
      <c r="DR72" s="56">
        <v>4768</v>
      </c>
      <c r="DS72" s="56">
        <v>4779.3333333333303</v>
      </c>
      <c r="DT72" s="56">
        <v>4793.3333333333303</v>
      </c>
      <c r="DU72" s="56">
        <v>4809</v>
      </c>
      <c r="DV72" s="56">
        <v>4832</v>
      </c>
      <c r="DW72" s="56">
        <v>4877.6666666666697</v>
      </c>
      <c r="DX72" s="56">
        <v>4936.6666666666697</v>
      </c>
      <c r="DY72" s="56">
        <v>4977.3333333333303</v>
      </c>
      <c r="DZ72" s="56">
        <v>5004.3333333333303</v>
      </c>
      <c r="EA72" s="56">
        <v>5039</v>
      </c>
      <c r="EB72" s="56">
        <v>5052.6666666666697</v>
      </c>
      <c r="EC72" s="56">
        <v>5020.6666666666697</v>
      </c>
      <c r="ED72" s="56">
        <v>5029.3333333333303</v>
      </c>
      <c r="EE72" s="56">
        <v>5007.6666666666697</v>
      </c>
      <c r="EF72" s="56">
        <v>4978.6666666666697</v>
      </c>
      <c r="EG72" s="56">
        <v>4985.3333333333303</v>
      </c>
      <c r="EH72" s="56">
        <v>4968.3333333333303</v>
      </c>
      <c r="EI72" s="56">
        <v>4974</v>
      </c>
      <c r="EJ72" s="56">
        <v>4984</v>
      </c>
      <c r="EK72" s="56">
        <v>4995.3333333333303</v>
      </c>
      <c r="EL72" s="56">
        <v>5015.6666666666697</v>
      </c>
      <c r="EM72" s="56">
        <v>5023.3333333333303</v>
      </c>
      <c r="EN72" s="56">
        <v>5039.3333333333303</v>
      </c>
      <c r="EO72" s="56">
        <v>5047.6666666666697</v>
      </c>
      <c r="EP72" s="56">
        <v>5047</v>
      </c>
      <c r="EQ72" s="56">
        <v>5068.3333333333303</v>
      </c>
      <c r="ER72" s="56">
        <v>5086</v>
      </c>
      <c r="ES72" s="56">
        <v>5098.3333333333303</v>
      </c>
      <c r="ET72" s="56">
        <v>5106.3333333333303</v>
      </c>
      <c r="EU72" s="56">
        <v>5124.3333333333303</v>
      </c>
      <c r="EV72" s="56">
        <v>5122</v>
      </c>
      <c r="EW72" s="56">
        <v>5136</v>
      </c>
      <c r="EX72" s="56">
        <v>5148.6666666666697</v>
      </c>
      <c r="EY72" s="56">
        <v>5166</v>
      </c>
      <c r="EZ72" s="56">
        <v>5196.3333333333303</v>
      </c>
      <c r="FA72" s="56">
        <v>5189</v>
      </c>
      <c r="FB72" s="56">
        <v>5192</v>
      </c>
      <c r="FC72" s="56">
        <v>5181.6666666666697</v>
      </c>
      <c r="FD72" s="56">
        <v>5145.3333333333303</v>
      </c>
      <c r="FE72" s="56">
        <v>5153.3333333333303</v>
      </c>
      <c r="FF72" s="56">
        <v>5144</v>
      </c>
      <c r="FG72" s="56">
        <v>5136.6666666666697</v>
      </c>
      <c r="FH72" s="56">
        <v>5129.3333333333303</v>
      </c>
      <c r="FI72" s="56">
        <v>5137</v>
      </c>
      <c r="FJ72" s="56">
        <v>5113.3333333333303</v>
      </c>
      <c r="FK72" s="56">
        <v>5084.3333333333303</v>
      </c>
      <c r="FL72" s="56">
        <v>5069.6666666666697</v>
      </c>
      <c r="FM72" s="56">
        <v>5051</v>
      </c>
      <c r="FN72" s="56">
        <v>5048</v>
      </c>
      <c r="FO72" s="56">
        <v>5055.3333333333303</v>
      </c>
      <c r="FP72" s="56">
        <v>5064.6666666666697</v>
      </c>
      <c r="FQ72" s="56">
        <v>5051.6666666666697</v>
      </c>
      <c r="FR72" s="56">
        <v>5042</v>
      </c>
      <c r="FS72" s="56">
        <v>5044.6666666666697</v>
      </c>
      <c r="FT72" s="56">
        <v>5040</v>
      </c>
      <c r="FU72" s="56">
        <v>5055.3333333333303</v>
      </c>
      <c r="FV72" s="56">
        <v>5054.6666666666697</v>
      </c>
      <c r="FW72" s="56">
        <v>5054.6666666666697</v>
      </c>
      <c r="FX72" s="56">
        <v>5030.6666666666697</v>
      </c>
      <c r="FY72" s="56">
        <v>5052.6666666666697</v>
      </c>
      <c r="FZ72" s="56">
        <v>5067.6666666666697</v>
      </c>
      <c r="GA72" s="56">
        <v>5072.3333333333303</v>
      </c>
      <c r="GB72" s="56">
        <v>5077.6666666666697</v>
      </c>
      <c r="GC72" s="56">
        <v>5087.3333333333303</v>
      </c>
      <c r="GD72" s="56">
        <v>5089</v>
      </c>
      <c r="GE72" s="56">
        <v>5098.6666666666697</v>
      </c>
      <c r="GF72" s="56">
        <v>5126.6666666666697</v>
      </c>
      <c r="GG72" s="56">
        <v>5135.3333333333303</v>
      </c>
      <c r="GH72" s="56">
        <v>5159.6666666666697</v>
      </c>
      <c r="GI72" s="56">
        <v>5174.6666666666697</v>
      </c>
      <c r="GJ72" s="56">
        <v>5163.6666666666697</v>
      </c>
      <c r="GK72" s="56">
        <v>5157.3333333333303</v>
      </c>
      <c r="GL72" s="56">
        <v>5157.3333333333303</v>
      </c>
      <c r="GM72" s="56">
        <v>5176.6666666666697</v>
      </c>
      <c r="GN72" s="56">
        <v>5177.3333333333303</v>
      </c>
      <c r="GO72" s="56">
        <v>5174.6666666666697</v>
      </c>
      <c r="GP72" s="56">
        <v>5182</v>
      </c>
      <c r="GQ72" s="56">
        <v>5170.6666666666697</v>
      </c>
      <c r="GR72" s="56">
        <v>5207.6666666666697</v>
      </c>
      <c r="GS72" s="56">
        <v>5246</v>
      </c>
      <c r="GT72" s="56">
        <v>5277.6666666666697</v>
      </c>
      <c r="GU72" s="56">
        <v>5080.3333333333303</v>
      </c>
      <c r="GV72" s="56">
        <v>5097</v>
      </c>
      <c r="GW72" s="56">
        <v>5077</v>
      </c>
      <c r="GX72" s="56">
        <v>5165.3333333333303</v>
      </c>
      <c r="GY72" s="56">
        <v>5186.6666666666697</v>
      </c>
      <c r="GZ72" s="56">
        <v>5157</v>
      </c>
      <c r="HA72" s="56">
        <v>5125</v>
      </c>
      <c r="HB72" s="56">
        <v>5071.3333333333303</v>
      </c>
      <c r="HC72">
        <v>5091.3333333333303</v>
      </c>
      <c r="HD72">
        <v>5144.6666666666697</v>
      </c>
      <c r="HE72">
        <v>5145.6666666666697</v>
      </c>
      <c r="HF72">
        <v>5217.6666666666697</v>
      </c>
      <c r="HG72">
        <v>5272.3333333333303</v>
      </c>
      <c r="HH72">
        <v>5321.3333333333303</v>
      </c>
      <c r="HI72">
        <v>5367.6666666666697</v>
      </c>
      <c r="HJ72">
        <v>5402.6666666666697</v>
      </c>
      <c r="HK72">
        <v>5422.3333333333303</v>
      </c>
      <c r="HL72">
        <v>5455</v>
      </c>
      <c r="HM72">
        <v>5496.3333333333303</v>
      </c>
      <c r="HN72">
        <v>5517.6666666666697</v>
      </c>
      <c r="HO72">
        <v>5546.3333333333303</v>
      </c>
    </row>
    <row r="73" spans="1:223" x14ac:dyDescent="0.35">
      <c r="A73" s="56" t="s">
        <v>2308</v>
      </c>
      <c r="B73" s="56">
        <v>7048.6666666666697</v>
      </c>
      <c r="C73" s="56">
        <v>7104.3333333333303</v>
      </c>
      <c r="D73" s="56">
        <v>7204.3333333333303</v>
      </c>
      <c r="E73" s="56">
        <v>7279.3333333333303</v>
      </c>
      <c r="F73" s="56">
        <v>7353.3333333333303</v>
      </c>
      <c r="G73" s="56">
        <v>7419.6666666666697</v>
      </c>
      <c r="H73" s="56">
        <v>7443.6666666666697</v>
      </c>
      <c r="I73" s="56">
        <v>7534</v>
      </c>
      <c r="J73" s="56">
        <v>7651.6666666666697</v>
      </c>
      <c r="K73" s="56">
        <v>7726.3333333333303</v>
      </c>
      <c r="L73" s="56">
        <v>7855</v>
      </c>
      <c r="M73" s="56">
        <v>7931.3333333333303</v>
      </c>
      <c r="N73" s="56">
        <v>8016</v>
      </c>
      <c r="O73" s="56">
        <v>8115</v>
      </c>
      <c r="P73" s="56">
        <v>8183.6666666666697</v>
      </c>
      <c r="Q73" s="56">
        <v>8272.3333333333303</v>
      </c>
      <c r="R73" s="56">
        <v>8307.6666666666697</v>
      </c>
      <c r="S73" s="56">
        <v>8346.3333333333303</v>
      </c>
      <c r="T73" s="56">
        <v>8424.6666666666697</v>
      </c>
      <c r="U73" s="56">
        <v>8551.3333333333303</v>
      </c>
      <c r="V73" s="56">
        <v>8673</v>
      </c>
      <c r="W73" s="56">
        <v>8751.3333333333303</v>
      </c>
      <c r="X73" s="56">
        <v>8786.3333333333303</v>
      </c>
      <c r="Y73" s="56">
        <v>8824.6666666666697</v>
      </c>
      <c r="Z73" s="56">
        <v>8883</v>
      </c>
      <c r="AA73" s="56">
        <v>8868.6666666666697</v>
      </c>
      <c r="AB73" s="56">
        <v>8845</v>
      </c>
      <c r="AC73" s="56">
        <v>8861</v>
      </c>
      <c r="AD73" s="56">
        <v>8860.6666666666697</v>
      </c>
      <c r="AE73" s="56">
        <v>8907.3333333333303</v>
      </c>
      <c r="AF73" s="56">
        <v>9099.3333333333303</v>
      </c>
      <c r="AG73" s="56">
        <v>9231</v>
      </c>
      <c r="AH73" s="56">
        <v>9348.3333333333303</v>
      </c>
      <c r="AI73" s="56">
        <v>9466</v>
      </c>
      <c r="AJ73" s="56">
        <v>9492.3333333333303</v>
      </c>
      <c r="AK73" s="56">
        <v>9482.6666666666697</v>
      </c>
      <c r="AL73" s="56">
        <v>9531.3333333333303</v>
      </c>
      <c r="AM73" s="56">
        <v>9604.3333333333303</v>
      </c>
      <c r="AN73" s="56">
        <v>9710.6666666666697</v>
      </c>
      <c r="AO73" s="56">
        <v>9697.3333333333303</v>
      </c>
      <c r="AP73" s="56">
        <v>9741.3333333333303</v>
      </c>
      <c r="AQ73" s="56">
        <v>9749.3333333333303</v>
      </c>
      <c r="AR73" s="56">
        <v>9782.3333333333303</v>
      </c>
      <c r="AS73" s="56">
        <v>9793</v>
      </c>
      <c r="AT73" s="56">
        <v>9750.3333333333303</v>
      </c>
      <c r="AU73" s="56">
        <v>9665</v>
      </c>
      <c r="AV73" s="56">
        <v>9547.6666666666697</v>
      </c>
      <c r="AW73" s="56">
        <v>9507</v>
      </c>
      <c r="AX73" s="56">
        <v>9484.3333333333303</v>
      </c>
      <c r="AY73" s="56">
        <v>9495.6666666666697</v>
      </c>
      <c r="AZ73" s="56">
        <v>9409.6666666666697</v>
      </c>
      <c r="BA73" s="56">
        <v>9437</v>
      </c>
      <c r="BB73" s="56">
        <v>9447.3333333333303</v>
      </c>
      <c r="BC73" s="56">
        <v>9445.3333333333303</v>
      </c>
      <c r="BD73" s="56">
        <v>9433</v>
      </c>
      <c r="BE73" s="56">
        <v>9401.6666666666697</v>
      </c>
      <c r="BF73" s="56">
        <v>9412</v>
      </c>
      <c r="BG73" s="56">
        <v>9445.3333333333303</v>
      </c>
      <c r="BH73" s="56">
        <v>9509</v>
      </c>
      <c r="BI73" s="56">
        <v>9555</v>
      </c>
      <c r="BJ73" s="56">
        <v>9595.6666666666697</v>
      </c>
      <c r="BK73" s="56">
        <v>9640.3333333333303</v>
      </c>
      <c r="BL73" s="56">
        <v>9746.6666666666697</v>
      </c>
      <c r="BM73" s="56">
        <v>9764.3333333333303</v>
      </c>
      <c r="BN73" s="56">
        <v>9815.3333333333303</v>
      </c>
      <c r="BO73" s="56">
        <v>9854.3333333333303</v>
      </c>
      <c r="BP73" s="56">
        <v>9906.6666666666697</v>
      </c>
      <c r="BQ73" s="56">
        <v>10024.333333333299</v>
      </c>
      <c r="BR73" s="56">
        <v>10039.333333333299</v>
      </c>
      <c r="BS73" s="56">
        <v>10083.333333333299</v>
      </c>
      <c r="BT73" s="56">
        <v>10092.333333333299</v>
      </c>
      <c r="BU73" s="56">
        <v>10184.666666666701</v>
      </c>
      <c r="BV73" s="56">
        <v>10250.666666666701</v>
      </c>
      <c r="BW73" s="56">
        <v>10315.333333333299</v>
      </c>
      <c r="BX73" s="56">
        <v>10341.666666666701</v>
      </c>
      <c r="BY73" s="56">
        <v>10446.666666666701</v>
      </c>
      <c r="BZ73" s="56">
        <v>10510.666666666701</v>
      </c>
      <c r="CA73" s="56">
        <v>10566.333333333299</v>
      </c>
      <c r="CB73" s="56">
        <v>10640.666666666701</v>
      </c>
      <c r="CC73" s="56">
        <v>10719.666666666701</v>
      </c>
      <c r="CD73" s="56">
        <v>10814</v>
      </c>
      <c r="CE73" s="56">
        <v>10873</v>
      </c>
      <c r="CF73" s="56">
        <v>10967.333333333299</v>
      </c>
      <c r="CG73" s="56">
        <v>11000.333333333299</v>
      </c>
      <c r="CH73" s="56">
        <v>11027</v>
      </c>
      <c r="CI73" s="56">
        <v>11057.333333333299</v>
      </c>
      <c r="CJ73" s="56">
        <v>11099.333333333299</v>
      </c>
      <c r="CK73" s="56">
        <v>11139.333333333299</v>
      </c>
      <c r="CL73" s="56">
        <v>11199</v>
      </c>
      <c r="CM73" s="56">
        <v>11238</v>
      </c>
      <c r="CN73" s="56">
        <v>11306.666666666701</v>
      </c>
      <c r="CO73" s="56">
        <v>11319.666666666701</v>
      </c>
      <c r="CP73" s="56">
        <v>11366.666666666701</v>
      </c>
      <c r="CQ73" s="56">
        <v>11407.666666666701</v>
      </c>
      <c r="CR73" s="56">
        <v>11483</v>
      </c>
      <c r="CS73" s="56">
        <v>11520.666666666701</v>
      </c>
      <c r="CT73" s="56">
        <v>11591.333333333299</v>
      </c>
      <c r="CU73" s="56">
        <v>11672.333333333299</v>
      </c>
      <c r="CV73" s="56">
        <v>11710.333333333299</v>
      </c>
      <c r="CW73" s="56">
        <v>11752</v>
      </c>
      <c r="CX73" s="56">
        <v>11791.333333333299</v>
      </c>
      <c r="CY73" s="56">
        <v>11828.666666666701</v>
      </c>
      <c r="CZ73" s="56">
        <v>11868</v>
      </c>
      <c r="DA73" s="56">
        <v>11923</v>
      </c>
      <c r="DB73" s="56">
        <v>11966</v>
      </c>
      <c r="DC73" s="56">
        <v>12017.333333333299</v>
      </c>
      <c r="DD73" s="56">
        <v>12067</v>
      </c>
      <c r="DE73" s="56">
        <v>12139</v>
      </c>
      <c r="DF73" s="56">
        <v>12185.666666666701</v>
      </c>
      <c r="DG73" s="56">
        <v>12229.666666666701</v>
      </c>
      <c r="DH73" s="56">
        <v>12296</v>
      </c>
      <c r="DI73" s="56">
        <v>12380</v>
      </c>
      <c r="DJ73" s="56">
        <v>12437.333333333299</v>
      </c>
      <c r="DK73" s="56">
        <v>12501.333333333299</v>
      </c>
      <c r="DL73" s="56">
        <v>12553.333333333299</v>
      </c>
      <c r="DM73" s="56">
        <v>12616.333333333299</v>
      </c>
      <c r="DN73" s="56">
        <v>12694.666666666701</v>
      </c>
      <c r="DO73" s="56">
        <v>12783.333333333299</v>
      </c>
      <c r="DP73" s="56">
        <v>12887.333333333299</v>
      </c>
      <c r="DQ73" s="56">
        <v>12972.333333333299</v>
      </c>
      <c r="DR73" s="56">
        <v>13050.333333333299</v>
      </c>
      <c r="DS73" s="56">
        <v>13113</v>
      </c>
      <c r="DT73" s="56">
        <v>13168</v>
      </c>
      <c r="DU73" s="56">
        <v>13220.666666666701</v>
      </c>
      <c r="DV73" s="56">
        <v>13310</v>
      </c>
      <c r="DW73" s="56">
        <v>13410.666666666701</v>
      </c>
      <c r="DX73" s="56">
        <v>13500.666666666701</v>
      </c>
      <c r="DY73" s="56">
        <v>13583.666666666701</v>
      </c>
      <c r="DZ73" s="56">
        <v>13639</v>
      </c>
      <c r="EA73" s="56">
        <v>13699.333333333299</v>
      </c>
      <c r="EB73" s="56">
        <v>13744.666666666701</v>
      </c>
      <c r="EC73" s="56">
        <v>13775</v>
      </c>
      <c r="ED73" s="56">
        <v>13801</v>
      </c>
      <c r="EE73" s="56">
        <v>13820</v>
      </c>
      <c r="EF73" s="56">
        <v>13832.333333333299</v>
      </c>
      <c r="EG73" s="56">
        <v>13824.333333333299</v>
      </c>
      <c r="EH73" s="56">
        <v>13859</v>
      </c>
      <c r="EI73" s="56">
        <v>13898</v>
      </c>
      <c r="EJ73" s="56">
        <v>13909.333333333299</v>
      </c>
      <c r="EK73" s="56">
        <v>13958.666666666701</v>
      </c>
      <c r="EL73" s="56">
        <v>13994.666666666701</v>
      </c>
      <c r="EM73" s="56">
        <v>14012</v>
      </c>
      <c r="EN73" s="56">
        <v>14085.333333333299</v>
      </c>
      <c r="EO73" s="56">
        <v>14072.333333333299</v>
      </c>
      <c r="EP73" s="56">
        <v>14098</v>
      </c>
      <c r="EQ73" s="56">
        <v>14119.666666666701</v>
      </c>
      <c r="ER73" s="56">
        <v>14201</v>
      </c>
      <c r="ES73" s="56">
        <v>14251.333333333299</v>
      </c>
      <c r="ET73" s="56">
        <v>14287.333333333299</v>
      </c>
      <c r="EU73" s="56">
        <v>14336</v>
      </c>
      <c r="EV73" s="56">
        <v>14369.333333333299</v>
      </c>
      <c r="EW73" s="56">
        <v>14455</v>
      </c>
      <c r="EX73" s="56">
        <v>14521.666666666701</v>
      </c>
      <c r="EY73" s="56">
        <v>14560.333333333299</v>
      </c>
      <c r="EZ73" s="56">
        <v>14594</v>
      </c>
      <c r="FA73" s="56">
        <v>14591</v>
      </c>
      <c r="FB73" s="56">
        <v>14587</v>
      </c>
      <c r="FC73" s="56">
        <v>14576.333333333299</v>
      </c>
      <c r="FD73" s="56">
        <v>14532</v>
      </c>
      <c r="FE73" s="56">
        <v>14521</v>
      </c>
      <c r="FF73" s="56">
        <v>14466</v>
      </c>
      <c r="FG73" s="56">
        <v>14434</v>
      </c>
      <c r="FH73" s="56">
        <v>14327.666666666701</v>
      </c>
      <c r="FI73" s="56">
        <v>14279</v>
      </c>
      <c r="FJ73" s="56">
        <v>14232.666666666701</v>
      </c>
      <c r="FK73" s="56">
        <v>14207.666666666701</v>
      </c>
      <c r="FL73" s="56">
        <v>14094</v>
      </c>
      <c r="FM73" s="56">
        <v>14080.666666666701</v>
      </c>
      <c r="FN73" s="56">
        <v>14067.666666666701</v>
      </c>
      <c r="FO73" s="56">
        <v>14044.333333333299</v>
      </c>
      <c r="FP73" s="56">
        <v>14034.333333333299</v>
      </c>
      <c r="FQ73" s="56">
        <v>14026.333333333299</v>
      </c>
      <c r="FR73" s="56">
        <v>14029.333333333299</v>
      </c>
      <c r="FS73" s="56">
        <v>14033</v>
      </c>
      <c r="FT73" s="56">
        <v>14031</v>
      </c>
      <c r="FU73" s="56">
        <v>14033.666666666701</v>
      </c>
      <c r="FV73" s="56">
        <v>14037.666666666701</v>
      </c>
      <c r="FW73" s="56">
        <v>14077</v>
      </c>
      <c r="FX73" s="56">
        <v>14120</v>
      </c>
      <c r="FY73" s="56">
        <v>14140</v>
      </c>
      <c r="FZ73" s="56">
        <v>14155</v>
      </c>
      <c r="GA73" s="56">
        <v>14181.666666666701</v>
      </c>
      <c r="GB73" s="56">
        <v>14214</v>
      </c>
      <c r="GC73" s="56">
        <v>14223.666666666701</v>
      </c>
      <c r="GD73" s="56">
        <v>14277</v>
      </c>
      <c r="GE73" s="56">
        <v>14297.666666666701</v>
      </c>
      <c r="GF73" s="56">
        <v>14369</v>
      </c>
      <c r="GG73" s="56">
        <v>14351</v>
      </c>
      <c r="GH73" s="56">
        <v>14352.333333333299</v>
      </c>
      <c r="GI73" s="56">
        <v>14369</v>
      </c>
      <c r="GJ73" s="56">
        <v>14373</v>
      </c>
      <c r="GK73" s="56">
        <v>14421.666666666701</v>
      </c>
      <c r="GL73" s="56">
        <v>14457.333333333299</v>
      </c>
      <c r="GM73" s="56">
        <v>14484.666666666701</v>
      </c>
      <c r="GN73" s="56">
        <v>14480.333333333299</v>
      </c>
      <c r="GO73" s="56">
        <v>14505.666666666701</v>
      </c>
      <c r="GP73" s="56">
        <v>14542.333333333299</v>
      </c>
      <c r="GQ73" s="56">
        <v>14594.666666666701</v>
      </c>
      <c r="GR73" s="56">
        <v>14564</v>
      </c>
      <c r="GS73" s="56">
        <v>14617</v>
      </c>
      <c r="GT73" s="56">
        <v>14681.333333333299</v>
      </c>
      <c r="GU73" s="56">
        <v>13613</v>
      </c>
      <c r="GV73" s="56">
        <v>13655</v>
      </c>
      <c r="GW73" s="56">
        <v>13721.666666666701</v>
      </c>
      <c r="GX73" s="56">
        <v>13750</v>
      </c>
      <c r="GY73" s="56">
        <v>13864.333333333299</v>
      </c>
      <c r="GZ73" s="56">
        <v>14034</v>
      </c>
      <c r="HA73" s="56">
        <v>14047</v>
      </c>
      <c r="HB73" s="56">
        <v>14101.333333333299</v>
      </c>
      <c r="HC73">
        <v>14150</v>
      </c>
      <c r="HD73">
        <v>14271</v>
      </c>
      <c r="HE73">
        <v>14334</v>
      </c>
      <c r="HF73">
        <v>14434.333333333299</v>
      </c>
      <c r="HG73">
        <v>14517.333333333299</v>
      </c>
      <c r="HH73">
        <v>14615</v>
      </c>
      <c r="HI73">
        <v>14728</v>
      </c>
      <c r="HJ73">
        <v>14837</v>
      </c>
      <c r="HK73">
        <v>14899</v>
      </c>
      <c r="HL73">
        <v>14968.333333333299</v>
      </c>
      <c r="HM73">
        <v>15023.333333333299</v>
      </c>
      <c r="HN73">
        <v>15070.333333333299</v>
      </c>
      <c r="HO73">
        <v>15141.666666666701</v>
      </c>
    </row>
    <row r="74" spans="1:223" x14ac:dyDescent="0.35">
      <c r="A74" s="56" t="s">
        <v>2309</v>
      </c>
      <c r="B74" s="56">
        <v>23545.666666666701</v>
      </c>
      <c r="C74" s="56">
        <v>24037</v>
      </c>
      <c r="D74" s="56">
        <v>25485.666666666701</v>
      </c>
      <c r="E74" s="56">
        <v>25754.666666666701</v>
      </c>
      <c r="F74" s="56">
        <v>25713</v>
      </c>
      <c r="G74" s="56">
        <v>25998.666666666701</v>
      </c>
      <c r="H74" s="56">
        <v>25691</v>
      </c>
      <c r="I74" s="56">
        <v>26178.666666666701</v>
      </c>
      <c r="J74" s="56">
        <v>25519</v>
      </c>
      <c r="K74" s="56">
        <v>24875</v>
      </c>
      <c r="L74" s="56">
        <v>25641</v>
      </c>
      <c r="M74" s="56">
        <v>27114.333333333299</v>
      </c>
      <c r="N74" s="56">
        <v>27472.666666666701</v>
      </c>
      <c r="O74" s="56">
        <v>27079.333333333299</v>
      </c>
      <c r="P74" s="56">
        <v>27510</v>
      </c>
      <c r="Q74" s="56">
        <v>28620</v>
      </c>
      <c r="R74" s="56">
        <v>30923.666666666701</v>
      </c>
      <c r="S74" s="56">
        <v>33400.666666666701</v>
      </c>
      <c r="T74" s="56">
        <v>33701.666666666701</v>
      </c>
      <c r="U74" s="56">
        <v>33884</v>
      </c>
      <c r="V74" s="56">
        <v>37820.333333333299</v>
      </c>
      <c r="W74" s="56">
        <v>35429.666666666701</v>
      </c>
      <c r="X74" s="56">
        <v>36988.333333333299</v>
      </c>
      <c r="Y74" s="56">
        <v>39554</v>
      </c>
      <c r="Z74" s="56">
        <v>42554</v>
      </c>
      <c r="AA74" s="56">
        <v>38830.666666666701</v>
      </c>
      <c r="AB74" s="56">
        <v>36130</v>
      </c>
      <c r="AC74" s="56">
        <v>34359.666666666701</v>
      </c>
      <c r="AD74" s="56">
        <v>36034</v>
      </c>
      <c r="AE74" s="56">
        <v>37037.666666666701</v>
      </c>
      <c r="AF74" s="56">
        <v>35666.333333333299</v>
      </c>
      <c r="AG74" s="56">
        <v>35160</v>
      </c>
      <c r="AH74" s="56">
        <v>34095.333333333299</v>
      </c>
      <c r="AI74" s="56">
        <v>41889.666666666701</v>
      </c>
      <c r="AJ74" s="56">
        <v>43760.666666666701</v>
      </c>
      <c r="AK74" s="56">
        <v>45015.333333333299</v>
      </c>
      <c r="AL74" s="56">
        <v>40794</v>
      </c>
      <c r="AM74" s="56">
        <v>45875.333333333299</v>
      </c>
      <c r="AN74" s="56">
        <v>49343.666666666701</v>
      </c>
      <c r="AO74" s="56">
        <v>52609</v>
      </c>
      <c r="AP74" s="56">
        <v>55934.333333333299</v>
      </c>
      <c r="AQ74" s="56">
        <v>54112</v>
      </c>
      <c r="AR74" s="56">
        <v>52797</v>
      </c>
      <c r="AS74" s="56">
        <v>54381</v>
      </c>
      <c r="AT74" s="56">
        <v>60484</v>
      </c>
      <c r="AU74" s="56">
        <v>53862</v>
      </c>
      <c r="AV74" s="56">
        <v>52044</v>
      </c>
      <c r="AW74" s="56">
        <v>54313.666666666701</v>
      </c>
      <c r="AX74" s="56">
        <v>51944</v>
      </c>
      <c r="AY74" s="56">
        <v>52182.666666666701</v>
      </c>
      <c r="AZ74" s="56">
        <v>52486.333333333299</v>
      </c>
      <c r="BA74" s="56">
        <v>54765.333333333299</v>
      </c>
      <c r="BB74" s="56">
        <v>52678.333333333299</v>
      </c>
      <c r="BC74" s="56">
        <v>51386</v>
      </c>
      <c r="BD74" s="56">
        <v>53662.333333333299</v>
      </c>
      <c r="BE74" s="56">
        <v>53249</v>
      </c>
      <c r="BF74" s="56">
        <v>55752.333333333299</v>
      </c>
      <c r="BG74" s="56">
        <v>57382.666666666701</v>
      </c>
      <c r="BH74" s="56">
        <v>59910.333333333299</v>
      </c>
      <c r="BI74" s="56">
        <v>60890.666666666701</v>
      </c>
      <c r="BJ74" s="56">
        <v>62514.666666666701</v>
      </c>
      <c r="BK74" s="56">
        <v>65739.333333333299</v>
      </c>
      <c r="BL74" s="56">
        <v>67220</v>
      </c>
      <c r="BM74" s="56">
        <v>66558.333333333299</v>
      </c>
      <c r="BN74" s="56">
        <v>70815.333333333299</v>
      </c>
      <c r="BO74" s="56">
        <v>72215.333333333299</v>
      </c>
      <c r="BP74" s="56">
        <v>73843.333333333299</v>
      </c>
      <c r="BQ74" s="56">
        <v>71122.666666666701</v>
      </c>
      <c r="BR74" s="56">
        <v>75290</v>
      </c>
      <c r="BS74" s="56">
        <v>75025.666666666701</v>
      </c>
      <c r="BT74" s="56">
        <v>77047</v>
      </c>
      <c r="BU74" s="56">
        <v>78058</v>
      </c>
      <c r="BV74" s="56">
        <v>79349.666666666701</v>
      </c>
      <c r="BW74" s="56">
        <v>83348</v>
      </c>
      <c r="BX74" s="56">
        <v>82022.666666666701</v>
      </c>
      <c r="BY74" s="56">
        <v>84604</v>
      </c>
      <c r="BZ74" s="56">
        <v>83566.666666666701</v>
      </c>
      <c r="CA74" s="56">
        <v>85684</v>
      </c>
      <c r="CB74" s="56">
        <v>85730.333333333299</v>
      </c>
      <c r="CC74" s="56">
        <v>89358.333333333299</v>
      </c>
      <c r="CD74" s="56">
        <v>94388.333333333299</v>
      </c>
      <c r="CE74" s="56">
        <v>93807</v>
      </c>
      <c r="CF74" s="56">
        <v>94972</v>
      </c>
      <c r="CG74" s="56">
        <v>98807.666666666701</v>
      </c>
      <c r="CH74" s="56">
        <v>95253.666666666701</v>
      </c>
      <c r="CI74" s="56">
        <v>96128.666666666701</v>
      </c>
      <c r="CJ74" s="56">
        <v>97326.333333333299</v>
      </c>
      <c r="CK74" s="56">
        <v>99221</v>
      </c>
      <c r="CL74" s="56">
        <v>106368.66666666701</v>
      </c>
      <c r="CM74" s="56">
        <v>103446</v>
      </c>
      <c r="CN74" s="56">
        <v>99580.333333333299</v>
      </c>
      <c r="CO74" s="56">
        <v>98022.333333333299</v>
      </c>
      <c r="CP74" s="56">
        <v>102495</v>
      </c>
      <c r="CQ74" s="56">
        <v>111962</v>
      </c>
      <c r="CR74" s="56">
        <v>116124.66666666701</v>
      </c>
      <c r="CS74" s="56">
        <v>118029</v>
      </c>
      <c r="CT74" s="56">
        <v>111803</v>
      </c>
      <c r="CU74" s="56">
        <v>113545</v>
      </c>
      <c r="CV74" s="56">
        <v>118942</v>
      </c>
      <c r="CW74" s="56">
        <v>117294.33333333299</v>
      </c>
      <c r="CX74" s="56">
        <v>116848.66666666701</v>
      </c>
      <c r="CY74" s="56">
        <v>124434.33333333299</v>
      </c>
      <c r="CZ74" s="56">
        <v>125240</v>
      </c>
      <c r="DA74" s="56">
        <v>127572.66666666701</v>
      </c>
      <c r="DB74" s="56">
        <v>126179.33333333299</v>
      </c>
      <c r="DC74" s="56">
        <v>131672</v>
      </c>
      <c r="DD74" s="56">
        <v>131615</v>
      </c>
      <c r="DE74" s="56">
        <v>135638.66666666701</v>
      </c>
      <c r="DF74" s="56">
        <v>135471.66666666701</v>
      </c>
      <c r="DG74" s="56">
        <v>139479.33333333299</v>
      </c>
      <c r="DH74" s="56">
        <v>141385.33333333299</v>
      </c>
      <c r="DI74" s="56">
        <v>140102.66666666701</v>
      </c>
      <c r="DJ74" s="56">
        <v>133975</v>
      </c>
      <c r="DK74" s="56">
        <v>137818</v>
      </c>
      <c r="DL74" s="56">
        <v>143529.33333333299</v>
      </c>
      <c r="DM74" s="56">
        <v>144434.66666666701</v>
      </c>
      <c r="DN74" s="56">
        <v>150497</v>
      </c>
      <c r="DO74" s="56">
        <v>152515.33333333299</v>
      </c>
      <c r="DP74" s="56">
        <v>155465.33333333299</v>
      </c>
      <c r="DQ74" s="56">
        <v>163365.33333333299</v>
      </c>
      <c r="DR74" s="56">
        <v>168776.33333333299</v>
      </c>
      <c r="DS74" s="56">
        <v>165200.66666666701</v>
      </c>
      <c r="DT74" s="56">
        <v>166145</v>
      </c>
      <c r="DU74" s="56">
        <v>170616.66666666701</v>
      </c>
      <c r="DV74" s="56">
        <v>176411.33333333299</v>
      </c>
      <c r="DW74" s="56">
        <v>189275.66666666701</v>
      </c>
      <c r="DX74" s="56">
        <v>187116</v>
      </c>
      <c r="DY74" s="56">
        <v>193037.66666666701</v>
      </c>
      <c r="DZ74" s="56">
        <v>198023.33333333299</v>
      </c>
      <c r="EA74" s="56">
        <v>194794</v>
      </c>
      <c r="EB74" s="56">
        <v>196443.66666666701</v>
      </c>
      <c r="EC74" s="56">
        <v>199770.66666666701</v>
      </c>
      <c r="ED74" s="56">
        <v>197410.66666666701</v>
      </c>
      <c r="EE74" s="56">
        <v>195858</v>
      </c>
      <c r="EF74" s="56">
        <v>200686</v>
      </c>
      <c r="EG74" s="56">
        <v>199340</v>
      </c>
      <c r="EH74" s="56">
        <v>197322.33333333299</v>
      </c>
      <c r="EI74" s="56">
        <v>202356.33333333299</v>
      </c>
      <c r="EJ74" s="56">
        <v>202328</v>
      </c>
      <c r="EK74" s="56">
        <v>204931</v>
      </c>
      <c r="EL74" s="56">
        <v>207202</v>
      </c>
      <c r="EM74" s="56">
        <v>215946</v>
      </c>
      <c r="EN74" s="56">
        <v>219407.66666666701</v>
      </c>
      <c r="EO74" s="56">
        <v>222763.66666666701</v>
      </c>
      <c r="EP74" s="56">
        <v>230117.66666666701</v>
      </c>
      <c r="EQ74" s="56">
        <v>238436</v>
      </c>
      <c r="ER74" s="56">
        <v>238965</v>
      </c>
      <c r="ES74" s="56">
        <v>242956.33333333299</v>
      </c>
      <c r="ET74" s="56">
        <v>258254.33333333299</v>
      </c>
      <c r="EU74" s="56">
        <v>266203.66666666698</v>
      </c>
      <c r="EV74" s="56">
        <v>271640.33333333302</v>
      </c>
      <c r="EW74" s="56">
        <v>276454.66666666698</v>
      </c>
      <c r="EX74" s="56">
        <v>278038.33333333302</v>
      </c>
      <c r="EY74" s="56">
        <v>283074.33333333302</v>
      </c>
      <c r="EZ74" s="56">
        <v>287093.66666666698</v>
      </c>
      <c r="FA74" s="56">
        <v>288334</v>
      </c>
      <c r="FB74" s="56">
        <v>289591.33333333302</v>
      </c>
      <c r="FC74" s="56">
        <v>292223.66666666698</v>
      </c>
      <c r="FD74" s="56">
        <v>287368</v>
      </c>
      <c r="FE74" s="56">
        <v>274301</v>
      </c>
      <c r="FF74" s="56">
        <v>268022</v>
      </c>
      <c r="FG74" s="56">
        <v>274526.66666666698</v>
      </c>
      <c r="FH74" s="56">
        <v>277232.33333333302</v>
      </c>
      <c r="FI74" s="56">
        <v>269906.33333333302</v>
      </c>
      <c r="FJ74" s="56">
        <v>258077</v>
      </c>
      <c r="FK74" s="56">
        <v>251739</v>
      </c>
      <c r="FL74" s="56">
        <v>253215.33333333299</v>
      </c>
      <c r="FM74" s="56">
        <v>258046</v>
      </c>
      <c r="FN74" s="56">
        <v>254528.33333333299</v>
      </c>
      <c r="FO74" s="56">
        <v>254598.66666666701</v>
      </c>
      <c r="FP74" s="56">
        <v>252248.66666666701</v>
      </c>
      <c r="FQ74" s="56">
        <v>246424.33333333299</v>
      </c>
      <c r="FR74" s="56">
        <v>242924.33333333299</v>
      </c>
      <c r="FS74" s="56">
        <v>245991.66666666701</v>
      </c>
      <c r="FT74" s="56">
        <v>249225</v>
      </c>
      <c r="FU74" s="56">
        <v>247543.33333333299</v>
      </c>
      <c r="FV74" s="56">
        <v>242281</v>
      </c>
      <c r="FW74" s="56">
        <v>251080</v>
      </c>
      <c r="FX74" s="56">
        <v>258128</v>
      </c>
      <c r="FY74" s="56">
        <v>260687.66666666701</v>
      </c>
      <c r="FZ74" s="56">
        <v>259584</v>
      </c>
      <c r="GA74" s="56">
        <v>273165.33333333302</v>
      </c>
      <c r="GB74" s="56">
        <v>279160.66666666698</v>
      </c>
      <c r="GC74" s="56">
        <v>269714.66666666698</v>
      </c>
      <c r="GD74" s="56">
        <v>278853</v>
      </c>
      <c r="GE74" s="56">
        <v>273154</v>
      </c>
      <c r="GF74" s="56">
        <v>272552.66666666698</v>
      </c>
      <c r="GG74" s="56">
        <v>276613</v>
      </c>
      <c r="GH74" s="56">
        <v>272767.66666666698</v>
      </c>
      <c r="GI74" s="56">
        <v>272875</v>
      </c>
      <c r="GJ74" s="56">
        <v>275357.66666666698</v>
      </c>
      <c r="GK74" s="56">
        <v>281739</v>
      </c>
      <c r="GL74" s="56">
        <v>280550</v>
      </c>
      <c r="GM74" s="56">
        <v>290391.33333333302</v>
      </c>
      <c r="GN74" s="56">
        <v>293454</v>
      </c>
      <c r="GO74" s="56">
        <v>286493.66666666698</v>
      </c>
      <c r="GP74" s="56">
        <v>300642.33333333302</v>
      </c>
      <c r="GQ74" s="56">
        <v>320820.33333333302</v>
      </c>
      <c r="GR74" s="56">
        <v>324029.66666666698</v>
      </c>
      <c r="GS74" s="56">
        <v>324382</v>
      </c>
      <c r="GT74" s="56">
        <v>343616.66666666698</v>
      </c>
      <c r="GU74" s="56">
        <v>342816</v>
      </c>
      <c r="GV74" s="56">
        <v>335700</v>
      </c>
      <c r="GW74" s="56">
        <v>341450.33333333302</v>
      </c>
      <c r="GX74" s="56">
        <v>338111.33333333302</v>
      </c>
      <c r="GY74" s="56">
        <v>334562.66666666698</v>
      </c>
      <c r="GZ74" s="56">
        <v>330245.33333333302</v>
      </c>
      <c r="HA74" s="56">
        <v>329422</v>
      </c>
      <c r="HB74">
        <v>339538.66666666698</v>
      </c>
      <c r="HC74">
        <v>347441.33333333302</v>
      </c>
      <c r="HD74">
        <v>362214.33333333302</v>
      </c>
      <c r="HE74">
        <v>368624.33333333302</v>
      </c>
      <c r="HF74">
        <v>388408.33333333302</v>
      </c>
      <c r="HG74">
        <v>415585.33333333302</v>
      </c>
      <c r="HH74">
        <v>429322</v>
      </c>
      <c r="HI74">
        <v>451322.66666666698</v>
      </c>
      <c r="HJ74">
        <v>455254</v>
      </c>
      <c r="HK74">
        <v>457983.66666666698</v>
      </c>
      <c r="HL74">
        <v>467739</v>
      </c>
      <c r="HM74">
        <v>471235</v>
      </c>
      <c r="HN74">
        <v>468903.33333333302</v>
      </c>
    </row>
    <row r="75" spans="1:223" x14ac:dyDescent="0.35">
      <c r="A75" s="56" t="s">
        <v>2310</v>
      </c>
      <c r="B75" s="56">
        <v>1.44276850123595E-2</v>
      </c>
      <c r="C75" s="56">
        <v>1.44276850123595E-2</v>
      </c>
      <c r="D75" s="56">
        <v>8.2052812173654104E-3</v>
      </c>
      <c r="E75" s="56">
        <v>1.30709282825294E-2</v>
      </c>
      <c r="F75" s="56">
        <v>1.5141925118068E-2</v>
      </c>
      <c r="G75" s="56">
        <v>1.3429256594724E-2</v>
      </c>
      <c r="H75" s="56">
        <v>1.00804543303361E-2</v>
      </c>
      <c r="I75" s="56">
        <v>8.2931171812772302E-3</v>
      </c>
      <c r="J75" s="56">
        <v>1.60315985130111E-2</v>
      </c>
      <c r="K75" s="56">
        <v>6.1285158929795802E-3</v>
      </c>
      <c r="L75" s="56">
        <v>9.0458657211691697E-3</v>
      </c>
      <c r="M75" s="56">
        <v>1.13523740877557E-2</v>
      </c>
      <c r="N75" s="56">
        <v>1.2694877505567999E-2</v>
      </c>
      <c r="O75" s="56">
        <v>1.6538376951836398E-2</v>
      </c>
      <c r="P75" s="56">
        <v>1.9125091947557401E-2</v>
      </c>
      <c r="Q75" s="56">
        <v>1.7322634059355298E-2</v>
      </c>
      <c r="R75" s="56">
        <v>2.02412253244857E-2</v>
      </c>
      <c r="S75" s="56">
        <v>2.2212222858545301E-2</v>
      </c>
      <c r="T75" s="56">
        <v>3.08135579655049E-2</v>
      </c>
      <c r="U75" s="56">
        <v>3.0358321363406899E-2</v>
      </c>
      <c r="V75" s="56">
        <v>2.2606533288120199E-2</v>
      </c>
      <c r="W75" s="56">
        <v>1.44799381010281E-2</v>
      </c>
      <c r="X75" s="56">
        <v>1.7687223069659402E-2</v>
      </c>
      <c r="Y75" s="56">
        <v>1.6701759394739599E-2</v>
      </c>
      <c r="Z75" s="56">
        <v>1.09164940854365E-2</v>
      </c>
      <c r="AA75" s="56">
        <v>0.01</v>
      </c>
      <c r="AB75" s="56">
        <v>1.27544004400439E-2</v>
      </c>
      <c r="AC75" s="56">
        <v>1.7006687260260101E-2</v>
      </c>
      <c r="AD75" s="56">
        <v>1.6121495327102699E-2</v>
      </c>
      <c r="AE75" s="56">
        <v>1.5832867982787501E-2</v>
      </c>
      <c r="AF75" s="56">
        <v>1.3775262732417E-2</v>
      </c>
      <c r="AG75" s="56">
        <v>1.6713980415297799E-2</v>
      </c>
      <c r="AH75" s="56">
        <v>1.6376470588235201E-2</v>
      </c>
      <c r="AI75" s="56">
        <v>1.9940117912152298E-2</v>
      </c>
      <c r="AJ75" s="56">
        <v>1.7643676421632299E-2</v>
      </c>
      <c r="AK75" s="56">
        <v>1.97763635282222E-2</v>
      </c>
      <c r="AL75" s="56">
        <v>1.8663789332477899E-2</v>
      </c>
      <c r="AM75" s="56">
        <v>2.4161919212161199E-2</v>
      </c>
      <c r="AN75" s="56">
        <v>2.08805031446542E-2</v>
      </c>
      <c r="AO75" s="56">
        <v>1.8235584031542702E-2</v>
      </c>
      <c r="AP75" s="56">
        <v>2.1861890932558699E-2</v>
      </c>
      <c r="AQ75" s="56">
        <v>2.3736217467961399E-2</v>
      </c>
      <c r="AR75" s="56">
        <v>2.22861990077887E-2</v>
      </c>
      <c r="AS75" s="56">
        <v>2.65275333165702E-2</v>
      </c>
      <c r="AT75" s="56">
        <v>2.6503368034292499E-2</v>
      </c>
      <c r="AU75" s="56">
        <v>1.8779678812609099E-2</v>
      </c>
      <c r="AV75" s="56">
        <v>1.94406708202557E-2</v>
      </c>
      <c r="AW75" s="56">
        <v>1.6519621358330999E-2</v>
      </c>
      <c r="AX75" s="56">
        <v>1.4329950500644201E-2</v>
      </c>
      <c r="AY75" s="56">
        <v>1.3280745147848501E-2</v>
      </c>
      <c r="AZ75" s="56">
        <v>1.38763661953247E-2</v>
      </c>
      <c r="BA75" s="56">
        <v>1.01292729481173E-2</v>
      </c>
      <c r="BB75" s="56">
        <v>7.9878035687444005E-3</v>
      </c>
      <c r="BC75" s="56">
        <v>7.4132458513516096E-3</v>
      </c>
      <c r="BD75" s="56">
        <v>1.0636273286671801E-2</v>
      </c>
      <c r="BE75" s="56">
        <v>7.4695568481399901E-3</v>
      </c>
      <c r="BF75" s="56">
        <v>9.8648003156733798E-3</v>
      </c>
      <c r="BG75" s="56">
        <v>8.9869617077285007E-3</v>
      </c>
      <c r="BH75" s="56">
        <v>9.0292073456574896E-3</v>
      </c>
      <c r="BI75" s="56">
        <v>6.9890518321011896E-3</v>
      </c>
      <c r="BJ75" s="56">
        <v>1.02503410093879E-2</v>
      </c>
      <c r="BK75" s="56">
        <v>5.8971864265431303E-3</v>
      </c>
      <c r="BL75" s="56">
        <v>6.6521910777734804E-3</v>
      </c>
      <c r="BM75" s="56">
        <v>5.1963841010256298E-3</v>
      </c>
      <c r="BN75" s="56">
        <v>4.9354297530335199E-3</v>
      </c>
      <c r="BO75" s="56">
        <v>3.4941279239055802E-3</v>
      </c>
      <c r="BP75" s="56">
        <v>4.7586807234742999E-3</v>
      </c>
      <c r="BQ75" s="56">
        <v>5.9490575845671002E-3</v>
      </c>
      <c r="BR75" s="56">
        <v>5.8181818181819401E-3</v>
      </c>
      <c r="BS75" s="56">
        <v>6.7930129010160796E-3</v>
      </c>
      <c r="BT75" s="56">
        <v>7.7299616336867797E-3</v>
      </c>
      <c r="BU75" s="56">
        <v>7.5018754688671602E-3</v>
      </c>
      <c r="BV75" s="56">
        <v>7.7252419955324801E-3</v>
      </c>
      <c r="BW75" s="56">
        <v>9.9935346818140793E-3</v>
      </c>
      <c r="BX75" s="56">
        <v>1.22357158533908E-2</v>
      </c>
      <c r="BY75" s="56">
        <v>9.1968560845605597E-3</v>
      </c>
      <c r="BZ75" s="56">
        <v>9.6322555233287997E-3</v>
      </c>
      <c r="CA75" s="56">
        <v>1.0817137182579199E-2</v>
      </c>
      <c r="CB75" s="56">
        <v>7.4207922529032598E-3</v>
      </c>
      <c r="CC75" s="56">
        <v>6.8262951676099099E-3</v>
      </c>
      <c r="CD75" s="56">
        <v>1.0896449141256001E-2</v>
      </c>
      <c r="CE75" s="56">
        <v>1.11896247882697E-2</v>
      </c>
      <c r="CF75" s="56">
        <v>8.6462158000710793E-3</v>
      </c>
      <c r="CG75" s="56">
        <v>7.6326914044151399E-3</v>
      </c>
      <c r="CH75" s="56">
        <v>9.7224765678325404E-3</v>
      </c>
      <c r="CI75" s="56">
        <v>7.2051573758058502E-3</v>
      </c>
      <c r="CJ75" s="56">
        <v>7.6774489261393101E-3</v>
      </c>
      <c r="CK75" s="56">
        <v>5.8157480059131102E-3</v>
      </c>
      <c r="CL75" s="56">
        <v>3.9893402245012597E-3</v>
      </c>
      <c r="CM75" s="56">
        <v>5.9682764389821204E-3</v>
      </c>
      <c r="CN75" s="56">
        <v>4.7974669374570801E-3</v>
      </c>
      <c r="CO75" s="56">
        <v>7.0345200770296499E-3</v>
      </c>
      <c r="CP75" s="56">
        <v>5.9581193204267802E-3</v>
      </c>
      <c r="CQ75" s="56">
        <v>5.8914095393702796E-3</v>
      </c>
      <c r="CR75" s="56">
        <v>5.0291283364831702E-3</v>
      </c>
      <c r="CS75" s="56">
        <v>5.8742171595518302E-3</v>
      </c>
      <c r="CT75" s="56">
        <v>5.1137855917933201E-3</v>
      </c>
      <c r="CU75" s="56">
        <v>4.7803498416796302E-3</v>
      </c>
      <c r="CV75" s="56">
        <v>5.3236243479324302E-3</v>
      </c>
      <c r="CW75" s="56">
        <v>5.5693351796339803E-3</v>
      </c>
      <c r="CX75" s="56">
        <v>5.7049468093155501E-3</v>
      </c>
      <c r="CY75" s="56">
        <v>4.8901594944328296E-3</v>
      </c>
      <c r="CZ75" s="56">
        <v>4.4770532305158399E-3</v>
      </c>
      <c r="DA75" s="56">
        <v>4.7254188778247403E-3</v>
      </c>
      <c r="DB75" s="56">
        <v>4.6141748638746103E-3</v>
      </c>
      <c r="DC75" s="56">
        <v>4.0760869565217303E-3</v>
      </c>
      <c r="DD75" s="56">
        <v>4.8537977290110702E-3</v>
      </c>
      <c r="DE75" s="56">
        <v>4.2302175122221897E-3</v>
      </c>
      <c r="DF75" s="56">
        <v>4.4893378226713602E-3</v>
      </c>
      <c r="DG75" s="56">
        <v>4.9771457592684403E-3</v>
      </c>
      <c r="DH75" s="56">
        <v>2.9743856305408699E-3</v>
      </c>
      <c r="DI75" s="56">
        <v>3.5845905792928302E-3</v>
      </c>
      <c r="DJ75" s="56">
        <v>1.00411687920476E-3</v>
      </c>
      <c r="DK75" s="56">
        <v>2.5937549259849001E-3</v>
      </c>
      <c r="DL75" s="56">
        <v>3.8734206163169001E-3</v>
      </c>
      <c r="DM75" s="56">
        <v>2.6909660425715699E-3</v>
      </c>
      <c r="DN75" s="56">
        <v>2.7121435874131201E-3</v>
      </c>
      <c r="DO75" s="56">
        <v>4.5174537987679999E-3</v>
      </c>
      <c r="DP75" s="56">
        <v>3.8486480390220699E-3</v>
      </c>
      <c r="DQ75" s="56">
        <v>5.2522926116815903E-3</v>
      </c>
      <c r="DR75" s="56">
        <v>6.6637794945587601E-3</v>
      </c>
      <c r="DS75" s="56">
        <v>6.0090482666739203E-3</v>
      </c>
      <c r="DT75" s="56">
        <v>6.2628464223144498E-3</v>
      </c>
      <c r="DU75" s="56">
        <v>5.4287476866132804E-3</v>
      </c>
      <c r="DV75" s="56">
        <v>6.8447389591088604E-3</v>
      </c>
      <c r="DW75" s="56">
        <v>6.6627845564235502E-3</v>
      </c>
      <c r="DX75" s="56">
        <v>3.0268379632745201E-3</v>
      </c>
      <c r="DY75" s="56">
        <v>3.2322961373389999E-3</v>
      </c>
      <c r="DZ75" s="56">
        <v>2.6336546302856401E-3</v>
      </c>
      <c r="EA75" s="56">
        <v>3.96010560281601E-3</v>
      </c>
      <c r="EB75" s="56">
        <v>4.4890098944152497E-3</v>
      </c>
      <c r="EC75" s="56">
        <v>5.8175664061983498E-3</v>
      </c>
      <c r="ED75" s="56">
        <v>5.3764147595074504E-3</v>
      </c>
      <c r="EE75" s="56">
        <v>3.4517925786459202E-3</v>
      </c>
      <c r="EF75" s="56">
        <v>5.7201678263363301E-3</v>
      </c>
      <c r="EG75" s="56">
        <v>5.8042365744639399E-3</v>
      </c>
      <c r="EH75" s="56">
        <v>7.1876650393518596E-3</v>
      </c>
      <c r="EI75" s="56">
        <v>8.1083500658643004E-3</v>
      </c>
      <c r="EJ75" s="56">
        <v>6.3177925784965198E-3</v>
      </c>
      <c r="EK75" s="56">
        <v>7.72789733116519E-3</v>
      </c>
      <c r="EL75" s="56">
        <v>7.6811449159326396E-3</v>
      </c>
      <c r="EM75" s="56">
        <v>7.2873991309745402E-3</v>
      </c>
      <c r="EN75" s="56">
        <v>9.46547197949155E-3</v>
      </c>
      <c r="EO75" s="56">
        <v>7.9604419754593092E-3</v>
      </c>
      <c r="EP75" s="56">
        <v>7.00122339716813E-3</v>
      </c>
      <c r="EQ75" s="56">
        <v>8.85307030733129E-3</v>
      </c>
      <c r="ER75" s="56">
        <v>7.3326894874272703E-3</v>
      </c>
      <c r="ES75" s="56">
        <v>3.7876097815021702E-3</v>
      </c>
      <c r="ET75" s="56">
        <v>1.0011084121406499E-2</v>
      </c>
      <c r="EU75" s="56">
        <v>6.3744089662014503E-3</v>
      </c>
      <c r="EV75" s="56">
        <v>4.2574912123989296E-3</v>
      </c>
      <c r="EW75" s="56">
        <v>4.7823676185194701E-3</v>
      </c>
      <c r="EX75" s="56">
        <v>4.3342300705893101E-3</v>
      </c>
      <c r="EY75" s="56">
        <v>3.6515985759910702E-3</v>
      </c>
      <c r="EZ75" s="56">
        <v>7.78986746960486E-3</v>
      </c>
      <c r="FA75" s="56">
        <v>1.69758151220556E-3</v>
      </c>
      <c r="FB75" s="56">
        <v>2.8245076883104398E-4</v>
      </c>
      <c r="FC75" s="56">
        <v>-1.3327911809885001E-3</v>
      </c>
      <c r="FD75" s="56">
        <v>6.3335519916751803E-4</v>
      </c>
      <c r="FE75" s="56">
        <v>3.6620928182291598E-3</v>
      </c>
      <c r="FF75" s="56">
        <v>2.4775332777764399E-3</v>
      </c>
      <c r="FG75" s="56">
        <v>4.6395111101125196E-3</v>
      </c>
      <c r="FH75" s="56">
        <v>3.6229048092943899E-3</v>
      </c>
      <c r="FI75" s="56">
        <v>5.7378419029581202E-3</v>
      </c>
      <c r="FJ75" s="56">
        <v>4.8742660906169197E-3</v>
      </c>
      <c r="FK75" s="56">
        <v>7.1987652959983901E-3</v>
      </c>
      <c r="FL75" s="56">
        <v>5.22093188708772E-3</v>
      </c>
      <c r="FM75" s="56">
        <v>1.20862369337971E-3</v>
      </c>
      <c r="FN75" s="56">
        <v>5.9161944948942198E-3</v>
      </c>
      <c r="FO75" s="56">
        <v>4.1731985512729599E-3</v>
      </c>
      <c r="FP75" s="56">
        <v>6.2230165480561296E-3</v>
      </c>
      <c r="FQ75" s="56">
        <v>4.3869504274600696E-3</v>
      </c>
      <c r="FR75" s="56">
        <v>3.5688033323033599E-3</v>
      </c>
      <c r="FS75" s="56">
        <v>2.8661203345932101E-3</v>
      </c>
      <c r="FT75" s="56">
        <v>5.4512352604949603E-3</v>
      </c>
      <c r="FU75" s="56">
        <v>5.1374369663854703E-3</v>
      </c>
      <c r="FV75" s="56">
        <v>3.8019627763754599E-3</v>
      </c>
      <c r="FW75" s="56">
        <v>5.2483305509181096E-3</v>
      </c>
      <c r="FX75" s="56">
        <v>4.34904455954244E-3</v>
      </c>
      <c r="FY75" s="56">
        <v>3.92716148901462E-4</v>
      </c>
      <c r="FZ75" s="56">
        <v>-5.9917355371896797E-4</v>
      </c>
      <c r="GA75" s="56">
        <v>5.7885923383846896E-3</v>
      </c>
      <c r="GB75" s="56">
        <v>2.4048837639514299E-3</v>
      </c>
      <c r="GC75" s="56">
        <v>-9.22736220472231E-5</v>
      </c>
      <c r="GD75" s="56">
        <v>-6.04960677555888E-4</v>
      </c>
      <c r="GE75" s="56">
        <v>6.5662576435343602E-3</v>
      </c>
      <c r="GF75" s="56">
        <v>2.6909120561013902E-3</v>
      </c>
      <c r="GG75" s="56">
        <v>5.2047330541211698E-3</v>
      </c>
      <c r="GH75" s="56">
        <v>5.1069940536385703E-3</v>
      </c>
      <c r="GI75" s="56">
        <v>2.6864139894757799E-3</v>
      </c>
      <c r="GJ75" s="56">
        <v>5.19788070964111E-3</v>
      </c>
      <c r="GK75" s="56">
        <v>6.0494739153871303E-3</v>
      </c>
      <c r="GL75" s="56">
        <v>6.4298471919030896E-3</v>
      </c>
      <c r="GM75" s="56">
        <v>7.0197578577908502E-3</v>
      </c>
      <c r="GN75" s="56">
        <v>4.3665557078520498E-3</v>
      </c>
      <c r="GO75" s="56">
        <v>4.0843779853001498E-3</v>
      </c>
      <c r="GP75" s="56">
        <v>3.1746031746031599E-3</v>
      </c>
      <c r="GQ75" s="56">
        <v>5.0613556303953401E-3</v>
      </c>
      <c r="GR75" s="56">
        <v>3.28342400462178E-3</v>
      </c>
      <c r="GS75" s="56">
        <v>3.3302621981650101E-3</v>
      </c>
      <c r="GT75" s="56">
        <v>4.3809724228307499E-3</v>
      </c>
      <c r="GU75" s="56">
        <v>-3.33330158760403E-3</v>
      </c>
      <c r="GV75" s="56">
        <v>8.8197914974534903E-3</v>
      </c>
      <c r="GW75" s="56">
        <v>6.8103889215147496E-3</v>
      </c>
      <c r="GX75" s="56">
        <v>1.27195582023274E-2</v>
      </c>
      <c r="GY75" s="56">
        <v>1.5170235496307499E-2</v>
      </c>
      <c r="GZ75" s="56">
        <v>1.51265579531104E-2</v>
      </c>
      <c r="HA75" s="56">
        <v>1.7172837169050902E-2</v>
      </c>
      <c r="HB75" s="56">
        <v>2.0596263603814401E-2</v>
      </c>
      <c r="HC75">
        <v>2.2577283779090102E-2</v>
      </c>
      <c r="HD75">
        <v>1.1149796195652199E-2</v>
      </c>
      <c r="HE75">
        <v>9.2380304519077399E-3</v>
      </c>
      <c r="HF75">
        <v>8.9371156582593904E-3</v>
      </c>
      <c r="HG75">
        <v>4.6351662309169796E-3</v>
      </c>
      <c r="HH75">
        <v>8.0125442290799303E-3</v>
      </c>
      <c r="HI75">
        <v>3.7626745938021998E-3</v>
      </c>
      <c r="HJ75">
        <v>7.4727985265361499E-3</v>
      </c>
      <c r="HK75">
        <v>6.2334901101732702E-3</v>
      </c>
      <c r="HL75">
        <v>4.8102319476237597E-3</v>
      </c>
      <c r="HM75">
        <v>5.7908445711827303E-3</v>
      </c>
      <c r="HN75">
        <v>9.2737784113408103E-3</v>
      </c>
      <c r="HO75">
        <v>4.9120769611035201E-3</v>
      </c>
    </row>
    <row r="76" spans="1:223" x14ac:dyDescent="0.35">
      <c r="A76" s="56" t="s">
        <v>2311</v>
      </c>
      <c r="B76" s="56">
        <v>1.1057395597613699E-2</v>
      </c>
      <c r="C76" s="56">
        <v>1.1057395597613699E-2</v>
      </c>
      <c r="D76" s="56">
        <v>9.7665191515337001E-3</v>
      </c>
      <c r="E76" s="56">
        <v>1.29464510604E-2</v>
      </c>
      <c r="F76" s="56">
        <v>9.4987069822955999E-3</v>
      </c>
      <c r="G76" s="56">
        <v>1.1379870929602499E-2</v>
      </c>
      <c r="H76" s="56">
        <v>9.8392596200680398E-3</v>
      </c>
      <c r="I76" s="56">
        <v>6.1740304842754501E-3</v>
      </c>
      <c r="J76" s="56">
        <v>1.05465004793863E-2</v>
      </c>
      <c r="K76" s="56">
        <v>5.78747628083498E-3</v>
      </c>
      <c r="L76" s="56">
        <v>8.7727572870483998E-3</v>
      </c>
      <c r="M76" s="56">
        <v>8.1354030297362493E-3</v>
      </c>
      <c r="N76" s="56">
        <v>1.2104628513125E-2</v>
      </c>
      <c r="O76" s="56">
        <v>1.9199926682857499E-2</v>
      </c>
      <c r="P76" s="56">
        <v>1.8208794173185699E-2</v>
      </c>
      <c r="Q76" s="56">
        <v>2.04442089459973E-2</v>
      </c>
      <c r="R76" s="56">
        <v>2.977066205106E-2</v>
      </c>
      <c r="S76" s="56">
        <v>2.83217077065301E-2</v>
      </c>
      <c r="T76" s="56">
        <v>2.69695979078131E-2</v>
      </c>
      <c r="U76" s="56">
        <v>2.5425752029285299E-2</v>
      </c>
      <c r="V76" s="56">
        <v>1.88196034302122E-2</v>
      </c>
      <c r="W76" s="56">
        <v>1.22638634978671E-2</v>
      </c>
      <c r="X76" s="56">
        <v>1.8737301527579402E-2</v>
      </c>
      <c r="Y76" s="56">
        <v>1.6767617077854999E-2</v>
      </c>
      <c r="Z76" s="56">
        <v>1.1006175081729E-2</v>
      </c>
      <c r="AA76" s="56">
        <v>8.3713577408113197E-3</v>
      </c>
      <c r="AB76" s="56">
        <v>1.51785078030358E-2</v>
      </c>
      <c r="AC76" s="56">
        <v>1.57939070616313E-2</v>
      </c>
      <c r="AD76" s="56">
        <v>1.8070624006633999E-2</v>
      </c>
      <c r="AE76" s="56">
        <v>1.71050398778212E-2</v>
      </c>
      <c r="AF76" s="56">
        <v>1.50488838466416E-2</v>
      </c>
      <c r="AG76" s="56">
        <v>1.42011834319526E-2</v>
      </c>
      <c r="AH76" s="56">
        <v>1.64008816284196E-2</v>
      </c>
      <c r="AI76" s="56">
        <v>2.0537024044901001E-2</v>
      </c>
      <c r="AJ76" s="56">
        <v>1.75614024123492E-2</v>
      </c>
      <c r="AK76" s="56">
        <v>1.8885886254759801E-2</v>
      </c>
      <c r="AL76" s="56">
        <v>1.8837216311522201E-2</v>
      </c>
      <c r="AM76" s="56">
        <v>2.7334043308484102E-2</v>
      </c>
      <c r="AN76" s="56">
        <v>2.4821469707440699E-2</v>
      </c>
      <c r="AO76" s="56">
        <v>2.41921888170833E-2</v>
      </c>
      <c r="AP76" s="56">
        <v>3.00128940221118E-2</v>
      </c>
      <c r="AQ76" s="56">
        <v>2.44772939139699E-2</v>
      </c>
      <c r="AR76" s="56">
        <v>2.3398502495840301E-2</v>
      </c>
      <c r="AS76" s="56">
        <v>2.4743420384107501E-2</v>
      </c>
      <c r="AT76" s="56">
        <v>2.5930884029947001E-2</v>
      </c>
      <c r="AU76" s="56">
        <v>1.6769766093176298E-2</v>
      </c>
      <c r="AV76" s="56">
        <v>1.6493179333618501E-2</v>
      </c>
      <c r="AW76" s="56">
        <v>1.5313756663237799E-2</v>
      </c>
      <c r="AX76" s="56">
        <v>1.27109862527921E-2</v>
      </c>
      <c r="AY76" s="56">
        <v>9.6182268810114397E-3</v>
      </c>
      <c r="AZ76" s="56">
        <v>1.5787577136165101E-2</v>
      </c>
      <c r="BA76" s="56">
        <v>1.10413941422964E-2</v>
      </c>
      <c r="BB76" s="56">
        <v>8.2673625578386593E-3</v>
      </c>
      <c r="BC76" s="56">
        <v>9.1348036017226998E-3</v>
      </c>
      <c r="BD76" s="56">
        <v>1.31471184102763E-2</v>
      </c>
      <c r="BE76" s="56">
        <v>6.5946221919672698E-3</v>
      </c>
      <c r="BF76" s="56">
        <v>1.0820406610592101E-2</v>
      </c>
      <c r="BG76" s="56">
        <v>9.6801170813296498E-3</v>
      </c>
      <c r="BH76" s="56">
        <v>7.7236866626633196E-3</v>
      </c>
      <c r="BI76" s="56">
        <v>6.1644680064112398E-3</v>
      </c>
      <c r="BJ76" s="56">
        <v>1.18041089735734E-2</v>
      </c>
      <c r="BK76" s="56">
        <v>8.0938155982561693E-3</v>
      </c>
      <c r="BL76" s="56">
        <v>7.8486334968466097E-3</v>
      </c>
      <c r="BM76" s="56">
        <v>6.9730019667442198E-3</v>
      </c>
      <c r="BN76" s="56">
        <v>7.08254419191912E-3</v>
      </c>
      <c r="BO76" s="56">
        <v>-1.0578486492839299E-3</v>
      </c>
      <c r="BP76" s="56">
        <v>5.2948443904063903E-3</v>
      </c>
      <c r="BQ76" s="56">
        <v>6.0472465520942098E-3</v>
      </c>
      <c r="BR76" s="56">
        <v>9.4623155527115994E-3</v>
      </c>
      <c r="BS76" s="56">
        <v>9.6617429553793599E-3</v>
      </c>
      <c r="BT76" s="56">
        <v>9.4741648276386297E-3</v>
      </c>
      <c r="BU76" s="56">
        <v>8.6314123101278693E-3</v>
      </c>
      <c r="BV76" s="56">
        <v>7.9035874439461508E-3</v>
      </c>
      <c r="BW76" s="56">
        <v>1.10486995532322E-2</v>
      </c>
      <c r="BX76" s="56">
        <v>1.2321458039201301E-2</v>
      </c>
      <c r="BY76" s="56">
        <v>1.0106681639528299E-2</v>
      </c>
      <c r="BZ76" s="56">
        <v>1.14938406641683E-2</v>
      </c>
      <c r="CA76" s="56">
        <v>1.34727885126751E-2</v>
      </c>
      <c r="CB76" s="56">
        <v>5.8947000174915899E-3</v>
      </c>
      <c r="CC76" s="56">
        <v>7.85991270627928E-3</v>
      </c>
      <c r="CD76" s="56">
        <v>1.4493003675011501E-2</v>
      </c>
      <c r="CE76" s="56">
        <v>9.0817871052228903E-3</v>
      </c>
      <c r="CF76" s="56">
        <v>1.27079365614415E-2</v>
      </c>
      <c r="CG76" s="56">
        <v>1.3230815317789101E-2</v>
      </c>
      <c r="CH76" s="56">
        <v>5.2560691173089103E-3</v>
      </c>
      <c r="CI76" s="56">
        <v>5.4573379954903096E-3</v>
      </c>
      <c r="CJ76" s="56">
        <v>6.7927717108684496E-3</v>
      </c>
      <c r="CK76" s="56">
        <v>7.2634535300384303E-3</v>
      </c>
      <c r="CL76" s="56">
        <v>6.2656239984615301E-3</v>
      </c>
      <c r="CM76" s="56">
        <v>6.64065610319287E-3</v>
      </c>
      <c r="CN76" s="56">
        <v>6.3753717648546999E-3</v>
      </c>
      <c r="CO76" s="56">
        <v>6.9794859702898603E-3</v>
      </c>
      <c r="CP76" s="56">
        <v>5.9632526264849998E-3</v>
      </c>
      <c r="CQ76" s="56">
        <v>6.7193246535590702E-3</v>
      </c>
      <c r="CR76" s="56">
        <v>4.3314733175079398E-3</v>
      </c>
      <c r="CS76" s="56">
        <v>5.7708541171055403E-3</v>
      </c>
      <c r="CT76" s="56">
        <v>3.58608902656754E-3</v>
      </c>
      <c r="CU76" s="56">
        <v>5.5803910835383599E-3</v>
      </c>
      <c r="CV76" s="56">
        <v>7.16737483555874E-3</v>
      </c>
      <c r="CW76" s="56">
        <v>4.69920578918126E-3</v>
      </c>
      <c r="CX76" s="56">
        <v>4.8864315600716203E-3</v>
      </c>
      <c r="CY76" s="56">
        <v>5.8292563237021299E-3</v>
      </c>
      <c r="CZ76" s="56">
        <v>4.0804861100844896E-3</v>
      </c>
      <c r="DA76" s="56">
        <v>4.40256202606193E-3</v>
      </c>
      <c r="DB76" s="56">
        <v>5.5560442137978496E-3</v>
      </c>
      <c r="DC76" s="56">
        <v>6.6916449200355999E-3</v>
      </c>
      <c r="DD76" s="56">
        <v>4.25766089323987E-3</v>
      </c>
      <c r="DE76" s="56">
        <v>6.82086926426906E-3</v>
      </c>
      <c r="DF76" s="56">
        <v>4.4114066371616599E-3</v>
      </c>
      <c r="DG76" s="56">
        <v>2.50973234274965E-3</v>
      </c>
      <c r="DH76" s="56">
        <v>2.63146665149439E-3</v>
      </c>
      <c r="DI76" s="56">
        <v>3.1494722505958101E-3</v>
      </c>
      <c r="DJ76" s="56">
        <v>7.0711356243924301E-5</v>
      </c>
      <c r="DK76" s="56">
        <v>1.8100827264371201E-3</v>
      </c>
      <c r="DL76" s="56">
        <v>3.0913428285079801E-3</v>
      </c>
      <c r="DM76" s="56">
        <v>2.6315048830598499E-3</v>
      </c>
      <c r="DN76" s="56">
        <v>1.9789751435108599E-3</v>
      </c>
      <c r="DO76" s="56">
        <v>5.6870710183500898E-3</v>
      </c>
      <c r="DP76" s="56">
        <v>5.5016992590115601E-3</v>
      </c>
      <c r="DQ76" s="56">
        <v>6.0672382984028302E-3</v>
      </c>
      <c r="DR76" s="56">
        <v>8.1234768480908902E-3</v>
      </c>
      <c r="DS76" s="56">
        <v>4.7665223507560297E-3</v>
      </c>
      <c r="DT76" s="56">
        <v>6.44301870378428E-3</v>
      </c>
      <c r="DU76" s="56">
        <v>5.6454444774587404E-3</v>
      </c>
      <c r="DV76" s="56">
        <v>7.4133763094279496E-3</v>
      </c>
      <c r="DW76" s="56">
        <v>4.67925131978886E-3</v>
      </c>
      <c r="DX76" s="56">
        <v>5.04226211801573E-4</v>
      </c>
      <c r="DY76" s="56">
        <v>4.11135130833795E-4</v>
      </c>
      <c r="DZ76" s="56">
        <v>2.0150599215187398E-3</v>
      </c>
      <c r="EA76" s="56">
        <v>7.4222057578321498E-3</v>
      </c>
      <c r="EB76" s="56">
        <v>5.17433843325232E-3</v>
      </c>
      <c r="EC76" s="56">
        <v>4.6642887939480904E-3</v>
      </c>
      <c r="ED76" s="56">
        <v>7.6466916354556201E-3</v>
      </c>
      <c r="EE76" s="56">
        <v>1.00665943936806E-3</v>
      </c>
      <c r="EF76" s="56">
        <v>6.5882777648849098E-3</v>
      </c>
      <c r="EG76" s="56">
        <v>4.9184737361187602E-3</v>
      </c>
      <c r="EH76" s="56">
        <v>7.7112303554813799E-3</v>
      </c>
      <c r="EI76" s="56">
        <v>6.7288963092255703E-3</v>
      </c>
      <c r="EJ76" s="56">
        <v>4.9124305852199504E-3</v>
      </c>
      <c r="EK76" s="56">
        <v>8.5516034256423196E-3</v>
      </c>
      <c r="EL76" s="56">
        <v>5.8138814166532899E-3</v>
      </c>
      <c r="EM76" s="56">
        <v>6.3102368803766903E-3</v>
      </c>
      <c r="EN76" s="56">
        <v>1.0802204531536999E-2</v>
      </c>
      <c r="EO76" s="56">
        <v>7.9605486356806292E-3</v>
      </c>
      <c r="EP76" s="56">
        <v>5.1929942660688998E-3</v>
      </c>
      <c r="EQ76" s="56">
        <v>8.7776993817343402E-3</v>
      </c>
      <c r="ER76" s="56">
        <v>7.1957797403829904E-3</v>
      </c>
      <c r="ES76" s="56">
        <v>-1.64779548504035E-3</v>
      </c>
      <c r="ET76" s="56">
        <v>9.1367805522151197E-3</v>
      </c>
      <c r="EU76" s="56">
        <v>8.4932883161794592E-3</v>
      </c>
      <c r="EV76" s="56">
        <v>5.6531208007042401E-3</v>
      </c>
      <c r="EW76" s="56">
        <v>1.0159885730083499E-2</v>
      </c>
      <c r="EX76" s="56">
        <v>8.1419481378428599E-3</v>
      </c>
      <c r="EY76" s="56">
        <v>9.7389376527010595E-3</v>
      </c>
      <c r="EZ76" s="56">
        <v>1.06643963750013E-2</v>
      </c>
      <c r="FA76" s="56">
        <v>-1.5960807350838501E-2</v>
      </c>
      <c r="FB76" s="56">
        <v>-6.7582027686105004E-3</v>
      </c>
      <c r="FC76" s="56">
        <v>3.9804493031378998E-3</v>
      </c>
      <c r="FD76" s="56">
        <v>6.89016400849418E-3</v>
      </c>
      <c r="FE76" s="56">
        <v>7.7180229297075797E-3</v>
      </c>
      <c r="FF76" s="56">
        <v>3.8628520538797101E-3</v>
      </c>
      <c r="FG76" s="56">
        <v>1.5525023010301E-3</v>
      </c>
      <c r="FH76" s="56">
        <v>1.91547549187865E-3</v>
      </c>
      <c r="FI76" s="56">
        <v>6.4095480163552897E-3</v>
      </c>
      <c r="FJ76" s="56">
        <v>8.4001317667727893E-3</v>
      </c>
      <c r="FK76" s="56">
        <v>9.8328523983230998E-3</v>
      </c>
      <c r="FL76" s="56">
        <v>4.6259354309992097E-3</v>
      </c>
      <c r="FM76" s="56">
        <v>3.30589157104977E-3</v>
      </c>
      <c r="FN76" s="56">
        <v>6.6220914683070599E-3</v>
      </c>
      <c r="FO76" s="56">
        <v>2.4124811358854398E-3</v>
      </c>
      <c r="FP76" s="56">
        <v>2.90497344175744E-3</v>
      </c>
      <c r="FQ76" s="56">
        <v>5.61340451398062E-3</v>
      </c>
      <c r="FR76" s="56">
        <v>3.5006202300107399E-3</v>
      </c>
      <c r="FS76" s="56">
        <v>5.1330937889559902E-4</v>
      </c>
      <c r="FT76" s="56">
        <v>4.1148385475562304E-3</v>
      </c>
      <c r="FU76" s="56">
        <v>3.6808792400497801E-3</v>
      </c>
      <c r="FV76" s="56">
        <v>4.5920169551394397E-3</v>
      </c>
      <c r="FW76" s="56">
        <v>4.4779515181601103E-3</v>
      </c>
      <c r="FX76" s="56">
        <v>2.72833036477271E-3</v>
      </c>
      <c r="FY76" s="56">
        <v>-1.3245169106926901E-3</v>
      </c>
      <c r="FZ76" s="56">
        <v>-4.4825990849740602E-3</v>
      </c>
      <c r="GA76" s="56">
        <v>4.9881750302078797E-3</v>
      </c>
      <c r="GB76" s="56">
        <v>2.5998849062809398E-3</v>
      </c>
      <c r="GC76" s="56">
        <v>-7.6871829037050698E-4</v>
      </c>
      <c r="GD76" s="56">
        <v>4.92358190583575E-4</v>
      </c>
      <c r="GE76" s="56">
        <v>6.3462445405892999E-3</v>
      </c>
      <c r="GF76" s="56">
        <v>3.4536507839482101E-3</v>
      </c>
      <c r="GG76" s="56">
        <v>4.57886614684866E-3</v>
      </c>
      <c r="GH76" s="56">
        <v>5.8314046914005298E-3</v>
      </c>
      <c r="GI76" s="56">
        <v>2.0095655319321E-3</v>
      </c>
      <c r="GJ76" s="56">
        <v>3.5297420881632599E-3</v>
      </c>
      <c r="GK76" s="56">
        <v>5.9954434629683204E-3</v>
      </c>
      <c r="GL76" s="56">
        <v>6.9927291509395096E-3</v>
      </c>
      <c r="GM76" s="56">
        <v>5.2475833497731498E-3</v>
      </c>
      <c r="GN76" s="56">
        <v>3.3558364078814002E-3</v>
      </c>
      <c r="GO76" s="56">
        <v>3.7944725878693601E-3</v>
      </c>
      <c r="GP76" s="56">
        <v>2.0362035034391401E-3</v>
      </c>
      <c r="GQ76" s="56">
        <v>5.5906116615298497E-3</v>
      </c>
      <c r="GR76" s="56">
        <v>2.4075184189662501E-3</v>
      </c>
      <c r="GS76" s="56">
        <v>3.9353749698576301E-3</v>
      </c>
      <c r="GT76" s="56">
        <v>3.0840771307514298E-3</v>
      </c>
      <c r="GU76" s="56">
        <v>-3.98452166583652E-3</v>
      </c>
      <c r="GV76" s="56">
        <v>8.1163211139745305E-3</v>
      </c>
      <c r="GW76" s="56">
        <v>4.8458485958486897E-3</v>
      </c>
      <c r="GX76" s="56">
        <v>1.1287260299981E-2</v>
      </c>
      <c r="GY76" s="56">
        <v>1.5573224192473501E-2</v>
      </c>
      <c r="GZ76" s="56">
        <v>1.3800051761748E-2</v>
      </c>
      <c r="HA76" s="56">
        <v>1.6502402421568099E-2</v>
      </c>
      <c r="HB76" s="56">
        <v>1.8781785076822401E-2</v>
      </c>
      <c r="HC76">
        <v>1.8373905005062401E-2</v>
      </c>
      <c r="HD76">
        <v>1.1601770523549401E-2</v>
      </c>
      <c r="HE76">
        <v>9.8962517305620796E-3</v>
      </c>
      <c r="HF76">
        <v>9.7146532173442192E-3</v>
      </c>
      <c r="HG76">
        <v>7.2242708682535E-3</v>
      </c>
      <c r="HH76">
        <v>6.6648915811020597E-3</v>
      </c>
      <c r="HI76">
        <v>4.1080151756858196E-3</v>
      </c>
      <c r="HJ76">
        <v>8.4540665130061806E-3</v>
      </c>
      <c r="HK76">
        <v>6.2690295248435399E-3</v>
      </c>
      <c r="HL76">
        <v>3.8288379639017699E-3</v>
      </c>
      <c r="HM76">
        <v>5.9072139122564602E-3</v>
      </c>
      <c r="HN76">
        <v>9.0216745127653705E-3</v>
      </c>
      <c r="HO76">
        <v>5.1591945923996603E-3</v>
      </c>
    </row>
    <row r="77" spans="1:223" x14ac:dyDescent="0.35">
      <c r="A77" s="56" t="s">
        <v>2312</v>
      </c>
      <c r="B77" s="56">
        <v>1.32039273219726E-2</v>
      </c>
      <c r="C77" s="56">
        <v>1.32039273219726E-2</v>
      </c>
      <c r="D77" s="56">
        <v>1.7097349075517999E-2</v>
      </c>
      <c r="E77" s="56">
        <v>1.27032798554454E-2</v>
      </c>
      <c r="F77" s="56">
        <v>3.1684238983509E-2</v>
      </c>
      <c r="G77" s="56">
        <v>1.8657303076358801E-2</v>
      </c>
      <c r="H77" s="56">
        <v>1.4508411791943201E-2</v>
      </c>
      <c r="I77" s="56">
        <v>2.0437141842892598E-2</v>
      </c>
      <c r="J77" s="56">
        <v>4.12980817016202E-2</v>
      </c>
      <c r="K77" s="56">
        <v>1.01656087433781E-2</v>
      </c>
      <c r="L77" s="56">
        <v>8.2207313616176093E-3</v>
      </c>
      <c r="M77" s="56">
        <v>2.17432052483599E-2</v>
      </c>
      <c r="N77" s="56">
        <v>1.6097963676389802E-2</v>
      </c>
      <c r="O77" s="56">
        <v>1.7377567140600202E-2</v>
      </c>
      <c r="P77" s="56">
        <v>2.06743566992014E-2</v>
      </c>
      <c r="Q77" s="56">
        <v>2.1385725462922799E-2</v>
      </c>
      <c r="R77" s="56">
        <v>1.02561920163418E-2</v>
      </c>
      <c r="S77" s="56">
        <v>1.8071527865537701E-2</v>
      </c>
      <c r="T77" s="56">
        <v>2.9212181396888401E-2</v>
      </c>
      <c r="U77" s="56">
        <v>3.3207365120205799E-2</v>
      </c>
      <c r="V77" s="56">
        <v>1.81712062256809E-2</v>
      </c>
      <c r="W77" s="56">
        <v>1.4483891924943501E-2</v>
      </c>
      <c r="X77" s="56">
        <v>1.34860242597754E-2</v>
      </c>
      <c r="Y77" s="56">
        <v>2.2970561998215899E-2</v>
      </c>
      <c r="Z77" s="56">
        <v>1.4606496620885199E-2</v>
      </c>
      <c r="AA77" s="56">
        <v>8.3798882681565007E-3</v>
      </c>
      <c r="AB77" s="56">
        <v>1.14709851551957E-2</v>
      </c>
      <c r="AC77" s="56">
        <v>2.6719567430918901E-2</v>
      </c>
      <c r="AD77" s="56">
        <v>1.4157718350317899E-2</v>
      </c>
      <c r="AE77" s="56">
        <v>1.1363636363636499E-2</v>
      </c>
      <c r="AF77" s="56">
        <v>4.9344847130996499E-3</v>
      </c>
      <c r="AG77" s="56">
        <v>2.8963869811884101E-2</v>
      </c>
      <c r="AH77" s="56">
        <v>1.1446443541626401E-2</v>
      </c>
      <c r="AI77" s="56">
        <v>1.9637221460677701E-2</v>
      </c>
      <c r="AJ77" s="56">
        <v>1.6726590589338799E-2</v>
      </c>
      <c r="AK77" s="56">
        <v>1.7250922509225001E-2</v>
      </c>
      <c r="AL77" s="56">
        <v>1.8439587678728001E-2</v>
      </c>
      <c r="AM77" s="56">
        <v>1.51078923154553E-2</v>
      </c>
      <c r="AN77" s="56">
        <v>2.3333333333333199E-2</v>
      </c>
      <c r="AO77" s="56">
        <v>2.2001257214698099E-2</v>
      </c>
      <c r="AP77" s="56">
        <v>1.97662715276226E-2</v>
      </c>
      <c r="AQ77" s="56">
        <v>3.8656614119259698E-2</v>
      </c>
      <c r="AR77" s="56">
        <v>1.0135937706216199E-2</v>
      </c>
      <c r="AS77" s="56">
        <v>3.01026940865976E-2</v>
      </c>
      <c r="AT77" s="56">
        <v>1.9989345780168099E-2</v>
      </c>
      <c r="AU77" s="56">
        <v>2.3253500460095802E-2</v>
      </c>
      <c r="AV77" s="56">
        <v>2.19230021388295E-2</v>
      </c>
      <c r="AW77" s="56">
        <v>1.91694810445702E-2</v>
      </c>
      <c r="AX77" s="56">
        <v>1.5961915429851599E-2</v>
      </c>
      <c r="AY77" s="56">
        <v>1.9822675486953299E-2</v>
      </c>
      <c r="AZ77" s="56">
        <v>8.3785670848441907E-3</v>
      </c>
      <c r="BA77" s="56">
        <v>1.18156842599002E-2</v>
      </c>
      <c r="BB77" s="56">
        <v>1.8763796909493399E-3</v>
      </c>
      <c r="BC77" s="56">
        <v>7.7117990525503704E-3</v>
      </c>
      <c r="BD77" s="56">
        <v>1.10856018366676E-2</v>
      </c>
      <c r="BE77" s="56">
        <v>6.5308593918949097E-3</v>
      </c>
      <c r="BF77" s="56">
        <v>1.29554829838432E-2</v>
      </c>
      <c r="BG77" s="56">
        <v>9.9688209217978496E-3</v>
      </c>
      <c r="BH77" s="56">
        <v>1.48686393514923E-2</v>
      </c>
      <c r="BI77" s="56">
        <v>1.23124676668391E-2</v>
      </c>
      <c r="BJ77" s="56">
        <v>-3.9860997547015399E-3</v>
      </c>
      <c r="BK77" s="56">
        <v>2.3601847101077898E-3</v>
      </c>
      <c r="BL77" s="56">
        <v>5.3439803439803103E-3</v>
      </c>
      <c r="BM77" s="56">
        <v>6.5579112441702704E-3</v>
      </c>
      <c r="BN77" s="56">
        <v>-2.52918681585501E-3</v>
      </c>
      <c r="BO77" s="56">
        <v>-2.4950302243499402E-3</v>
      </c>
      <c r="BP77" s="56">
        <v>1.42348754448407E-3</v>
      </c>
      <c r="BQ77" s="56">
        <v>1.1168646563102199E-3</v>
      </c>
      <c r="BR77" s="56">
        <v>-1.68356997971597E-3</v>
      </c>
      <c r="BS77" s="56">
        <v>4.73413657882449E-3</v>
      </c>
      <c r="BT77" s="56">
        <v>7.2396359959554504E-3</v>
      </c>
      <c r="BU77" s="56">
        <v>2.08801798907809E-3</v>
      </c>
      <c r="BV77" s="56">
        <v>1.3644013463696101E-2</v>
      </c>
      <c r="BW77" s="56">
        <v>9.8234933686478492E-3</v>
      </c>
      <c r="BX77" s="56">
        <v>5.7154041886864296E-3</v>
      </c>
      <c r="BY77" s="56">
        <v>8.0572963294538395E-3</v>
      </c>
      <c r="BZ77" s="56">
        <v>7.4136998996061597E-3</v>
      </c>
      <c r="CA77" s="56">
        <v>7.3399770026829599E-3</v>
      </c>
      <c r="CB77" s="56">
        <v>4.9844947967201403E-3</v>
      </c>
      <c r="CC77" s="56">
        <v>3.57785139611932E-3</v>
      </c>
      <c r="CD77" s="56">
        <v>7.0170143735617304E-3</v>
      </c>
      <c r="CE77" s="56">
        <v>1.7176787921926898E-2</v>
      </c>
      <c r="CF77" s="56">
        <v>1.34430878588665E-3</v>
      </c>
      <c r="CG77" s="56">
        <v>1.18986317493013E-2</v>
      </c>
      <c r="CH77" s="56">
        <v>8.9780637188086009E-3</v>
      </c>
      <c r="CI77" s="56">
        <v>4.9174126844029296E-3</v>
      </c>
      <c r="CJ77" s="56">
        <v>1.28696899085858E-2</v>
      </c>
      <c r="CK77" s="56">
        <v>1.01047639272316E-2</v>
      </c>
      <c r="CL77" s="56">
        <v>1.4716445627989099E-3</v>
      </c>
      <c r="CM77" s="56">
        <v>3.6387173521335E-3</v>
      </c>
      <c r="CN77" s="56">
        <v>8.7326349549423608E-3</v>
      </c>
      <c r="CO77" s="56">
        <v>6.2724633674315902E-3</v>
      </c>
      <c r="CP77" s="56">
        <v>2.5070833691078799E-3</v>
      </c>
      <c r="CQ77" s="56">
        <v>4.3849882667306196E-3</v>
      </c>
      <c r="CR77" s="56">
        <v>7.2479833552192598E-3</v>
      </c>
      <c r="CS77" s="56">
        <v>8.9566895804409404E-3</v>
      </c>
      <c r="CT77" s="56">
        <v>4.59800976657543E-3</v>
      </c>
      <c r="CU77" s="56">
        <v>8.3855341184331193E-3</v>
      </c>
      <c r="CV77" s="56">
        <v>5.7316083290539499E-3</v>
      </c>
      <c r="CW77" s="56">
        <v>8.21899757877231E-3</v>
      </c>
      <c r="CX77" s="56">
        <v>8.4297196628111398E-3</v>
      </c>
      <c r="CY77" s="56">
        <v>6.6582426127528302E-3</v>
      </c>
      <c r="CZ77" s="56">
        <v>5.1819308324883E-3</v>
      </c>
      <c r="DA77" s="56">
        <v>1.38006115816269E-2</v>
      </c>
      <c r="DB77" s="56">
        <v>2.3530154920012899E-3</v>
      </c>
      <c r="DC77" s="56">
        <v>-5.3566927148979097E-3</v>
      </c>
      <c r="DD77" s="56">
        <v>5.8132167522018099E-3</v>
      </c>
      <c r="DE77" s="56">
        <v>3.4173766516008E-3</v>
      </c>
      <c r="DF77" s="56">
        <v>3.4214326071944101E-3</v>
      </c>
      <c r="DG77" s="56">
        <v>6.5692745643945996E-3</v>
      </c>
      <c r="DH77" s="56">
        <v>2.3153183951269999E-3</v>
      </c>
      <c r="DI77" s="56">
        <v>6.9919228563011197E-3</v>
      </c>
      <c r="DJ77" s="56">
        <v>-4.18757890199206E-3</v>
      </c>
      <c r="DK77" s="56">
        <v>6.4469249559382397E-3</v>
      </c>
      <c r="DL77" s="56">
        <v>6.5285181031966601E-3</v>
      </c>
      <c r="DM77" s="56">
        <v>3.2201941273426499E-3</v>
      </c>
      <c r="DN77" s="56">
        <v>3.2250703582565902E-3</v>
      </c>
      <c r="DO77" s="56">
        <v>8.4310127829922994E-3</v>
      </c>
      <c r="DP77" s="56">
        <v>9.0672601236032602E-3</v>
      </c>
      <c r="DQ77" s="56">
        <v>1.22939826543083E-2</v>
      </c>
      <c r="DR77" s="56">
        <v>9.7451826117678202E-3</v>
      </c>
      <c r="DS77" s="56">
        <v>3.8342104879505201E-3</v>
      </c>
      <c r="DT77" s="56">
        <v>7.1598698733590397E-3</v>
      </c>
      <c r="DU77" s="56">
        <v>4.5134032213876001E-3</v>
      </c>
      <c r="DV77" s="56">
        <v>1.7226034279807E-3</v>
      </c>
      <c r="DW77" s="56">
        <v>5.24490556303925E-3</v>
      </c>
      <c r="DX77" s="56">
        <v>6.4007526943035097E-3</v>
      </c>
      <c r="DY77" s="56">
        <v>6.4875277986318203E-3</v>
      </c>
      <c r="DZ77" s="56">
        <v>6.4738582787979802E-3</v>
      </c>
      <c r="EA77" s="56">
        <v>9.4525623994965394E-3</v>
      </c>
      <c r="EB77" s="56">
        <v>8.5883281849539195E-3</v>
      </c>
      <c r="EC77" s="56">
        <v>1.8541154495886399E-2</v>
      </c>
      <c r="ED77" s="56">
        <v>1.0841277760547999E-2</v>
      </c>
      <c r="EE77" s="56">
        <v>7.1233242179682401E-3</v>
      </c>
      <c r="EF77" s="56">
        <v>9.0464774367873292E-3</v>
      </c>
      <c r="EG77" s="56">
        <v>7.4820823816648101E-3</v>
      </c>
      <c r="EH77" s="56">
        <v>8.5079216176777699E-3</v>
      </c>
      <c r="EI77" s="56">
        <v>8.68160971513454E-3</v>
      </c>
      <c r="EJ77" s="56">
        <v>9.1576264456882904E-3</v>
      </c>
      <c r="EK77" s="56">
        <v>9.7344908112497706E-3</v>
      </c>
      <c r="EL77" s="56">
        <v>1.3160044746666001E-2</v>
      </c>
      <c r="EM77" s="56">
        <v>9.0191797136689508E-3</v>
      </c>
      <c r="EN77" s="56">
        <v>1.04385673711778E-2</v>
      </c>
      <c r="EO77" s="56">
        <v>7.1791876566644798E-3</v>
      </c>
      <c r="EP77" s="56">
        <v>8.4207219832792592E-3</v>
      </c>
      <c r="EQ77" s="56">
        <v>6.9726485281962304E-3</v>
      </c>
      <c r="ER77" s="56">
        <v>7.4002688843677299E-3</v>
      </c>
      <c r="ES77" s="56">
        <v>5.2082718221866404E-3</v>
      </c>
      <c r="ET77" s="56">
        <v>8.55323448551348E-3</v>
      </c>
      <c r="EU77" s="56">
        <v>7.9914261084319503E-3</v>
      </c>
      <c r="EV77" s="56">
        <v>6.88794378698221E-3</v>
      </c>
      <c r="EW77" s="56">
        <v>8.0115697167255605E-3</v>
      </c>
      <c r="EX77" s="56">
        <v>8.4375213500034203E-3</v>
      </c>
      <c r="EY77" s="56">
        <v>1.0241297155697099E-2</v>
      </c>
      <c r="EZ77" s="56">
        <v>7.49972057672976E-3</v>
      </c>
      <c r="FA77" s="56">
        <v>-4.75921057010686E-3</v>
      </c>
      <c r="FB77" s="56">
        <v>-8.3935259497057695E-3</v>
      </c>
      <c r="FC77" s="56">
        <v>1.79858136894362E-4</v>
      </c>
      <c r="FD77" s="56">
        <v>3.0570384939590002E-3</v>
      </c>
      <c r="FE77" s="56">
        <v>7.6865328806572401E-3</v>
      </c>
      <c r="FF77" s="56">
        <v>6.3714098273157703E-3</v>
      </c>
      <c r="FG77" s="56">
        <v>7.6679999116080503E-3</v>
      </c>
      <c r="FH77" s="56">
        <v>3.96929824561387E-3</v>
      </c>
      <c r="FI77" s="56">
        <v>8.1365632030756495E-3</v>
      </c>
      <c r="FJ77" s="56">
        <v>8.9809006900885002E-3</v>
      </c>
      <c r="FK77" s="56">
        <v>9.0512798488233698E-3</v>
      </c>
      <c r="FL77" s="56">
        <v>3.47950073952696E-3</v>
      </c>
      <c r="FM77" s="56">
        <v>-1.3360761775496101E-3</v>
      </c>
      <c r="FN77" s="56">
        <v>3.4614567848798598E-3</v>
      </c>
      <c r="FO77" s="56">
        <v>2.2114997989546299E-3</v>
      </c>
      <c r="FP77" s="56">
        <v>1.9215541360924099E-3</v>
      </c>
      <c r="FQ77" s="56">
        <v>1.2223779466158399E-3</v>
      </c>
      <c r="FR77" s="56">
        <v>-6.94641785860872E-4</v>
      </c>
      <c r="FS77" s="56">
        <v>1.6324897047825799E-3</v>
      </c>
      <c r="FT77" s="56">
        <v>3.5120186746862001E-3</v>
      </c>
      <c r="FU77" s="56">
        <v>1.5382036128924101E-2</v>
      </c>
      <c r="FV77" s="56">
        <v>-2.63147032114253E-3</v>
      </c>
      <c r="FW77" s="56">
        <v>4.2214611635920099E-3</v>
      </c>
      <c r="FX77" s="56">
        <v>4.69827008871082E-3</v>
      </c>
      <c r="FY77" s="56">
        <v>1.32290053633866E-3</v>
      </c>
      <c r="FZ77" s="56">
        <v>-1.9458839433850201E-3</v>
      </c>
      <c r="GA77" s="56">
        <v>1.9394163280384001E-3</v>
      </c>
      <c r="GB77" s="56">
        <v>9.1150234020553899E-4</v>
      </c>
      <c r="GC77" s="56">
        <v>-1.2176404379412599E-3</v>
      </c>
      <c r="GD77" s="56">
        <v>-1.10643267664512E-3</v>
      </c>
      <c r="GE77" s="56">
        <v>5.32291314113409E-3</v>
      </c>
      <c r="GF77" s="56">
        <v>3.8970843280079501E-3</v>
      </c>
      <c r="GG77" s="56">
        <v>4.9489858135849402E-3</v>
      </c>
      <c r="GH77" s="56">
        <v>4.7425953827950904E-3</v>
      </c>
      <c r="GI77" s="56">
        <v>3.2407407407408799E-3</v>
      </c>
      <c r="GJ77" s="56">
        <v>4.3939728336108699E-3</v>
      </c>
      <c r="GK77" s="56">
        <v>7.1713943268076896E-3</v>
      </c>
      <c r="GL77" s="56">
        <v>9.5202205517761502E-3</v>
      </c>
      <c r="GM77" s="56">
        <v>6.8665396176741398E-3</v>
      </c>
      <c r="GN77" s="56">
        <v>5.1708830502357203E-3</v>
      </c>
      <c r="GO77" s="56">
        <v>7.2893513350869004E-3</v>
      </c>
      <c r="GP77" s="56">
        <v>9.1830638478289702E-3</v>
      </c>
      <c r="GQ77" s="56">
        <v>-6.6551450859820803E-3</v>
      </c>
      <c r="GR77" s="56">
        <v>9.3238748870549904E-4</v>
      </c>
      <c r="GS77" s="56">
        <v>3.6396462148640101E-3</v>
      </c>
      <c r="GT77" s="56">
        <v>3.02363410199979E-3</v>
      </c>
      <c r="GU77" s="56">
        <v>6.3915440825756996E-4</v>
      </c>
      <c r="GV77" s="56">
        <v>5.4627096183730304E-3</v>
      </c>
      <c r="GW77" s="56">
        <v>7.4621204938085696E-3</v>
      </c>
      <c r="GX77" s="56">
        <v>7.6797831590638098E-3</v>
      </c>
      <c r="GY77" s="56">
        <v>1.07780963677628E-2</v>
      </c>
      <c r="GZ77" s="56">
        <v>1.1808950038346699E-2</v>
      </c>
      <c r="HA77" s="56">
        <v>1.23743162162901E-2</v>
      </c>
      <c r="HB77" s="56">
        <v>1.6029804430973502E-2</v>
      </c>
      <c r="HC77">
        <v>1.82184617296886E-2</v>
      </c>
      <c r="HD77">
        <v>1.3070584644896899E-2</v>
      </c>
      <c r="HE77">
        <v>1.02165530537768E-2</v>
      </c>
      <c r="HF77">
        <v>1.05562702882314E-2</v>
      </c>
      <c r="HG77">
        <v>8.6417671359919606E-3</v>
      </c>
      <c r="HH77">
        <v>9.3952438667612697E-3</v>
      </c>
      <c r="HI77">
        <v>9.4402901647081504E-3</v>
      </c>
      <c r="HJ77">
        <v>8.7613516107596396E-3</v>
      </c>
      <c r="HK77">
        <v>6.9774817634000704E-3</v>
      </c>
      <c r="HL77">
        <v>6.0650111043811803E-3</v>
      </c>
      <c r="HM77">
        <v>6.5983817107628804E-3</v>
      </c>
      <c r="HN77">
        <v>1.3899743217595399E-2</v>
      </c>
      <c r="HO77">
        <v>1.49204426581513E-2</v>
      </c>
    </row>
    <row r="78" spans="1:223" x14ac:dyDescent="0.35">
      <c r="A78" s="56" t="s">
        <v>2313</v>
      </c>
      <c r="B78" s="56">
        <v>2.11423161880719E-2</v>
      </c>
      <c r="C78" s="56">
        <v>2.11423161880719E-2</v>
      </c>
      <c r="D78" s="56">
        <v>1.8077873918417801E-2</v>
      </c>
      <c r="E78" s="56">
        <v>1.89710122932161E-2</v>
      </c>
      <c r="F78" s="56">
        <v>2.27137324992552E-2</v>
      </c>
      <c r="G78" s="56">
        <v>1.8058690744920902E-2</v>
      </c>
      <c r="H78" s="56">
        <v>1.4090551462699399E-2</v>
      </c>
      <c r="I78" s="56">
        <v>1.0932430526167301E-2</v>
      </c>
      <c r="J78" s="56">
        <v>2.2395869671387701E-2</v>
      </c>
      <c r="K78" s="56">
        <v>1.18056503343797E-2</v>
      </c>
      <c r="L78" s="56">
        <v>1.51750185472448E-2</v>
      </c>
      <c r="M78" s="56">
        <v>1.3752325272389E-2</v>
      </c>
      <c r="N78" s="56">
        <v>1.9660528212857901E-2</v>
      </c>
      <c r="O78" s="56">
        <v>1.78032007198408E-2</v>
      </c>
      <c r="P78" s="56">
        <v>1.34503662541046E-2</v>
      </c>
      <c r="Q78" s="56">
        <v>1.8941990155149999E-2</v>
      </c>
      <c r="R78" s="56">
        <v>2.90466581055462E-2</v>
      </c>
      <c r="S78" s="56">
        <v>3.4763489422391401E-2</v>
      </c>
      <c r="T78" s="56">
        <v>3.6467007408258E-2</v>
      </c>
      <c r="U78" s="56">
        <v>2.9421542553191599E-2</v>
      </c>
      <c r="V78" s="56">
        <v>2.01302545885138E-2</v>
      </c>
      <c r="W78" s="56">
        <v>1.9838547987126101E-2</v>
      </c>
      <c r="X78" s="56">
        <v>1.2778726266232001E-2</v>
      </c>
      <c r="Y78" s="56">
        <v>1.2770739681242401E-2</v>
      </c>
      <c r="Z78" s="56">
        <v>1.12982951679612E-2</v>
      </c>
      <c r="AA78" s="56">
        <v>1.21197007481295E-2</v>
      </c>
      <c r="AB78" s="56">
        <v>7.4409895037696999E-3</v>
      </c>
      <c r="AC78" s="56">
        <v>1.19839561729604E-2</v>
      </c>
      <c r="AD78" s="56">
        <v>1.8850596935569699E-2</v>
      </c>
      <c r="AE78" s="56">
        <v>1.7885098913610599E-2</v>
      </c>
      <c r="AF78" s="56">
        <v>1.70115585384043E-2</v>
      </c>
      <c r="AG78" s="56">
        <v>1.6864488336923101E-2</v>
      </c>
      <c r="AH78" s="56">
        <v>1.41511559781875E-2</v>
      </c>
      <c r="AI78" s="56">
        <v>1.6708883260009699E-2</v>
      </c>
      <c r="AJ78" s="56">
        <v>1.5210455002403899E-2</v>
      </c>
      <c r="AK78" s="56">
        <v>1.43367632496663E-2</v>
      </c>
      <c r="AL78" s="56">
        <v>2.3811544991511099E-2</v>
      </c>
      <c r="AM78" s="56">
        <v>2.2884623357240601E-2</v>
      </c>
      <c r="AN78" s="56">
        <v>3.3883192153366201E-2</v>
      </c>
      <c r="AO78" s="56">
        <v>1.9522521463013E-2</v>
      </c>
      <c r="AP78" s="56">
        <v>2.6031453070327198E-2</v>
      </c>
      <c r="AQ78" s="56">
        <v>2.7469644730924801E-2</v>
      </c>
      <c r="AR78" s="56">
        <v>2.8850713061239201E-2</v>
      </c>
      <c r="AS78" s="56">
        <v>2.72263187748156E-2</v>
      </c>
      <c r="AT78" s="56">
        <v>3.2475151849806802E-2</v>
      </c>
      <c r="AU78" s="56">
        <v>2.1559648360463899E-2</v>
      </c>
      <c r="AV78" s="56">
        <v>1.3578954256920199E-2</v>
      </c>
      <c r="AW78" s="56">
        <v>1.57859056719503E-2</v>
      </c>
      <c r="AX78" s="56">
        <v>1.6875357528761199E-2</v>
      </c>
      <c r="AY78" s="56">
        <v>1.6064006000562601E-2</v>
      </c>
      <c r="AZ78" s="56">
        <v>1.5686998246747099E-2</v>
      </c>
      <c r="BA78" s="56">
        <v>1.27191787044609E-2</v>
      </c>
      <c r="BB78" s="56">
        <v>7.1768188750334101E-3</v>
      </c>
      <c r="BC78" s="56">
        <v>1.0985422048039E-2</v>
      </c>
      <c r="BD78" s="56">
        <v>9.6913453349387595E-3</v>
      </c>
      <c r="BE78" s="56">
        <v>7.5914022279748297E-3</v>
      </c>
      <c r="BF78" s="56">
        <v>1.4519946885283699E-2</v>
      </c>
      <c r="BG78" s="56">
        <v>9.5034855598235008E-3</v>
      </c>
      <c r="BH78" s="56">
        <v>9.3294624989430606E-3</v>
      </c>
      <c r="BI78" s="56">
        <v>9.9413571628035307E-3</v>
      </c>
      <c r="BJ78" s="56">
        <v>1.18066692473595E-2</v>
      </c>
      <c r="BK78" s="56">
        <v>9.8379471483616109E-3</v>
      </c>
      <c r="BL78" s="56">
        <v>8.2807891104916802E-3</v>
      </c>
      <c r="BM78" s="56">
        <v>9.25950776993467E-3</v>
      </c>
      <c r="BN78" s="56">
        <v>4.1484948409742399E-3</v>
      </c>
      <c r="BO78" s="56">
        <v>4.4226694915254798E-3</v>
      </c>
      <c r="BP78" s="56">
        <v>8.6481925804835508E-3</v>
      </c>
      <c r="BQ78" s="56">
        <v>1.27042216703699E-2</v>
      </c>
      <c r="BR78" s="56">
        <v>1.4300095506053E-2</v>
      </c>
      <c r="BS78" s="56">
        <v>1.22407430970861E-2</v>
      </c>
      <c r="BT78" s="56">
        <v>1.19670152855993E-2</v>
      </c>
      <c r="BU78" s="56">
        <v>5.9375931630725196E-3</v>
      </c>
      <c r="BV78" s="56">
        <v>5.1369440122495096E-3</v>
      </c>
      <c r="BW78" s="56">
        <v>9.7545394235729593E-3</v>
      </c>
      <c r="BX78" s="56">
        <v>8.4436441502822E-3</v>
      </c>
      <c r="BY78" s="56">
        <v>1.1461525468716E-2</v>
      </c>
      <c r="BZ78" s="56">
        <v>1.3144711102629001E-2</v>
      </c>
      <c r="CA78" s="56">
        <v>1.3586380654124101E-2</v>
      </c>
      <c r="CB78" s="56">
        <v>9.3853087394881705E-3</v>
      </c>
      <c r="CC78" s="56">
        <v>1.2911392405063201E-2</v>
      </c>
      <c r="CD78" s="56">
        <v>1.41555520210856E-2</v>
      </c>
      <c r="CE78" s="56">
        <v>1.0306044719272401E-2</v>
      </c>
      <c r="CF78" s="56">
        <v>1.3593826229653499E-2</v>
      </c>
      <c r="CG78" s="56">
        <v>1.5752510556369798E-2</v>
      </c>
      <c r="CH78" s="56">
        <v>4.2001421586577202E-3</v>
      </c>
      <c r="CI78" s="56">
        <v>6.0486465617091102E-3</v>
      </c>
      <c r="CJ78" s="56">
        <v>8.2295753027459301E-3</v>
      </c>
      <c r="CK78" s="56">
        <v>8.7333474307464999E-3</v>
      </c>
      <c r="CL78" s="56">
        <v>7.1274343332703403E-3</v>
      </c>
      <c r="CM78" s="56">
        <v>1.19476302479029E-2</v>
      </c>
      <c r="CN78" s="56">
        <v>7.3636793714133598E-3</v>
      </c>
      <c r="CO78" s="56">
        <v>6.8402246043899302E-3</v>
      </c>
      <c r="CP78" s="56">
        <v>5.8203204218210099E-3</v>
      </c>
      <c r="CQ78" s="56">
        <v>5.8874528701333704E-3</v>
      </c>
      <c r="CR78" s="56">
        <v>2.84631882779762E-3</v>
      </c>
      <c r="CS78" s="56">
        <v>5.0368771361755096E-3</v>
      </c>
      <c r="CT78" s="56">
        <v>8.1737366505578706E-3</v>
      </c>
      <c r="CU78" s="56">
        <v>5.5430622953407402E-3</v>
      </c>
      <c r="CV78" s="56">
        <v>8.7493869543893207E-3</v>
      </c>
      <c r="CW78" s="56">
        <v>8.4790260788394408E-3</v>
      </c>
      <c r="CX78" s="56">
        <v>5.5730181074880002E-3</v>
      </c>
      <c r="CY78" s="56">
        <v>7.5940628236106401E-3</v>
      </c>
      <c r="CZ78" s="56">
        <v>4.1109969167523203E-3</v>
      </c>
      <c r="DA78" s="56">
        <v>3.8288032146782699E-3</v>
      </c>
      <c r="DB78" s="56">
        <v>9.9886706948639804E-3</v>
      </c>
      <c r="DC78" s="56">
        <v>1.346071154817E-3</v>
      </c>
      <c r="DD78" s="56">
        <v>6.3105617893617297E-3</v>
      </c>
      <c r="DE78" s="56">
        <v>7.1800961056791603E-3</v>
      </c>
      <c r="DF78" s="56">
        <v>6.6315440445050599E-3</v>
      </c>
      <c r="DG78" s="56">
        <v>3.2390293891593198E-3</v>
      </c>
      <c r="DH78" s="56">
        <v>4.3412436386187601E-3</v>
      </c>
      <c r="DI78" s="56">
        <v>7.8458437006230196E-3</v>
      </c>
      <c r="DJ78" s="56">
        <v>1.3335015227144999E-3</v>
      </c>
      <c r="DK78" s="56">
        <v>4.4270880198680196E-3</v>
      </c>
      <c r="DL78" s="56">
        <v>7.4892946087827799E-3</v>
      </c>
      <c r="DM78" s="56">
        <v>8.3583788301826393E-3</v>
      </c>
      <c r="DN78" s="56">
        <v>7.6541859931922298E-3</v>
      </c>
      <c r="DO78" s="56">
        <v>1.35468626936204E-2</v>
      </c>
      <c r="DP78" s="56">
        <v>1.20015886995113E-2</v>
      </c>
      <c r="DQ78" s="56">
        <v>1.1483857757149701E-2</v>
      </c>
      <c r="DR78" s="56">
        <v>1.2770551816050101E-2</v>
      </c>
      <c r="DS78" s="56">
        <v>1.0627311190325501E-2</v>
      </c>
      <c r="DT78" s="56">
        <v>1.07463080168777E-2</v>
      </c>
      <c r="DU78" s="56">
        <v>1.2491031243885099E-2</v>
      </c>
      <c r="DV78" s="56">
        <v>1.1950394588500401E-2</v>
      </c>
      <c r="DW78" s="56">
        <v>3.8992869875222901E-3</v>
      </c>
      <c r="DX78" s="56">
        <v>2.5999968292722601E-3</v>
      </c>
      <c r="DY78" s="56">
        <v>1.92912825540392E-3</v>
      </c>
      <c r="DZ78" s="56">
        <v>5.8867162224009997E-3</v>
      </c>
      <c r="EA78" s="56">
        <v>9.0215890548515105E-3</v>
      </c>
      <c r="EB78" s="56">
        <v>7.2615882197446498E-3</v>
      </c>
      <c r="EC78" s="56">
        <v>8.4442248911666996E-3</v>
      </c>
      <c r="ED78" s="56">
        <v>1.4251817833907301E-2</v>
      </c>
      <c r="EE78" s="56">
        <v>7.6974160830722805E-4</v>
      </c>
      <c r="EF78" s="56">
        <v>6.6358001417647899E-3</v>
      </c>
      <c r="EG78" s="56">
        <v>7.8805039926887997E-3</v>
      </c>
      <c r="EH78" s="56">
        <v>1.27540023486392E-2</v>
      </c>
      <c r="EI78" s="56">
        <v>1.4340021429305501E-2</v>
      </c>
      <c r="EJ78" s="56">
        <v>1.61486369161312E-2</v>
      </c>
      <c r="EK78" s="56">
        <v>1.7301777170197999E-2</v>
      </c>
      <c r="EL78" s="56">
        <v>9.05667772505225E-3</v>
      </c>
      <c r="EM78" s="56">
        <v>1.2818022917071299E-2</v>
      </c>
      <c r="EN78" s="56">
        <v>1.6025202027119701E-2</v>
      </c>
      <c r="EO78" s="56">
        <v>1.6325155028309401E-2</v>
      </c>
      <c r="EP78" s="56">
        <v>7.1493944900584703E-3</v>
      </c>
      <c r="EQ78" s="56">
        <v>1.54484393520347E-2</v>
      </c>
      <c r="ER78" s="56">
        <v>1.0155246877553399E-2</v>
      </c>
      <c r="ES78" s="56">
        <v>1.0553886449426101E-2</v>
      </c>
      <c r="ET78" s="56">
        <v>1.9134014331452901E-2</v>
      </c>
      <c r="EU78" s="56">
        <v>1.0833520333108901E-2</v>
      </c>
      <c r="EV78" s="56">
        <v>1.0951740808800899E-2</v>
      </c>
      <c r="EW78" s="56">
        <v>1.4334337753595799E-2</v>
      </c>
      <c r="EX78" s="56">
        <v>1.61162292834292E-2</v>
      </c>
      <c r="EY78" s="56">
        <v>1.4002319910991099E-2</v>
      </c>
      <c r="EZ78" s="56">
        <v>1.3517141556455701E-2</v>
      </c>
      <c r="FA78" s="56">
        <v>-1.2012392458567001E-2</v>
      </c>
      <c r="FB78" s="56">
        <v>-1.28695327800056E-2</v>
      </c>
      <c r="FC78" s="56">
        <v>2.3027869626830498E-3</v>
      </c>
      <c r="FD78" s="56">
        <v>5.2076583210602899E-3</v>
      </c>
      <c r="FE78" s="56">
        <v>7.2084109849150898E-3</v>
      </c>
      <c r="FF78" s="56">
        <v>9.97300190848582E-3</v>
      </c>
      <c r="FG78" s="56">
        <v>6.7289633478897501E-3</v>
      </c>
      <c r="FH78" s="56">
        <v>5.2762294988153401E-3</v>
      </c>
      <c r="FI78" s="56">
        <v>8.4135983787598807E-3</v>
      </c>
      <c r="FJ78" s="56">
        <v>1.0172400167094E-2</v>
      </c>
      <c r="FK78" s="56">
        <v>1.21599570825044E-2</v>
      </c>
      <c r="FL78" s="56">
        <v>5.1125195998322796E-3</v>
      </c>
      <c r="FM78" s="56">
        <v>-1.23043120021982E-3</v>
      </c>
      <c r="FN78" s="56">
        <v>1.2121478776412601E-2</v>
      </c>
      <c r="FO78" s="56">
        <v>9.7810139651155495E-5</v>
      </c>
      <c r="FP78" s="56">
        <v>5.9549682691471002E-3</v>
      </c>
      <c r="FQ78" s="56">
        <v>1.22499243831828E-2</v>
      </c>
      <c r="FR78" s="56">
        <v>1.140802083111E-2</v>
      </c>
      <c r="FS78" s="56">
        <v>5.1068319704563603E-3</v>
      </c>
      <c r="FT78" s="56">
        <v>7.9152625998593108E-3</v>
      </c>
      <c r="FU78" s="56">
        <v>5.7804672283960903E-3</v>
      </c>
      <c r="FV78" s="56">
        <v>7.9943666639052894E-3</v>
      </c>
      <c r="FW78" s="56">
        <v>3.10252722416271E-3</v>
      </c>
      <c r="FX78" s="56">
        <v>5.3153356137727297E-3</v>
      </c>
      <c r="FY78" s="56">
        <v>-8.7611169405366095E-4</v>
      </c>
      <c r="FZ78" s="56">
        <v>-9.1868468009176397E-3</v>
      </c>
      <c r="GA78" s="56">
        <v>6.2671084858087998E-3</v>
      </c>
      <c r="GB78" s="56">
        <v>6.3405704468055802E-4</v>
      </c>
      <c r="GC78" s="56">
        <v>-3.86325310439983E-3</v>
      </c>
      <c r="GD78" s="56">
        <v>-8.0232283747319107E-3</v>
      </c>
      <c r="GE78" s="56">
        <v>7.5606350519727998E-3</v>
      </c>
      <c r="GF78" s="56">
        <v>3.14116777531415E-3</v>
      </c>
      <c r="GG78" s="56">
        <v>4.8709604797281302E-3</v>
      </c>
      <c r="GH78" s="56">
        <v>9.2262571539136803E-3</v>
      </c>
      <c r="GI78" s="56">
        <v>1.8061834032936401E-3</v>
      </c>
      <c r="GJ78" s="56">
        <v>8.8736238832427504E-3</v>
      </c>
      <c r="GK78" s="56">
        <v>1.28189768779201E-2</v>
      </c>
      <c r="GL78" s="56">
        <v>1.29228767447362E-2</v>
      </c>
      <c r="GM78" s="56">
        <v>1.01986200722077E-2</v>
      </c>
      <c r="GN78" s="56">
        <v>8.9781999287139608E-3</v>
      </c>
      <c r="GO78" s="56">
        <v>4.3727742292747297E-3</v>
      </c>
      <c r="GP78" s="56">
        <v>-4.8575529720429299E-3</v>
      </c>
      <c r="GQ78" s="56">
        <v>7.5177196568785298E-3</v>
      </c>
      <c r="GR78" s="56">
        <v>3.9251751633120301E-3</v>
      </c>
      <c r="GS78" s="56">
        <v>5.8458545430506402E-3</v>
      </c>
      <c r="GT78" s="56">
        <v>1.29100707941336E-2</v>
      </c>
      <c r="GU78" s="56">
        <v>-1.30699567115622E-3</v>
      </c>
      <c r="GV78" s="56">
        <v>1.2001113792463399E-2</v>
      </c>
      <c r="GW78" s="56">
        <v>1.2262342593526701E-2</v>
      </c>
      <c r="GX78" s="56">
        <v>2.21890006342302E-2</v>
      </c>
      <c r="GY78" s="56">
        <v>1.9721855361242401E-2</v>
      </c>
      <c r="GZ78" s="56">
        <v>1.6072111539932502E-2</v>
      </c>
      <c r="HA78" s="56">
        <v>1.9761662374992599E-2</v>
      </c>
      <c r="HB78" s="56">
        <v>2.31370015855306E-2</v>
      </c>
      <c r="HC78">
        <v>3.3953476931150299E-2</v>
      </c>
      <c r="HD78">
        <v>1.4353459897542601E-3</v>
      </c>
      <c r="HE78">
        <v>2.8269838378878198E-3</v>
      </c>
      <c r="HF78">
        <v>-5.2590018951358397E-3</v>
      </c>
      <c r="HG78">
        <v>-9.3193833648214097E-3</v>
      </c>
      <c r="HH78">
        <v>9.9439102564102804E-3</v>
      </c>
      <c r="HI78">
        <v>-2.7768741917311201E-4</v>
      </c>
      <c r="HJ78">
        <v>9.5154199006395306E-3</v>
      </c>
      <c r="HK78">
        <v>4.0485829959513399E-3</v>
      </c>
      <c r="HL78">
        <v>5.9191982461634903E-3</v>
      </c>
      <c r="HM78">
        <v>4.4210591861515401E-3</v>
      </c>
      <c r="HN78">
        <v>9.6788692229006195E-3</v>
      </c>
      <c r="HO78">
        <v>1.6578020308073401E-3</v>
      </c>
    </row>
    <row r="79" spans="1:223" x14ac:dyDescent="0.35">
      <c r="A79" s="56" t="s">
        <v>2314</v>
      </c>
      <c r="B79" s="56">
        <v>1.98894115705208E-2</v>
      </c>
      <c r="C79" s="56">
        <v>1.98894115705208E-2</v>
      </c>
      <c r="D79" s="56">
        <v>1.7640394885903899E-2</v>
      </c>
      <c r="E79" s="56">
        <v>1.6857506361323198E-2</v>
      </c>
      <c r="F79" s="56">
        <v>2.4554269627776099E-2</v>
      </c>
      <c r="G79" s="56">
        <v>1.8775759426041799E-2</v>
      </c>
      <c r="H79" s="56">
        <v>1.50584357207071E-2</v>
      </c>
      <c r="I79" s="56">
        <v>9.0781607498708894E-3</v>
      </c>
      <c r="J79" s="56">
        <v>2.5234055002925498E-2</v>
      </c>
      <c r="K79" s="56">
        <v>1.3126917314689301E-2</v>
      </c>
      <c r="L79" s="56">
        <v>1.55622843461729E-2</v>
      </c>
      <c r="M79" s="56">
        <v>1.2411593398973899E-2</v>
      </c>
      <c r="N79" s="56">
        <v>1.9724676392027799E-2</v>
      </c>
      <c r="O79" s="56">
        <v>1.6925246826516201E-2</v>
      </c>
      <c r="P79" s="56">
        <v>1.15580212667592E-2</v>
      </c>
      <c r="Q79" s="56">
        <v>1.6779838077827E-2</v>
      </c>
      <c r="R79" s="56">
        <v>2.42727798112117E-2</v>
      </c>
      <c r="S79" s="56">
        <v>2.6894865525672201E-2</v>
      </c>
      <c r="T79" s="56">
        <v>2.8754578754578701E-2</v>
      </c>
      <c r="U79" s="56">
        <v>2.61705536763399E-2</v>
      </c>
      <c r="V79" s="56">
        <v>1.9951422623178301E-2</v>
      </c>
      <c r="W79" s="56">
        <v>2.4097068662471102E-2</v>
      </c>
      <c r="X79" s="56">
        <v>1.5391429520540199E-2</v>
      </c>
      <c r="Y79" s="56">
        <v>1.4558342420937899E-2</v>
      </c>
      <c r="Z79" s="56">
        <v>1.30058580104262E-2</v>
      </c>
      <c r="AA79" s="56">
        <v>1.3051090243514101E-2</v>
      </c>
      <c r="AB79" s="56">
        <v>8.7457449594134894E-3</v>
      </c>
      <c r="AC79" s="56">
        <v>1.32385006749038E-2</v>
      </c>
      <c r="AD79" s="56">
        <v>2.0290003586616898E-2</v>
      </c>
      <c r="AE79" s="56">
        <v>1.9886506302415601E-2</v>
      </c>
      <c r="AF79" s="56">
        <v>1.78738490324486E-2</v>
      </c>
      <c r="AG79" s="56">
        <v>1.8333978328173298E-2</v>
      </c>
      <c r="AH79" s="56">
        <v>1.45361265498076E-2</v>
      </c>
      <c r="AI79" s="56">
        <v>1.6060308095706199E-2</v>
      </c>
      <c r="AJ79" s="56">
        <v>1.42857142857145E-2</v>
      </c>
      <c r="AK79" s="56">
        <v>1.3402998636983E-2</v>
      </c>
      <c r="AL79" s="56">
        <v>2.4568482403048798E-2</v>
      </c>
      <c r="AM79" s="56">
        <v>2.1835207631383E-2</v>
      </c>
      <c r="AN79" s="56">
        <v>3.5157588215141998E-2</v>
      </c>
      <c r="AO79" s="56">
        <v>1.7167914615480201E-2</v>
      </c>
      <c r="AP79" s="56">
        <v>2.57035952497153E-2</v>
      </c>
      <c r="AQ79" s="56">
        <v>2.71609833465505E-2</v>
      </c>
      <c r="AR79" s="56">
        <v>2.7793862188766599E-2</v>
      </c>
      <c r="AS79" s="56">
        <v>2.6591549295774699E-2</v>
      </c>
      <c r="AT79" s="56">
        <v>3.3549189624263703E-2</v>
      </c>
      <c r="AU79" s="56">
        <v>2.08849557522124E-2</v>
      </c>
      <c r="AV79" s="56">
        <v>1.1962552011095799E-2</v>
      </c>
      <c r="AW79" s="56">
        <v>1.5350351207812101E-2</v>
      </c>
      <c r="AX79" s="56">
        <v>1.75142577531806E-2</v>
      </c>
      <c r="AY79" s="56">
        <v>1.59525072963651E-2</v>
      </c>
      <c r="AZ79" s="56">
        <v>1.6616067639473799E-2</v>
      </c>
      <c r="BA79" s="56">
        <v>1.4995825573181E-2</v>
      </c>
      <c r="BB79" s="56">
        <v>8.6051441045271702E-3</v>
      </c>
      <c r="BC79" s="56">
        <v>1.3644490448856799E-2</v>
      </c>
      <c r="BD79" s="56">
        <v>1.1696992202005201E-2</v>
      </c>
      <c r="BE79" s="56">
        <v>9.3901021594173795E-3</v>
      </c>
      <c r="BF79" s="56">
        <v>1.75146207690677E-2</v>
      </c>
      <c r="BG79" s="56">
        <v>1.0899669436254899E-2</v>
      </c>
      <c r="BH79" s="56">
        <v>1.0752688172042999E-2</v>
      </c>
      <c r="BI79" s="56">
        <v>1.18041387350627E-2</v>
      </c>
      <c r="BJ79" s="56">
        <v>1.3221950165634299E-2</v>
      </c>
      <c r="BK79" s="56">
        <v>1.14288963438904E-2</v>
      </c>
      <c r="BL79" s="56">
        <v>9.2759163480997699E-3</v>
      </c>
      <c r="BM79" s="56">
        <v>1.0081880465660401E-2</v>
      </c>
      <c r="BN79" s="56">
        <v>3.6395720745561202E-3</v>
      </c>
      <c r="BO79" s="56">
        <v>3.0219780219780099E-3</v>
      </c>
      <c r="BP79" s="56">
        <v>8.5456039441249593E-3</v>
      </c>
      <c r="BQ79" s="56">
        <v>1.3171473575579899E-2</v>
      </c>
      <c r="BR79" s="56">
        <v>1.6216795775591701E-2</v>
      </c>
      <c r="BS79" s="56">
        <v>1.3135682633467E-2</v>
      </c>
      <c r="BT79" s="56">
        <v>1.2705024733142599E-2</v>
      </c>
      <c r="BU79" s="56">
        <v>6.1185665072753803E-3</v>
      </c>
      <c r="BV79" s="56">
        <v>4.4204824202778202E-3</v>
      </c>
      <c r="BW79" s="56">
        <v>1.07863339184411E-2</v>
      </c>
      <c r="BX79" s="56">
        <v>8.9094707170362906E-3</v>
      </c>
      <c r="BY79" s="56">
        <v>1.2946840621648E-2</v>
      </c>
      <c r="BZ79" s="56">
        <v>1.51701718957789E-2</v>
      </c>
      <c r="CA79" s="56">
        <v>1.48949590024743E-2</v>
      </c>
      <c r="CB79" s="56">
        <v>9.8479778181470596E-3</v>
      </c>
      <c r="CC79" s="56">
        <v>1.4698920658966099E-2</v>
      </c>
      <c r="CD79" s="56">
        <v>1.58389512234949E-2</v>
      </c>
      <c r="CE79" s="56">
        <v>1.06778726922017E-2</v>
      </c>
      <c r="CF79" s="56">
        <v>1.4518437734305899E-2</v>
      </c>
      <c r="CG79" s="56">
        <v>1.89465197527545E-2</v>
      </c>
      <c r="CH79" s="56">
        <v>4.7474614268758798E-3</v>
      </c>
      <c r="CI79" s="56">
        <v>6.2781642385265598E-3</v>
      </c>
      <c r="CJ79" s="56">
        <v>9.5432707984608508E-3</v>
      </c>
      <c r="CK79" s="56">
        <v>1.1391042204995899E-2</v>
      </c>
      <c r="CL79" s="56">
        <v>9.4104622197619392E-3</v>
      </c>
      <c r="CM79" s="56">
        <v>1.3604437788698799E-2</v>
      </c>
      <c r="CN79" s="56">
        <v>8.5525220575994893E-3</v>
      </c>
      <c r="CO79" s="56">
        <v>7.3245713578311599E-3</v>
      </c>
      <c r="CP79" s="56">
        <v>5.46884601204356E-3</v>
      </c>
      <c r="CQ79" s="56">
        <v>5.90763714885201E-3</v>
      </c>
      <c r="CR79" s="56">
        <v>3.2604953522752402E-3</v>
      </c>
      <c r="CS79" s="56">
        <v>5.1069842551474398E-3</v>
      </c>
      <c r="CT79" s="56">
        <v>8.3746711385135307E-3</v>
      </c>
      <c r="CU79" s="56">
        <v>5.8155745867356501E-3</v>
      </c>
      <c r="CV79" s="56">
        <v>8.7323274325767902E-3</v>
      </c>
      <c r="CW79" s="56">
        <v>8.5389553029857606E-3</v>
      </c>
      <c r="CX79" s="56">
        <v>4.5934057378644901E-3</v>
      </c>
      <c r="CY79" s="56">
        <v>7.69171155112969E-3</v>
      </c>
      <c r="CZ79" s="56">
        <v>3.78766030262812E-3</v>
      </c>
      <c r="DA79" s="56">
        <v>3.3902850137910198E-3</v>
      </c>
      <c r="DB79" s="56">
        <v>1.1014603417008899E-2</v>
      </c>
      <c r="DC79" s="56">
        <v>1.41610966353234E-3</v>
      </c>
      <c r="DD79" s="56">
        <v>6.6180213812998502E-3</v>
      </c>
      <c r="DE79" s="56">
        <v>8.1104368022777394E-3</v>
      </c>
      <c r="DF79" s="56">
        <v>6.8560599022686698E-3</v>
      </c>
      <c r="DG79" s="56">
        <v>2.3989665990036299E-3</v>
      </c>
      <c r="DH79" s="56">
        <v>4.7680412371133903E-3</v>
      </c>
      <c r="DI79" s="56">
        <v>8.1716411073855504E-3</v>
      </c>
      <c r="DJ79" s="56">
        <v>1.58109950022722E-3</v>
      </c>
      <c r="DK79" s="56">
        <v>5.3164465089272604E-3</v>
      </c>
      <c r="DL79" s="56">
        <v>7.7971302229040704E-3</v>
      </c>
      <c r="DM79" s="56">
        <v>9.0083636298512494E-3</v>
      </c>
      <c r="DN79" s="56">
        <v>8.5374511892082304E-3</v>
      </c>
      <c r="DO79" s="56">
        <v>1.49944562749689E-2</v>
      </c>
      <c r="DP79" s="56">
        <v>1.3853969795224699E-2</v>
      </c>
      <c r="DQ79" s="56">
        <v>1.21938705705296E-2</v>
      </c>
      <c r="DR79" s="56">
        <v>1.39562389118866E-2</v>
      </c>
      <c r="DS79" s="56">
        <v>1.04480845178383E-2</v>
      </c>
      <c r="DT79" s="56">
        <v>1.17418120650419E-2</v>
      </c>
      <c r="DU79" s="56">
        <v>1.4083129584352001E-2</v>
      </c>
      <c r="DV79" s="56">
        <v>1.3357122191146801E-2</v>
      </c>
      <c r="DW79" s="56">
        <v>4.2192085018637497E-3</v>
      </c>
      <c r="DX79" s="56">
        <v>2.4798218319093102E-3</v>
      </c>
      <c r="DY79" s="56">
        <v>1.1029180059241E-3</v>
      </c>
      <c r="DZ79" s="56">
        <v>6.2482294060248701E-3</v>
      </c>
      <c r="EA79" s="56">
        <v>9.8850394932352703E-3</v>
      </c>
      <c r="EB79" s="56">
        <v>8.2549909396441006E-3</v>
      </c>
      <c r="EC79" s="56">
        <v>1.0061443932411601E-2</v>
      </c>
      <c r="ED79" s="56">
        <v>1.5725039920918601E-2</v>
      </c>
      <c r="EE79" s="56">
        <v>7.0370869454539097E-4</v>
      </c>
      <c r="EF79" s="56">
        <v>7.9148961637440802E-3</v>
      </c>
      <c r="EG79" s="56">
        <v>9.1293698508128109E-3</v>
      </c>
      <c r="EH79" s="56">
        <v>1.42247719917623E-2</v>
      </c>
      <c r="EI79" s="56">
        <v>1.3387094434855799E-2</v>
      </c>
      <c r="EJ79" s="56">
        <v>1.3582367253470701E-2</v>
      </c>
      <c r="EK79" s="56">
        <v>1.5730241884240201E-2</v>
      </c>
      <c r="EL79" s="56">
        <v>9.2030083549969905E-3</v>
      </c>
      <c r="EM79" s="56">
        <v>1.14195192506372E-2</v>
      </c>
      <c r="EN79" s="56">
        <v>1.45456526476355E-2</v>
      </c>
      <c r="EO79" s="56">
        <v>1.69011437469795E-2</v>
      </c>
      <c r="EP79" s="56">
        <v>7.3794405354383804E-3</v>
      </c>
      <c r="EQ79" s="56">
        <v>1.3851395623116301E-2</v>
      </c>
      <c r="ER79" s="56">
        <v>9.2545917510049609E-3</v>
      </c>
      <c r="ES79" s="56">
        <v>7.4664139441362699E-3</v>
      </c>
      <c r="ET79" s="56">
        <v>1.7656929296011099E-2</v>
      </c>
      <c r="EU79" s="56">
        <v>1.09174942227219E-2</v>
      </c>
      <c r="EV79" s="56">
        <v>1.1256780634877599E-2</v>
      </c>
      <c r="EW79" s="56">
        <v>1.49560117302052E-2</v>
      </c>
      <c r="EX79" s="56">
        <v>1.77333140710778E-2</v>
      </c>
      <c r="EY79" s="56">
        <v>1.5543489832854101E-2</v>
      </c>
      <c r="EZ79" s="56">
        <v>1.36632071845406E-2</v>
      </c>
      <c r="FA79" s="56">
        <v>-1.92360728075015E-2</v>
      </c>
      <c r="FB79" s="56">
        <v>-1.7469244288224901E-2</v>
      </c>
      <c r="FC79" s="56">
        <v>5.0680308613268998E-3</v>
      </c>
      <c r="FD79" s="56">
        <v>8.6849224052014708E-3</v>
      </c>
      <c r="FE79" s="56">
        <v>9.1276936106143795E-3</v>
      </c>
      <c r="FF79" s="56">
        <v>1.16094740768369E-2</v>
      </c>
      <c r="FG79" s="56">
        <v>7.2705904042034098E-3</v>
      </c>
      <c r="FH79" s="56">
        <v>5.7538978940505602E-3</v>
      </c>
      <c r="FI79" s="56">
        <v>9.3150747253247807E-3</v>
      </c>
      <c r="FJ79" s="56">
        <v>1.11109859027958E-2</v>
      </c>
      <c r="FK79" s="56">
        <v>1.26160464520155E-2</v>
      </c>
      <c r="FL79" s="56">
        <v>3.7310558117522601E-3</v>
      </c>
      <c r="FM79" s="56">
        <v>-3.62946555845511E-3</v>
      </c>
      <c r="FN79" s="56">
        <v>1.32061144309814E-2</v>
      </c>
      <c r="FO79" s="56">
        <v>-1.6075249546525501E-3</v>
      </c>
      <c r="FP79" s="56">
        <v>6.0705621253496203E-3</v>
      </c>
      <c r="FQ79" s="56">
        <v>1.4522529926360101E-2</v>
      </c>
      <c r="FR79" s="56">
        <v>1.29929652526115E-2</v>
      </c>
      <c r="FS79" s="56">
        <v>5.1452561579983201E-3</v>
      </c>
      <c r="FT79" s="56">
        <v>8.4582530776315893E-3</v>
      </c>
      <c r="FU79" s="56">
        <v>5.43929579804026E-3</v>
      </c>
      <c r="FV79" s="56">
        <v>8.4967995044393802E-3</v>
      </c>
      <c r="FW79" s="56">
        <v>2.8357032441672599E-3</v>
      </c>
      <c r="FX79" s="56">
        <v>5.45120457329529E-3</v>
      </c>
      <c r="FY79" s="56">
        <v>-1.41125347736915E-3</v>
      </c>
      <c r="FZ79" s="56">
        <v>-1.1061969396573701E-2</v>
      </c>
      <c r="GA79" s="56">
        <v>6.7237603709378001E-3</v>
      </c>
      <c r="GB79" s="56">
        <v>1.6339702413170599E-4</v>
      </c>
      <c r="GC79" s="56">
        <v>-4.5641585917477502E-3</v>
      </c>
      <c r="GD79" s="56">
        <v>-9.2419735357471798E-3</v>
      </c>
      <c r="GE79" s="56">
        <v>7.4646181242170604E-3</v>
      </c>
      <c r="GF79" s="56">
        <v>3.68924057136977E-3</v>
      </c>
      <c r="GG79" s="56">
        <v>4.8940810287809696E-3</v>
      </c>
      <c r="GH79" s="56">
        <v>9.8627568850804294E-3</v>
      </c>
      <c r="GI79" s="56">
        <v>1.0391968924987601E-3</v>
      </c>
      <c r="GJ79" s="56">
        <v>8.9701465459897101E-3</v>
      </c>
      <c r="GK79" s="56">
        <v>1.44943461062053E-2</v>
      </c>
      <c r="GL79" s="56">
        <v>1.37457044673539E-2</v>
      </c>
      <c r="GM79" s="56">
        <v>9.5964256228449098E-3</v>
      </c>
      <c r="GN79" s="56">
        <v>9.5148302434988601E-3</v>
      </c>
      <c r="GO79" s="56">
        <v>3.0686539854383201E-3</v>
      </c>
      <c r="GP79" s="56">
        <v>-6.8215934786326499E-3</v>
      </c>
      <c r="GQ79" s="56">
        <v>6.8206168209994401E-3</v>
      </c>
      <c r="GR79" s="56">
        <v>3.8385162804397402E-3</v>
      </c>
      <c r="GS79" s="56">
        <v>6.7579718512489296E-3</v>
      </c>
      <c r="GT79" s="56">
        <v>1.52866960617484E-2</v>
      </c>
      <c r="GU79" s="56">
        <v>-7.7782819256788595E-4</v>
      </c>
      <c r="GV79" s="56">
        <v>1.24734730189324E-2</v>
      </c>
      <c r="GW79" s="56">
        <v>1.38391835613931E-2</v>
      </c>
      <c r="GX79" s="56">
        <v>2.3797701481488302E-2</v>
      </c>
      <c r="GY79" s="56">
        <v>1.8950115958131598E-2</v>
      </c>
      <c r="GZ79" s="56">
        <v>1.4902381611742E-2</v>
      </c>
      <c r="HA79" s="56">
        <v>1.7719187543701099E-2</v>
      </c>
      <c r="HB79" s="56">
        <v>2.17926804745627E-2</v>
      </c>
      <c r="HC79">
        <v>3.4136101612916497E-2</v>
      </c>
      <c r="HD79">
        <v>-2.9496653874211401E-3</v>
      </c>
      <c r="HE79">
        <v>5.4873393561516404E-4</v>
      </c>
      <c r="HF79">
        <v>-9.0213253002472404E-3</v>
      </c>
      <c r="HG79">
        <v>-1.15176695166749E-2</v>
      </c>
      <c r="HH79">
        <v>1.1822268382531999E-2</v>
      </c>
      <c r="HI79">
        <v>-1.0665682964577899E-3</v>
      </c>
      <c r="HJ79">
        <v>1.03800394971341E-2</v>
      </c>
      <c r="HK79">
        <v>4.8308027236829698E-3</v>
      </c>
      <c r="HL79">
        <v>5.4243399463891296E-3</v>
      </c>
      <c r="HM79">
        <v>4.7344537682947304E-3</v>
      </c>
      <c r="HN79">
        <v>1.0246174318030699E-2</v>
      </c>
      <c r="HO79">
        <v>1.75881733093664E-3</v>
      </c>
    </row>
    <row r="80" spans="1:223" x14ac:dyDescent="0.35">
      <c r="A80" s="56" t="s">
        <v>2315</v>
      </c>
      <c r="B80" s="56">
        <v>2.51540041067762E-2</v>
      </c>
      <c r="C80" s="56">
        <v>2.51540041067762E-2</v>
      </c>
      <c r="D80" s="56">
        <v>1.93415122684026E-2</v>
      </c>
      <c r="E80" s="56">
        <v>2.5422167638931702E-2</v>
      </c>
      <c r="F80" s="56">
        <v>1.6827354931432802E-2</v>
      </c>
      <c r="G80" s="56">
        <v>1.5959952885747902E-2</v>
      </c>
      <c r="H80" s="56">
        <v>1.0897918961219499E-2</v>
      </c>
      <c r="I80" s="56">
        <v>1.73175067377715E-2</v>
      </c>
      <c r="J80" s="56">
        <v>1.2795220111605899E-2</v>
      </c>
      <c r="K80" s="56">
        <v>7.0124666073019303E-3</v>
      </c>
      <c r="L80" s="56">
        <v>1.38720017685419E-2</v>
      </c>
      <c r="M80" s="56">
        <v>1.8697192695557498E-2</v>
      </c>
      <c r="N80" s="56">
        <v>1.92636986301369E-2</v>
      </c>
      <c r="O80" s="56">
        <v>2.1052078958421001E-2</v>
      </c>
      <c r="P80" s="56">
        <v>2.0360944007403702E-2</v>
      </c>
      <c r="Q80" s="56">
        <v>2.68581506676746E-2</v>
      </c>
      <c r="R80" s="56">
        <v>4.6373540092256499E-2</v>
      </c>
      <c r="S80" s="56">
        <v>6.2842939548843901E-2</v>
      </c>
      <c r="T80" s="56">
        <v>6.3892688523143407E-2</v>
      </c>
      <c r="U80" s="56">
        <v>4.1557795197212803E-2</v>
      </c>
      <c r="V80" s="56">
        <v>2.13037072432605E-2</v>
      </c>
      <c r="W80" s="56">
        <v>4.9126637554586204E-3</v>
      </c>
      <c r="X80" s="56">
        <v>3.18150073717693E-3</v>
      </c>
      <c r="Y80" s="56">
        <v>6.0720915841583302E-3</v>
      </c>
      <c r="Z80" s="56">
        <v>4.9206166147695001E-3</v>
      </c>
      <c r="AA80" s="56">
        <v>8.5689147316476699E-3</v>
      </c>
      <c r="AB80" s="56">
        <v>2.1998862127821099E-3</v>
      </c>
      <c r="AC80" s="56">
        <v>6.7744010899595296E-3</v>
      </c>
      <c r="AD80" s="56">
        <v>1.29313585444704E-2</v>
      </c>
      <c r="AE80" s="56">
        <v>9.8715950419356897E-3</v>
      </c>
      <c r="AF80" s="56">
        <v>1.3449948552109301E-2</v>
      </c>
      <c r="AG80" s="56">
        <v>1.0696932337370501E-2</v>
      </c>
      <c r="AH80" s="56">
        <v>1.24134467046964E-2</v>
      </c>
      <c r="AI80" s="56">
        <v>1.9632162727240401E-2</v>
      </c>
      <c r="AJ80" s="56">
        <v>1.9149897473325701E-2</v>
      </c>
      <c r="AK80" s="56">
        <v>1.7869322057018099E-2</v>
      </c>
      <c r="AL80" s="56">
        <v>2.0604395604395798E-2</v>
      </c>
      <c r="AM80" s="56">
        <v>2.71476873584349E-2</v>
      </c>
      <c r="AN80" s="56">
        <v>2.9210610418664198E-2</v>
      </c>
      <c r="AO80" s="56">
        <v>2.8381567507141901E-2</v>
      </c>
      <c r="AP80" s="56">
        <v>2.7296334319705198E-2</v>
      </c>
      <c r="AQ80" s="56">
        <v>2.8716712715302101E-2</v>
      </c>
      <c r="AR80" s="56">
        <v>3.2858081659475902E-2</v>
      </c>
      <c r="AS80" s="56">
        <v>2.9599712301861598E-2</v>
      </c>
      <c r="AT80" s="56">
        <v>2.83188693946641E-2</v>
      </c>
      <c r="AU80" s="56">
        <v>2.3907193060382002E-2</v>
      </c>
      <c r="AV80" s="56">
        <v>2.0490966622435301E-2</v>
      </c>
      <c r="AW80" s="56">
        <v>1.7804005901327798E-2</v>
      </c>
      <c r="AX80" s="56">
        <v>1.4028449991401201E-2</v>
      </c>
      <c r="AY80" s="56">
        <v>1.6741774482725201E-2</v>
      </c>
      <c r="AZ80" s="56">
        <v>1.17955439056356E-2</v>
      </c>
      <c r="BA80" s="56">
        <v>2.5435704192180398E-3</v>
      </c>
      <c r="BB80" s="56">
        <v>9.1618116895331202E-4</v>
      </c>
      <c r="BC80" s="56">
        <v>-1.33780834135244E-3</v>
      </c>
      <c r="BD80" s="56">
        <v>5.6404230317275204E-4</v>
      </c>
      <c r="BE80" s="56">
        <v>-2.8186216939918301E-4</v>
      </c>
      <c r="BF80" s="56">
        <v>1.08077627931014E-3</v>
      </c>
      <c r="BG80" s="56">
        <v>3.5439354111903602E-3</v>
      </c>
      <c r="BH80" s="56">
        <v>3.2273907247597502E-3</v>
      </c>
      <c r="BI80" s="56">
        <v>2.0281138541158299E-3</v>
      </c>
      <c r="BJ80" s="56">
        <v>5.5602084496555503E-3</v>
      </c>
      <c r="BK80" s="56">
        <v>3.1002012817249501E-3</v>
      </c>
      <c r="BL80" s="56">
        <v>4.0823857739233898E-3</v>
      </c>
      <c r="BM80" s="56">
        <v>5.9723434556897496E-3</v>
      </c>
      <c r="BN80" s="56">
        <v>6.2108964698361904E-3</v>
      </c>
      <c r="BO80" s="56">
        <v>1.0302727726591901E-2</v>
      </c>
      <c r="BP80" s="56">
        <v>9.0970350404311305E-3</v>
      </c>
      <c r="BQ80" s="56">
        <v>1.0818030050083499E-2</v>
      </c>
      <c r="BR80" s="56">
        <v>6.4081389971593098E-3</v>
      </c>
      <c r="BS80" s="56">
        <v>8.4241389873529506E-3</v>
      </c>
      <c r="BT80" s="56">
        <v>8.8962180224356792E-3</v>
      </c>
      <c r="BU80" s="56">
        <v>5.2906639138008398E-3</v>
      </c>
      <c r="BV80" s="56">
        <v>8.0439851956442005E-3</v>
      </c>
      <c r="BW80" s="56">
        <v>5.5179439292005698E-3</v>
      </c>
      <c r="BX80" s="56">
        <v>6.4585575888052001E-3</v>
      </c>
      <c r="BY80" s="56">
        <v>5.2637097619796496E-3</v>
      </c>
      <c r="BZ80" s="56">
        <v>4.8397863818423498E-3</v>
      </c>
      <c r="CA80" s="56">
        <v>8.1174223550903903E-3</v>
      </c>
      <c r="CB80" s="56">
        <v>7.4136617310900403E-3</v>
      </c>
      <c r="CC80" s="56">
        <v>5.5397698235859502E-3</v>
      </c>
      <c r="CD80" s="56">
        <v>7.1965846716812703E-3</v>
      </c>
      <c r="CE80" s="56">
        <v>8.8204424350073508E-3</v>
      </c>
      <c r="CF80" s="56">
        <v>9.7036874012124096E-3</v>
      </c>
      <c r="CG80" s="56">
        <v>2.6750683628580202E-3</v>
      </c>
      <c r="CH80" s="56">
        <v>1.95648307345708E-3</v>
      </c>
      <c r="CI80" s="56">
        <v>5.14792899408278E-3</v>
      </c>
      <c r="CJ80" s="56">
        <v>2.6687074429465598E-3</v>
      </c>
      <c r="CK80" s="56">
        <v>-2.5050394348005199E-3</v>
      </c>
      <c r="CL80" s="56">
        <v>-2.6094292609233302E-3</v>
      </c>
      <c r="CM80" s="56">
        <v>4.7210638130459302E-3</v>
      </c>
      <c r="CN80" s="56">
        <v>2.0557600438562101E-3</v>
      </c>
      <c r="CO80" s="56">
        <v>4.5524706434028096E-3</v>
      </c>
      <c r="CP80" s="56">
        <v>7.42988291126934E-3</v>
      </c>
      <c r="CQ80" s="56">
        <v>5.8305660668778198E-3</v>
      </c>
      <c r="CR80" s="56">
        <v>1.0173135245115099E-3</v>
      </c>
      <c r="CS80" s="56">
        <v>4.6787214051504699E-3</v>
      </c>
      <c r="CT80" s="56">
        <v>7.29077202023087E-3</v>
      </c>
      <c r="CU80" s="56">
        <v>4.3390113117456296E-3</v>
      </c>
      <c r="CV80" s="56">
        <v>8.7537259932837196E-3</v>
      </c>
      <c r="CW80" s="56">
        <v>8.3224237890406894E-3</v>
      </c>
      <c r="CX80" s="56">
        <v>9.9786701289066304E-3</v>
      </c>
      <c r="CY80" s="56">
        <v>7.1621398270067501E-3</v>
      </c>
      <c r="CZ80" s="56">
        <v>5.5066280108673196E-3</v>
      </c>
      <c r="DA80" s="56">
        <v>5.7666152869706401E-3</v>
      </c>
      <c r="DB80" s="56">
        <v>5.3729513369273896E-3</v>
      </c>
      <c r="DC80" s="56">
        <v>1.09395455605177E-3</v>
      </c>
      <c r="DD80" s="56">
        <v>4.9801153667012902E-3</v>
      </c>
      <c r="DE80" s="56">
        <v>3.2263814616755298E-3</v>
      </c>
      <c r="DF80" s="56">
        <v>5.6502194346226301E-3</v>
      </c>
      <c r="DG80" s="56">
        <v>6.8199084789484204E-3</v>
      </c>
      <c r="DH80" s="56">
        <v>2.5445292620864799E-3</v>
      </c>
      <c r="DI80" s="56">
        <v>6.4239453877121804E-3</v>
      </c>
      <c r="DJ80" s="56">
        <v>3.47844235351502E-4</v>
      </c>
      <c r="DK80" s="56">
        <v>6.0851574317144497E-4</v>
      </c>
      <c r="DL80" s="56">
        <v>6.1857103141507198E-3</v>
      </c>
      <c r="DM80" s="56">
        <v>5.6296193962837001E-3</v>
      </c>
      <c r="DN80" s="56">
        <v>4.0182711130953798E-3</v>
      </c>
      <c r="DO80" s="56">
        <v>7.4057604159540897E-3</v>
      </c>
      <c r="DP80" s="56">
        <v>4.2274324714350903E-3</v>
      </c>
      <c r="DQ80" s="56">
        <v>8.5207100591717707E-3</v>
      </c>
      <c r="DR80" s="56">
        <v>7.9122942300600095E-3</v>
      </c>
      <c r="DS80" s="56">
        <v>1.1392741908658599E-2</v>
      </c>
      <c r="DT80" s="56">
        <v>6.5448685270756996E-3</v>
      </c>
      <c r="DU80" s="56">
        <v>5.8814880164681496E-3</v>
      </c>
      <c r="DV80" s="56">
        <v>6.1719371761761498E-3</v>
      </c>
      <c r="DW80" s="56">
        <v>2.5666273870441599E-3</v>
      </c>
      <c r="DX80" s="56">
        <v>3.1396921491595501E-3</v>
      </c>
      <c r="DY80" s="56">
        <v>5.37694814053902E-3</v>
      </c>
      <c r="DZ80" s="56">
        <v>4.3903062039016803E-3</v>
      </c>
      <c r="EA80" s="56">
        <v>5.4360783939726397E-3</v>
      </c>
      <c r="EB80" s="56">
        <v>3.0669512291516799E-3</v>
      </c>
      <c r="EC80" s="56">
        <v>1.73367586565587E-3</v>
      </c>
      <c r="ED80" s="56">
        <v>8.2915086769772602E-3</v>
      </c>
      <c r="EE80" s="56">
        <v>1.04547014948664E-3</v>
      </c>
      <c r="EF80" s="56">
        <v>1.26260658114186E-3</v>
      </c>
      <c r="EG80" s="56">
        <v>2.7711180994489698E-3</v>
      </c>
      <c r="EH80" s="56">
        <v>6.5049990684964403E-3</v>
      </c>
      <c r="EI80" s="56">
        <v>1.8370841109962802E-2</v>
      </c>
      <c r="EJ80" s="56">
        <v>2.6930417133682601E-2</v>
      </c>
      <c r="EK80" s="56">
        <v>2.40117994100295E-2</v>
      </c>
      <c r="EL80" s="56">
        <v>8.4548020971366693E-3</v>
      </c>
      <c r="EM80" s="56">
        <v>1.8810254945368799E-2</v>
      </c>
      <c r="EN80" s="56">
        <v>2.22761173106041E-2</v>
      </c>
      <c r="EO80" s="56">
        <v>1.3946599744929299E-2</v>
      </c>
      <c r="EP80" s="56">
        <v>6.2079039195002102E-3</v>
      </c>
      <c r="EQ80" s="56">
        <v>2.2043899619608402E-2</v>
      </c>
      <c r="ER80" s="56">
        <v>1.3914278574904199E-2</v>
      </c>
      <c r="ES80" s="56">
        <v>2.3451585705947402E-2</v>
      </c>
      <c r="ET80" s="56">
        <v>2.5233514568520701E-2</v>
      </c>
      <c r="EU80" s="56">
        <v>1.0458130392859699E-2</v>
      </c>
      <c r="EV80" s="56">
        <v>9.6280890628823706E-3</v>
      </c>
      <c r="EW80" s="56">
        <v>1.1765846329080201E-2</v>
      </c>
      <c r="EX80" s="56">
        <v>9.4852571319072893E-3</v>
      </c>
      <c r="EY80" s="56">
        <v>7.6877446909477997E-3</v>
      </c>
      <c r="EZ80" s="56">
        <v>1.29270762203018E-2</v>
      </c>
      <c r="FA80" s="56">
        <v>1.8317913431586699E-2</v>
      </c>
      <c r="FB80" s="56">
        <v>6.2434369721045E-3</v>
      </c>
      <c r="FC80" s="56">
        <v>-8.7795914200479198E-3</v>
      </c>
      <c r="FD80" s="56">
        <v>-9.0175659438119799E-3</v>
      </c>
      <c r="FE80" s="56">
        <v>-7.7369885792799597E-4</v>
      </c>
      <c r="FF80" s="56">
        <v>2.8313879579338098E-3</v>
      </c>
      <c r="FG80" s="56">
        <v>4.3560933448574301E-3</v>
      </c>
      <c r="FH80" s="56">
        <v>3.1438963661607499E-3</v>
      </c>
      <c r="FI80" s="56">
        <v>4.4951788349134603E-3</v>
      </c>
      <c r="FJ80" s="56">
        <v>6.0350717376451701E-3</v>
      </c>
      <c r="FK80" s="56">
        <v>1.01075268817203E-2</v>
      </c>
      <c r="FL80" s="56">
        <v>1.1306208890333101E-2</v>
      </c>
      <c r="FM80" s="56">
        <v>9.3959136639631992E-3</v>
      </c>
      <c r="FN80" s="56">
        <v>7.44237102085643E-3</v>
      </c>
      <c r="FO80" s="56">
        <v>7.8341214670181198E-3</v>
      </c>
      <c r="FP80" s="56">
        <v>5.4596365287522498E-3</v>
      </c>
      <c r="FQ80" s="56">
        <v>1.9461947054904001E-3</v>
      </c>
      <c r="FR80" s="56">
        <v>3.9599497762468098E-3</v>
      </c>
      <c r="FS80" s="56">
        <v>4.9598084487771903E-3</v>
      </c>
      <c r="FT80" s="56">
        <v>5.3501531654187601E-3</v>
      </c>
      <c r="FU80" s="56">
        <v>7.4376580370083501E-3</v>
      </c>
      <c r="FV80" s="56">
        <v>5.5554388691689801E-3</v>
      </c>
      <c r="FW80" s="56">
        <v>4.4281521864000303E-3</v>
      </c>
      <c r="FX80" s="56">
        <v>4.6269820639459596E-3</v>
      </c>
      <c r="FY80" s="56">
        <v>1.64562202442542E-3</v>
      </c>
      <c r="FZ80" s="56">
        <v>-3.8231434505409101E-4</v>
      </c>
      <c r="GA80" s="56">
        <v>4.1967294453286704E-3</v>
      </c>
      <c r="GB80" s="56">
        <v>2.77926462716693E-3</v>
      </c>
      <c r="GC80" s="56">
        <v>-6.6722782237382805E-4</v>
      </c>
      <c r="GD80" s="56">
        <v>-2.4652553080027899E-3</v>
      </c>
      <c r="GE80" s="56">
        <v>8.0421776693131407E-3</v>
      </c>
      <c r="GF80" s="56">
        <v>6.02692708439712E-4</v>
      </c>
      <c r="GG80" s="56">
        <v>4.7675926209509402E-3</v>
      </c>
      <c r="GH80" s="56">
        <v>6.4011379800852398E-3</v>
      </c>
      <c r="GI80" s="56">
        <v>5.2498738011104197E-3</v>
      </c>
      <c r="GJ80" s="56">
        <v>8.4563623581401792E-3</v>
      </c>
      <c r="GK80" s="56">
        <v>5.5371867904234796E-3</v>
      </c>
      <c r="GL80" s="56">
        <v>9.3395927422550394E-3</v>
      </c>
      <c r="GM80" s="56">
        <v>1.2785665924188699E-2</v>
      </c>
      <c r="GN80" s="56">
        <v>6.61731935590137E-3</v>
      </c>
      <c r="GO80" s="56">
        <v>1.00869130003753E-2</v>
      </c>
      <c r="GP80" s="56">
        <v>3.7734051169659999E-3</v>
      </c>
      <c r="GQ80" s="56">
        <v>1.0508728795056E-2</v>
      </c>
      <c r="GR80" s="56">
        <v>4.3589358184279404E-3</v>
      </c>
      <c r="GS80" s="56">
        <v>1.8987578569289499E-3</v>
      </c>
      <c r="GT80" s="56">
        <v>2.5206553703964701E-3</v>
      </c>
      <c r="GU80" s="56">
        <v>-3.6038552870513202E-3</v>
      </c>
      <c r="GV80" s="56">
        <v>9.8039215686274196E-3</v>
      </c>
      <c r="GW80" s="56">
        <v>5.0441011781909902E-3</v>
      </c>
      <c r="GX80" s="56">
        <v>1.4595918668042E-2</v>
      </c>
      <c r="GY80" s="56">
        <v>2.3135500149758799E-2</v>
      </c>
      <c r="GZ80" s="56">
        <v>2.1601050334439299E-2</v>
      </c>
      <c r="HA80" s="56">
        <v>2.97843888121847E-2</v>
      </c>
      <c r="HB80" s="56">
        <v>2.9732441753590199E-2</v>
      </c>
      <c r="HC80">
        <v>3.29520050443428E-2</v>
      </c>
      <c r="HD80">
        <v>2.3069422313125601E-2</v>
      </c>
      <c r="HE80">
        <v>1.35140370861133E-2</v>
      </c>
      <c r="HF80">
        <v>1.23016934898124E-2</v>
      </c>
      <c r="HG80">
        <v>5.2868493398983097E-4</v>
      </c>
      <c r="HH80">
        <v>1.4644383048749701E-3</v>
      </c>
      <c r="HI80">
        <v>3.0075074622366599E-3</v>
      </c>
      <c r="HJ80">
        <v>5.8992838194293898E-3</v>
      </c>
      <c r="HK80">
        <v>8.29274123658852E-4</v>
      </c>
      <c r="HL80">
        <v>7.94249158349691E-3</v>
      </c>
      <c r="HM80">
        <v>3.1771423493078799E-3</v>
      </c>
      <c r="HN80">
        <v>7.3455587054098697E-3</v>
      </c>
      <c r="HO80">
        <v>1.26785439461785E-3</v>
      </c>
    </row>
    <row r="81" spans="1:223" x14ac:dyDescent="0.35">
      <c r="A81" s="56" t="s">
        <v>2316</v>
      </c>
      <c r="B81" s="56">
        <v>545.1</v>
      </c>
      <c r="C81" s="56">
        <v>549</v>
      </c>
      <c r="D81" s="56">
        <v>555.70000000000005</v>
      </c>
      <c r="E81" s="56">
        <v>556.29999999999995</v>
      </c>
      <c r="F81" s="56">
        <v>570.5</v>
      </c>
      <c r="G81" s="56">
        <v>580.4</v>
      </c>
      <c r="H81" s="56">
        <v>588.79999999999995</v>
      </c>
      <c r="I81" s="56">
        <v>598.4</v>
      </c>
      <c r="J81" s="56">
        <v>618.5</v>
      </c>
      <c r="K81" s="56">
        <v>630.4</v>
      </c>
      <c r="L81" s="56">
        <v>642.29999999999995</v>
      </c>
      <c r="M81" s="56">
        <v>664</v>
      </c>
      <c r="N81" s="56">
        <v>683.4</v>
      </c>
      <c r="O81" s="56">
        <v>700.2</v>
      </c>
      <c r="P81" s="56">
        <v>716.2</v>
      </c>
      <c r="Q81" s="56">
        <v>735.4</v>
      </c>
      <c r="R81" s="56">
        <v>748.2</v>
      </c>
      <c r="S81" s="56">
        <v>765.3</v>
      </c>
      <c r="T81" s="56">
        <v>783.2</v>
      </c>
      <c r="U81" s="56">
        <v>792.5</v>
      </c>
      <c r="V81" s="56">
        <v>792</v>
      </c>
      <c r="W81" s="56">
        <v>800.4</v>
      </c>
      <c r="X81" s="56">
        <v>821.3</v>
      </c>
      <c r="Y81" s="56">
        <v>845.8</v>
      </c>
      <c r="Z81" s="56">
        <v>871.3</v>
      </c>
      <c r="AA81" s="56">
        <v>889.4</v>
      </c>
      <c r="AB81" s="56">
        <v>908.5</v>
      </c>
      <c r="AC81" s="56">
        <v>930</v>
      </c>
      <c r="AD81" s="56">
        <v>950.1</v>
      </c>
      <c r="AE81" s="56">
        <v>981</v>
      </c>
      <c r="AF81" s="56">
        <v>1007.6</v>
      </c>
      <c r="AG81" s="56">
        <v>1038.2</v>
      </c>
      <c r="AH81" s="56">
        <v>1063.9000000000001</v>
      </c>
      <c r="AI81" s="56">
        <v>1106.0999999999999</v>
      </c>
      <c r="AJ81" s="56">
        <v>1138.0999999999999</v>
      </c>
      <c r="AK81" s="56">
        <v>1174.5</v>
      </c>
      <c r="AL81" s="56">
        <v>1208.5999999999999</v>
      </c>
      <c r="AM81" s="56">
        <v>1234.5</v>
      </c>
      <c r="AN81" s="56">
        <v>1269.5</v>
      </c>
      <c r="AO81" s="56">
        <v>1301</v>
      </c>
      <c r="AP81" s="56">
        <v>1333.9</v>
      </c>
      <c r="AQ81" s="56">
        <v>1354</v>
      </c>
      <c r="AR81" s="56">
        <v>1377.4</v>
      </c>
      <c r="AS81" s="56">
        <v>1428.8</v>
      </c>
      <c r="AT81" s="56">
        <v>1467.8</v>
      </c>
      <c r="AU81" s="56">
        <v>1496.8</v>
      </c>
      <c r="AV81" s="56">
        <v>1530.7</v>
      </c>
      <c r="AW81" s="56">
        <v>1550.7</v>
      </c>
      <c r="AX81" s="56">
        <v>1567.7</v>
      </c>
      <c r="AY81" s="56">
        <v>1581.9</v>
      </c>
      <c r="AZ81" s="56">
        <v>1596.6</v>
      </c>
      <c r="BA81" s="56">
        <v>1604.5</v>
      </c>
      <c r="BB81" s="56">
        <v>1622.6</v>
      </c>
      <c r="BC81" s="56">
        <v>1654.8</v>
      </c>
      <c r="BD81" s="56">
        <v>1691.6</v>
      </c>
      <c r="BE81" s="56">
        <v>1741.7</v>
      </c>
      <c r="BF81" s="56">
        <v>1784.2</v>
      </c>
      <c r="BG81" s="56">
        <v>1828.4</v>
      </c>
      <c r="BH81" s="56">
        <v>1867.3</v>
      </c>
      <c r="BI81" s="56">
        <v>1900.7</v>
      </c>
      <c r="BJ81" s="56">
        <v>1932.4</v>
      </c>
      <c r="BK81" s="56">
        <v>1963.8</v>
      </c>
      <c r="BL81" s="56">
        <v>1997.6</v>
      </c>
      <c r="BM81" s="56">
        <v>2037.2</v>
      </c>
      <c r="BN81" s="56">
        <v>2065.5</v>
      </c>
      <c r="BO81" s="56">
        <v>2083.6</v>
      </c>
      <c r="BP81" s="56">
        <v>2113.1</v>
      </c>
      <c r="BQ81" s="56">
        <v>2154.1999999999998</v>
      </c>
      <c r="BR81" s="56">
        <v>2194.3000000000002</v>
      </c>
      <c r="BS81" s="56">
        <v>2231.4</v>
      </c>
      <c r="BT81" s="56">
        <v>2272</v>
      </c>
      <c r="BU81" s="56">
        <v>2332.8000000000002</v>
      </c>
      <c r="BV81" s="56">
        <v>2367.1</v>
      </c>
      <c r="BW81" s="56">
        <v>2422.5</v>
      </c>
      <c r="BX81" s="56">
        <v>2463.6</v>
      </c>
      <c r="BY81" s="56">
        <v>2509.5</v>
      </c>
      <c r="BZ81" s="56">
        <v>2541.9</v>
      </c>
      <c r="CA81" s="56">
        <v>2564.6999999999998</v>
      </c>
      <c r="CB81" s="56">
        <v>2593.5</v>
      </c>
      <c r="CC81" s="56">
        <v>2637.3</v>
      </c>
      <c r="CD81" s="56">
        <v>2686.6</v>
      </c>
      <c r="CE81" s="56">
        <v>2741</v>
      </c>
      <c r="CF81" s="56">
        <v>2771.6</v>
      </c>
      <c r="CG81" s="56">
        <v>2774.8</v>
      </c>
      <c r="CH81" s="56">
        <v>2774.1</v>
      </c>
      <c r="CI81" s="56">
        <v>2802.8</v>
      </c>
      <c r="CJ81" s="56">
        <v>2830.9</v>
      </c>
      <c r="CK81" s="56">
        <v>2861.2</v>
      </c>
      <c r="CL81" s="56">
        <v>2915.9</v>
      </c>
      <c r="CM81" s="56">
        <v>2955</v>
      </c>
      <c r="CN81" s="56">
        <v>2979.4</v>
      </c>
      <c r="CO81" s="56">
        <v>3023.8</v>
      </c>
      <c r="CP81" s="56">
        <v>3019</v>
      </c>
      <c r="CQ81" s="56">
        <v>3069.8</v>
      </c>
      <c r="CR81" s="56">
        <v>3096.9</v>
      </c>
      <c r="CS81" s="56">
        <v>3144.9</v>
      </c>
      <c r="CT81" s="56">
        <v>3156.6</v>
      </c>
      <c r="CU81" s="56">
        <v>3227.4</v>
      </c>
      <c r="CV81" s="56">
        <v>3262.7</v>
      </c>
      <c r="CW81" s="56">
        <v>3315.7</v>
      </c>
      <c r="CX81" s="56">
        <v>3362.1</v>
      </c>
      <c r="CY81" s="56">
        <v>3399.3</v>
      </c>
      <c r="CZ81" s="56">
        <v>3443</v>
      </c>
      <c r="DA81" s="56">
        <v>3484.1</v>
      </c>
      <c r="DB81" s="56">
        <v>3528.3</v>
      </c>
      <c r="DC81" s="56">
        <v>3594</v>
      </c>
      <c r="DD81" s="56">
        <v>3651.3</v>
      </c>
      <c r="DE81" s="56">
        <v>3708.7</v>
      </c>
      <c r="DF81" s="56">
        <v>3780.5</v>
      </c>
      <c r="DG81" s="56">
        <v>3840</v>
      </c>
      <c r="DH81" s="56">
        <v>3907.4</v>
      </c>
      <c r="DI81" s="56">
        <v>3997.1</v>
      </c>
      <c r="DJ81" s="56">
        <v>4079.3</v>
      </c>
      <c r="DK81" s="56">
        <v>4149.8999999999996</v>
      </c>
      <c r="DL81" s="56">
        <v>4222</v>
      </c>
      <c r="DM81" s="56">
        <v>4293.5</v>
      </c>
      <c r="DN81" s="56">
        <v>4372.7</v>
      </c>
      <c r="DO81" s="56">
        <v>4416.8999999999996</v>
      </c>
      <c r="DP81" s="56">
        <v>4480.2</v>
      </c>
      <c r="DQ81" s="56">
        <v>4591</v>
      </c>
      <c r="DR81" s="56">
        <v>4758.7</v>
      </c>
      <c r="DS81" s="56">
        <v>4786.6000000000004</v>
      </c>
      <c r="DT81" s="56">
        <v>4878.8</v>
      </c>
      <c r="DU81" s="56">
        <v>4905.7</v>
      </c>
      <c r="DV81" s="56">
        <v>4987.2</v>
      </c>
      <c r="DW81" s="56">
        <v>4969.3</v>
      </c>
      <c r="DX81" s="56">
        <v>4944.1000000000004</v>
      </c>
      <c r="DY81" s="56">
        <v>4946</v>
      </c>
      <c r="DZ81" s="56">
        <v>4953.8999999999996</v>
      </c>
      <c r="EA81" s="56">
        <v>5006.3999999999996</v>
      </c>
      <c r="EB81" s="56">
        <v>5020.5</v>
      </c>
      <c r="EC81" s="56">
        <v>5035.5</v>
      </c>
      <c r="ED81" s="56">
        <v>5035.7</v>
      </c>
      <c r="EE81" s="56">
        <v>5109.8</v>
      </c>
      <c r="EF81" s="56">
        <v>5177.3999999999996</v>
      </c>
      <c r="EG81" s="56">
        <v>5264.9</v>
      </c>
      <c r="EH81" s="56">
        <v>5284</v>
      </c>
      <c r="EI81" s="56">
        <v>5390.8</v>
      </c>
      <c r="EJ81" s="56">
        <v>5502.5</v>
      </c>
      <c r="EK81" s="56">
        <v>5546.1</v>
      </c>
      <c r="EL81" s="56">
        <v>5586.1</v>
      </c>
      <c r="EM81" s="56">
        <v>5649.4</v>
      </c>
      <c r="EN81" s="56">
        <v>5749.8</v>
      </c>
      <c r="EO81" s="56">
        <v>5826.7</v>
      </c>
      <c r="EP81" s="56">
        <v>5983.1</v>
      </c>
      <c r="EQ81" s="56">
        <v>6024.2</v>
      </c>
      <c r="ER81" s="56">
        <v>6073</v>
      </c>
      <c r="ES81" s="56">
        <v>6193</v>
      </c>
      <c r="ET81" s="56">
        <v>6354.7</v>
      </c>
      <c r="EU81" s="56">
        <v>6381.4</v>
      </c>
      <c r="EV81" s="56">
        <v>6407.7</v>
      </c>
      <c r="EW81" s="56">
        <v>6485.3</v>
      </c>
      <c r="EX81" s="56">
        <v>6552.3</v>
      </c>
      <c r="EY81" s="56">
        <v>6544.1</v>
      </c>
      <c r="EZ81" s="56">
        <v>6558</v>
      </c>
      <c r="FA81" s="56">
        <v>6529.4</v>
      </c>
      <c r="FB81" s="56">
        <v>6234.6</v>
      </c>
      <c r="FC81" s="56">
        <v>6262.8</v>
      </c>
      <c r="FD81" s="56">
        <v>6245.2</v>
      </c>
      <c r="FE81" s="56">
        <v>6286.6</v>
      </c>
      <c r="FF81" s="56">
        <v>6240.2</v>
      </c>
      <c r="FG81" s="56">
        <v>6368.2</v>
      </c>
      <c r="FH81" s="56">
        <v>6430.5</v>
      </c>
      <c r="FI81" s="56">
        <v>6481.4</v>
      </c>
      <c r="FJ81" s="56">
        <v>6584.9</v>
      </c>
      <c r="FK81" s="56">
        <v>6615.9</v>
      </c>
      <c r="FL81" s="56">
        <v>6689.7</v>
      </c>
      <c r="FM81" s="56">
        <v>6645.7</v>
      </c>
      <c r="FN81" s="56">
        <v>6844.2</v>
      </c>
      <c r="FO81" s="56">
        <v>6884.3</v>
      </c>
      <c r="FP81" s="56">
        <v>6914.2</v>
      </c>
      <c r="FQ81" s="56">
        <v>7101.8</v>
      </c>
      <c r="FR81" s="56">
        <v>7052.2</v>
      </c>
      <c r="FS81" s="56">
        <v>7111.5</v>
      </c>
      <c r="FT81" s="56">
        <v>7121.5</v>
      </c>
      <c r="FU81" s="56">
        <v>7205.1</v>
      </c>
      <c r="FV81" s="56">
        <v>7367.7</v>
      </c>
      <c r="FW81" s="56">
        <v>7418.9</v>
      </c>
      <c r="FX81" s="56">
        <v>7512.6</v>
      </c>
      <c r="FY81" s="56">
        <v>7643.9</v>
      </c>
      <c r="FZ81" s="56">
        <v>7755.9</v>
      </c>
      <c r="GA81" s="56">
        <v>7840.7</v>
      </c>
      <c r="GB81" s="56">
        <v>7913.3</v>
      </c>
      <c r="GC81" s="56">
        <v>7968.5</v>
      </c>
      <c r="GD81" s="56">
        <v>8003.5</v>
      </c>
      <c r="GE81" s="56">
        <v>8050.2</v>
      </c>
      <c r="GF81" s="56">
        <v>8130.4</v>
      </c>
      <c r="GG81" s="56">
        <v>8224.9</v>
      </c>
      <c r="GH81" s="56">
        <v>8321.2999999999993</v>
      </c>
      <c r="GI81" s="56">
        <v>8412.7999999999993</v>
      </c>
      <c r="GJ81" s="56">
        <v>8529.1</v>
      </c>
      <c r="GK81" s="56">
        <v>8676.9</v>
      </c>
      <c r="GL81" s="56">
        <v>8772.7000000000007</v>
      </c>
      <c r="GM81" s="56">
        <v>8853.5</v>
      </c>
      <c r="GN81" s="56">
        <v>8979.5</v>
      </c>
      <c r="GO81" s="56">
        <v>9034.7000000000007</v>
      </c>
      <c r="GP81" s="56">
        <v>9233.2999999999993</v>
      </c>
      <c r="GQ81" s="56">
        <v>9285</v>
      </c>
      <c r="GR81" s="56">
        <v>9341</v>
      </c>
      <c r="GS81" s="56">
        <v>9488.7999999999993</v>
      </c>
      <c r="GT81" s="56">
        <v>9636.5</v>
      </c>
      <c r="GU81" s="56">
        <v>9005.2999999999993</v>
      </c>
      <c r="GV81" s="56">
        <v>9441.7999999999993</v>
      </c>
      <c r="GW81" s="56">
        <v>9809.5</v>
      </c>
      <c r="GX81" s="56">
        <v>9889.7999999999993</v>
      </c>
      <c r="GY81" s="56">
        <v>10182.5</v>
      </c>
      <c r="GZ81" s="56">
        <v>10462.799999999999</v>
      </c>
      <c r="HA81" s="56">
        <v>10772</v>
      </c>
      <c r="HB81" s="56">
        <v>10909.7</v>
      </c>
      <c r="HC81">
        <v>11012.9</v>
      </c>
      <c r="HD81">
        <v>11296.3</v>
      </c>
      <c r="HE81">
        <v>11343.1</v>
      </c>
      <c r="HF81">
        <v>11499.3</v>
      </c>
      <c r="HG81">
        <v>11660.4</v>
      </c>
      <c r="HH81">
        <v>11843.5</v>
      </c>
      <c r="HI81">
        <v>11975.4</v>
      </c>
      <c r="HJ81">
        <v>12270.7</v>
      </c>
      <c r="HK81">
        <v>12363.5</v>
      </c>
      <c r="HL81">
        <v>12425.1</v>
      </c>
      <c r="HM81">
        <v>12627.8</v>
      </c>
      <c r="HN81">
        <v>12788.7</v>
      </c>
      <c r="HO81">
        <v>12941.1</v>
      </c>
    </row>
    <row r="82" spans="1:223" x14ac:dyDescent="0.35">
      <c r="A82" s="56" t="s">
        <v>2317</v>
      </c>
      <c r="B82" s="56">
        <v>77.099999999999994</v>
      </c>
      <c r="C82" s="56">
        <v>76.7</v>
      </c>
      <c r="D82" s="56">
        <v>78.5</v>
      </c>
      <c r="E82" s="56">
        <v>78.900000000000006</v>
      </c>
      <c r="F82" s="56">
        <v>80.3</v>
      </c>
      <c r="G82" s="56">
        <v>82.8</v>
      </c>
      <c r="H82" s="56">
        <v>84.6</v>
      </c>
      <c r="I82" s="56">
        <v>87.9</v>
      </c>
      <c r="J82" s="56">
        <v>87.9</v>
      </c>
      <c r="K82" s="56">
        <v>91.3</v>
      </c>
      <c r="L82" s="56">
        <v>95.5</v>
      </c>
      <c r="M82" s="56">
        <v>105.6</v>
      </c>
      <c r="N82" s="56">
        <v>104.1</v>
      </c>
      <c r="O82" s="56">
        <v>109.9</v>
      </c>
      <c r="P82" s="56">
        <v>113.8</v>
      </c>
      <c r="Q82" s="56">
        <v>122.2</v>
      </c>
      <c r="R82" s="56">
        <v>115.7</v>
      </c>
      <c r="S82" s="56">
        <v>108.6</v>
      </c>
      <c r="T82" s="56">
        <v>111</v>
      </c>
      <c r="U82" s="56">
        <v>113.5</v>
      </c>
      <c r="V82" s="56">
        <v>112.7</v>
      </c>
      <c r="W82" s="56">
        <v>114.3</v>
      </c>
      <c r="X82" s="56">
        <v>120.7</v>
      </c>
      <c r="Y82" s="56">
        <v>125.2</v>
      </c>
      <c r="Z82" s="56">
        <v>126.4</v>
      </c>
      <c r="AA82" s="56">
        <v>128.6</v>
      </c>
      <c r="AB82" s="56">
        <v>132.69999999999999</v>
      </c>
      <c r="AC82" s="56">
        <v>136.19999999999999</v>
      </c>
      <c r="AD82" s="56">
        <v>138.6</v>
      </c>
      <c r="AE82" s="56">
        <v>140.5</v>
      </c>
      <c r="AF82" s="56">
        <v>142.4</v>
      </c>
      <c r="AG82" s="56">
        <v>156.5</v>
      </c>
      <c r="AH82" s="56">
        <v>158.5</v>
      </c>
      <c r="AI82" s="56">
        <v>166.1</v>
      </c>
      <c r="AJ82" s="56">
        <v>168.3</v>
      </c>
      <c r="AK82" s="56">
        <v>170.9</v>
      </c>
      <c r="AL82" s="56">
        <v>180.1</v>
      </c>
      <c r="AM82" s="56">
        <v>179.2</v>
      </c>
      <c r="AN82" s="56">
        <v>180.7</v>
      </c>
      <c r="AO82" s="56">
        <v>177.8</v>
      </c>
      <c r="AP82" s="56">
        <v>167.6</v>
      </c>
      <c r="AQ82" s="56">
        <v>160.30000000000001</v>
      </c>
      <c r="AR82" s="56">
        <v>173.4</v>
      </c>
      <c r="AS82" s="56">
        <v>185</v>
      </c>
      <c r="AT82" s="56">
        <v>188.2</v>
      </c>
      <c r="AU82" s="56">
        <v>176.4</v>
      </c>
      <c r="AV82" s="56">
        <v>182.3</v>
      </c>
      <c r="AW82" s="56">
        <v>171.8</v>
      </c>
      <c r="AX82" s="56">
        <v>165.2</v>
      </c>
      <c r="AY82" s="56">
        <v>169.4</v>
      </c>
      <c r="AZ82" s="56">
        <v>170.7</v>
      </c>
      <c r="BA82" s="56">
        <v>179.5</v>
      </c>
      <c r="BB82" s="56">
        <v>183.3</v>
      </c>
      <c r="BC82" s="56">
        <v>182.6</v>
      </c>
      <c r="BD82" s="56">
        <v>183.8</v>
      </c>
      <c r="BE82" s="56">
        <v>195.3</v>
      </c>
      <c r="BF82" s="56">
        <v>221.9</v>
      </c>
      <c r="BG82" s="56">
        <v>231.8</v>
      </c>
      <c r="BH82" s="56">
        <v>232.4</v>
      </c>
      <c r="BI82" s="56">
        <v>226.9</v>
      </c>
      <c r="BJ82" s="56">
        <v>240.7</v>
      </c>
      <c r="BK82" s="56">
        <v>238.5</v>
      </c>
      <c r="BL82" s="56">
        <v>240.7</v>
      </c>
      <c r="BM82" s="56">
        <v>244.3</v>
      </c>
      <c r="BN82" s="56">
        <v>245.6</v>
      </c>
      <c r="BO82" s="56">
        <v>251.6</v>
      </c>
      <c r="BP82" s="56">
        <v>264.39999999999998</v>
      </c>
      <c r="BQ82" s="56">
        <v>264.2</v>
      </c>
      <c r="BR82" s="56">
        <v>275.39999999999998</v>
      </c>
      <c r="BS82" s="56">
        <v>282.3</v>
      </c>
      <c r="BT82" s="56">
        <v>289.5</v>
      </c>
      <c r="BU82" s="56">
        <v>298.60000000000002</v>
      </c>
      <c r="BV82" s="56">
        <v>319.2</v>
      </c>
      <c r="BW82" s="56">
        <v>322.5</v>
      </c>
      <c r="BX82" s="56">
        <v>333.6</v>
      </c>
      <c r="BY82" s="56">
        <v>326.8</v>
      </c>
      <c r="BZ82" s="56">
        <v>348.1</v>
      </c>
      <c r="CA82" s="56">
        <v>339.5</v>
      </c>
      <c r="CB82" s="56">
        <v>337.2</v>
      </c>
      <c r="CC82" s="56">
        <v>339.7</v>
      </c>
      <c r="CD82" s="56">
        <v>345.6</v>
      </c>
      <c r="CE82" s="56">
        <v>351.1</v>
      </c>
      <c r="CF82" s="56">
        <v>358.9</v>
      </c>
      <c r="CG82" s="56">
        <v>357</v>
      </c>
      <c r="CH82" s="56">
        <v>347.5</v>
      </c>
      <c r="CI82" s="56">
        <v>353</v>
      </c>
      <c r="CJ82" s="56">
        <v>353.6</v>
      </c>
      <c r="CK82" s="56">
        <v>362.6</v>
      </c>
      <c r="CL82" s="56">
        <v>378.7</v>
      </c>
      <c r="CM82" s="56">
        <v>395.2</v>
      </c>
      <c r="CN82" s="56">
        <v>407.9</v>
      </c>
      <c r="CO82" s="56">
        <v>418.8</v>
      </c>
      <c r="CP82" s="56">
        <v>418.9</v>
      </c>
      <c r="CQ82" s="56">
        <v>429.6</v>
      </c>
      <c r="CR82" s="56">
        <v>423.4</v>
      </c>
      <c r="CS82" s="56">
        <v>440</v>
      </c>
      <c r="CT82" s="56">
        <v>450.2</v>
      </c>
      <c r="CU82" s="56">
        <v>454.1</v>
      </c>
      <c r="CV82" s="56">
        <v>456.8</v>
      </c>
      <c r="CW82" s="56">
        <v>465.5</v>
      </c>
      <c r="CX82" s="56">
        <v>467.4</v>
      </c>
      <c r="CY82" s="56">
        <v>472</v>
      </c>
      <c r="CZ82" s="56">
        <v>484.5</v>
      </c>
      <c r="DA82" s="56">
        <v>501</v>
      </c>
      <c r="DB82" s="56">
        <v>523.29999999999995</v>
      </c>
      <c r="DC82" s="56">
        <v>547.5</v>
      </c>
      <c r="DD82" s="56">
        <v>547.5</v>
      </c>
      <c r="DE82" s="56">
        <v>556.79999999999995</v>
      </c>
      <c r="DF82" s="56">
        <v>575.6</v>
      </c>
      <c r="DG82" s="56">
        <v>575.1</v>
      </c>
      <c r="DH82" s="56">
        <v>588.5</v>
      </c>
      <c r="DI82" s="56">
        <v>596.6</v>
      </c>
      <c r="DJ82" s="56">
        <v>617.4</v>
      </c>
      <c r="DK82" s="56">
        <v>630.20000000000005</v>
      </c>
      <c r="DL82" s="56">
        <v>645.4</v>
      </c>
      <c r="DM82" s="56">
        <v>668.1</v>
      </c>
      <c r="DN82" s="56">
        <v>682.4</v>
      </c>
      <c r="DO82" s="56">
        <v>690.2</v>
      </c>
      <c r="DP82" s="56">
        <v>699.5</v>
      </c>
      <c r="DQ82" s="56">
        <v>713.3</v>
      </c>
      <c r="DR82" s="56">
        <v>720.6</v>
      </c>
      <c r="DS82" s="56">
        <v>750.7</v>
      </c>
      <c r="DT82" s="56">
        <v>760.3</v>
      </c>
      <c r="DU82" s="56">
        <v>782.7</v>
      </c>
      <c r="DV82" s="56">
        <v>810</v>
      </c>
      <c r="DW82" s="56">
        <v>827.8</v>
      </c>
      <c r="DX82" s="56">
        <v>845.6</v>
      </c>
      <c r="DY82" s="56">
        <v>840.9</v>
      </c>
      <c r="DZ82" s="56">
        <v>859.7</v>
      </c>
      <c r="EA82" s="56">
        <v>864.4</v>
      </c>
      <c r="EB82" s="56">
        <v>873</v>
      </c>
      <c r="EC82" s="56">
        <v>883.4</v>
      </c>
      <c r="ED82" s="56">
        <v>876.3</v>
      </c>
      <c r="EE82" s="56">
        <v>892.4</v>
      </c>
      <c r="EF82" s="56">
        <v>905.3</v>
      </c>
      <c r="EG82" s="56">
        <v>916.1</v>
      </c>
      <c r="EH82" s="56">
        <v>946.6</v>
      </c>
      <c r="EI82" s="56">
        <v>963</v>
      </c>
      <c r="EJ82" s="56">
        <v>964.2</v>
      </c>
      <c r="EK82" s="56">
        <v>977.8</v>
      </c>
      <c r="EL82" s="56">
        <v>957.1</v>
      </c>
      <c r="EM82" s="56">
        <v>963.9</v>
      </c>
      <c r="EN82" s="56">
        <v>988</v>
      </c>
      <c r="EO82" s="56">
        <v>1007.5</v>
      </c>
      <c r="EP82" s="56">
        <v>1049.5</v>
      </c>
      <c r="EQ82" s="56">
        <v>1052</v>
      </c>
      <c r="ER82" s="56">
        <v>1048.8</v>
      </c>
      <c r="ES82" s="56">
        <v>1053.2</v>
      </c>
      <c r="ET82" s="56">
        <v>1017.2</v>
      </c>
      <c r="EU82" s="56">
        <v>998.5</v>
      </c>
      <c r="EV82" s="56">
        <v>987.1</v>
      </c>
      <c r="EW82" s="56">
        <v>978.8</v>
      </c>
      <c r="EX82" s="56">
        <v>965</v>
      </c>
      <c r="EY82" s="56">
        <v>967.5</v>
      </c>
      <c r="EZ82" s="56">
        <v>957.2</v>
      </c>
      <c r="FA82" s="56">
        <v>951.5</v>
      </c>
      <c r="FB82" s="56">
        <v>913.8</v>
      </c>
      <c r="FC82" s="56">
        <v>902</v>
      </c>
      <c r="FD82" s="56">
        <v>935</v>
      </c>
      <c r="FE82" s="56">
        <v>1001.7</v>
      </c>
      <c r="FF82" s="56">
        <v>1057.0999999999999</v>
      </c>
      <c r="FG82" s="56">
        <v>1103.5</v>
      </c>
      <c r="FH82" s="56">
        <v>1129</v>
      </c>
      <c r="FI82" s="56">
        <v>1144.4000000000001</v>
      </c>
      <c r="FJ82" s="56">
        <v>1181.2</v>
      </c>
      <c r="FK82" s="56">
        <v>1211.9000000000001</v>
      </c>
      <c r="FL82" s="56">
        <v>1252.0999999999999</v>
      </c>
      <c r="FM82" s="56">
        <v>1268.2</v>
      </c>
      <c r="FN82" s="56">
        <v>1297.7</v>
      </c>
      <c r="FO82" s="56">
        <v>1308.7</v>
      </c>
      <c r="FP82" s="56">
        <v>1286.8</v>
      </c>
      <c r="FQ82" s="56">
        <v>1306.5999999999999</v>
      </c>
      <c r="FR82" s="56">
        <v>1339.6</v>
      </c>
      <c r="FS82" s="56">
        <v>1364.1</v>
      </c>
      <c r="FT82" s="56">
        <v>1363.1</v>
      </c>
      <c r="FU82" s="56">
        <v>1340.1</v>
      </c>
      <c r="FV82" s="56">
        <v>1349.4</v>
      </c>
      <c r="FW82" s="56">
        <v>1376.7</v>
      </c>
      <c r="FX82" s="56">
        <v>1381.9</v>
      </c>
      <c r="FY82" s="56">
        <v>1371.7</v>
      </c>
      <c r="FZ82" s="56">
        <v>1356.1</v>
      </c>
      <c r="GA82" s="56">
        <v>1339.9</v>
      </c>
      <c r="GB82" s="56">
        <v>1352.3</v>
      </c>
      <c r="GC82" s="56">
        <v>1342.5</v>
      </c>
      <c r="GD82" s="56">
        <v>1335.9</v>
      </c>
      <c r="GE82" s="56">
        <v>1334</v>
      </c>
      <c r="GF82" s="56">
        <v>1355.9</v>
      </c>
      <c r="GG82" s="56">
        <v>1371.1</v>
      </c>
      <c r="GH82" s="56">
        <v>1409.4</v>
      </c>
      <c r="GI82" s="56">
        <v>1419.7</v>
      </c>
      <c r="GJ82" s="56">
        <v>1423.9</v>
      </c>
      <c r="GK82" s="56">
        <v>1461.5</v>
      </c>
      <c r="GL82" s="56">
        <v>1472.2</v>
      </c>
      <c r="GM82" s="56">
        <v>1479.6</v>
      </c>
      <c r="GN82" s="56">
        <v>1499.9</v>
      </c>
      <c r="GO82" s="56">
        <v>1529.7</v>
      </c>
      <c r="GP82" s="56">
        <v>1534</v>
      </c>
      <c r="GQ82" s="56">
        <v>1535.6</v>
      </c>
      <c r="GR82" s="56">
        <v>1570.9</v>
      </c>
      <c r="GS82" s="56">
        <v>1582.7</v>
      </c>
      <c r="GT82" s="56">
        <v>1577.7</v>
      </c>
      <c r="GU82" s="56">
        <v>1424.4</v>
      </c>
      <c r="GV82" s="56">
        <v>1705.8</v>
      </c>
      <c r="GW82" s="56">
        <v>1668.1</v>
      </c>
      <c r="GX82" s="56">
        <v>1697.5</v>
      </c>
      <c r="GY82" s="56">
        <v>1845.5</v>
      </c>
      <c r="GZ82" s="56">
        <v>1867.1</v>
      </c>
      <c r="HA82" s="56">
        <v>1850.8</v>
      </c>
      <c r="HB82" s="56">
        <v>1833.3</v>
      </c>
      <c r="HC82">
        <v>1850.1</v>
      </c>
      <c r="HD82">
        <v>1895.3</v>
      </c>
      <c r="HE82">
        <v>1915.5</v>
      </c>
      <c r="HF82">
        <v>1934.7</v>
      </c>
      <c r="HG82">
        <v>1936.6</v>
      </c>
      <c r="HH82">
        <v>1954.6</v>
      </c>
      <c r="HI82">
        <v>1970.1</v>
      </c>
      <c r="HJ82">
        <v>1972.1</v>
      </c>
      <c r="HK82">
        <v>2002.3</v>
      </c>
      <c r="HL82">
        <v>2013.5</v>
      </c>
      <c r="HM82">
        <v>2035.5</v>
      </c>
      <c r="HN82">
        <v>2053.1999999999998</v>
      </c>
      <c r="HO82">
        <v>2070.5</v>
      </c>
    </row>
    <row r="83" spans="1:223" x14ac:dyDescent="0.35">
      <c r="A83" s="56" t="s">
        <v>2318</v>
      </c>
      <c r="B83" s="56">
        <v>20.399999999999999</v>
      </c>
      <c r="C83" s="56">
        <v>20.2</v>
      </c>
      <c r="D83" s="56">
        <v>20.9</v>
      </c>
      <c r="E83" s="56">
        <v>21.2</v>
      </c>
      <c r="F83" s="56">
        <v>21.1</v>
      </c>
      <c r="G83" s="56">
        <v>21.7</v>
      </c>
      <c r="H83" s="56">
        <v>22</v>
      </c>
      <c r="I83" s="56">
        <v>22.5</v>
      </c>
      <c r="J83" s="56">
        <v>23.1</v>
      </c>
      <c r="K83" s="56">
        <v>20.2</v>
      </c>
      <c r="L83" s="56">
        <v>23.9</v>
      </c>
      <c r="M83" s="56">
        <v>23.8</v>
      </c>
      <c r="N83" s="56">
        <v>23.5</v>
      </c>
      <c r="O83" s="56">
        <v>23.3</v>
      </c>
      <c r="P83" s="56">
        <v>22.3</v>
      </c>
      <c r="Q83" s="56">
        <v>23.3</v>
      </c>
      <c r="R83" s="56">
        <v>23.5</v>
      </c>
      <c r="S83" s="56">
        <v>22.9</v>
      </c>
      <c r="T83" s="56">
        <v>23.3</v>
      </c>
      <c r="U83" s="56">
        <v>23</v>
      </c>
      <c r="V83" s="56">
        <v>22.7</v>
      </c>
      <c r="W83" s="56">
        <v>22.4</v>
      </c>
      <c r="X83" s="56">
        <v>22.2</v>
      </c>
      <c r="Y83" s="56">
        <v>21.9</v>
      </c>
      <c r="Z83" s="56">
        <v>21.6</v>
      </c>
      <c r="AA83" s="56">
        <v>20.5</v>
      </c>
      <c r="AB83" s="56">
        <v>20</v>
      </c>
      <c r="AC83" s="56">
        <v>19.100000000000001</v>
      </c>
      <c r="AD83" s="56">
        <v>16.399999999999999</v>
      </c>
      <c r="AE83" s="56">
        <v>16.3</v>
      </c>
      <c r="AF83" s="56">
        <v>15.6</v>
      </c>
      <c r="AG83" s="56">
        <v>15.1</v>
      </c>
      <c r="AH83" s="56">
        <v>15.9</v>
      </c>
      <c r="AI83" s="56">
        <v>15.6</v>
      </c>
      <c r="AJ83" s="56">
        <v>17.100000000000001</v>
      </c>
      <c r="AK83" s="56">
        <v>17.5</v>
      </c>
      <c r="AL83" s="56">
        <v>17.3</v>
      </c>
      <c r="AM83" s="56">
        <v>15.6</v>
      </c>
      <c r="AN83" s="56">
        <v>15.4</v>
      </c>
      <c r="AO83" s="56">
        <v>16.100000000000001</v>
      </c>
      <c r="AP83" s="56">
        <v>15.8</v>
      </c>
      <c r="AQ83" s="56">
        <v>17.100000000000001</v>
      </c>
      <c r="AR83" s="56">
        <v>19.899999999999999</v>
      </c>
      <c r="AS83" s="56">
        <v>23.2</v>
      </c>
      <c r="AT83" s="56">
        <v>24</v>
      </c>
      <c r="AU83" s="56">
        <v>23.3</v>
      </c>
      <c r="AV83" s="56">
        <v>23.1</v>
      </c>
      <c r="AW83" s="56">
        <v>24.7</v>
      </c>
      <c r="AX83" s="56">
        <v>23.5</v>
      </c>
      <c r="AY83" s="56">
        <v>21.1</v>
      </c>
      <c r="AZ83" s="56">
        <v>24.4</v>
      </c>
      <c r="BA83" s="56">
        <v>26.3</v>
      </c>
      <c r="BB83" s="56">
        <v>25.8</v>
      </c>
      <c r="BC83" s="56">
        <v>24.7</v>
      </c>
      <c r="BD83" s="56">
        <v>23.7</v>
      </c>
      <c r="BE83" s="56">
        <v>23.5</v>
      </c>
      <c r="BF83" s="56">
        <v>23.2</v>
      </c>
      <c r="BG83" s="56">
        <v>21.7</v>
      </c>
      <c r="BH83" s="56">
        <v>24.4</v>
      </c>
      <c r="BI83" s="56">
        <v>29.3</v>
      </c>
      <c r="BJ83" s="56">
        <v>26.9</v>
      </c>
      <c r="BK83" s="56">
        <v>25.3</v>
      </c>
      <c r="BL83" s="56">
        <v>27.1</v>
      </c>
      <c r="BM83" s="56">
        <v>25.6</v>
      </c>
      <c r="BN83" s="56">
        <v>22</v>
      </c>
      <c r="BO83" s="56">
        <v>21.1</v>
      </c>
      <c r="BP83" s="56">
        <v>16.600000000000001</v>
      </c>
      <c r="BQ83" s="56">
        <v>13.4</v>
      </c>
      <c r="BR83" s="56">
        <v>14.5</v>
      </c>
      <c r="BS83" s="56">
        <v>14.1</v>
      </c>
      <c r="BT83" s="56">
        <v>17.5</v>
      </c>
      <c r="BU83" s="56">
        <v>20.3</v>
      </c>
      <c r="BV83" s="56">
        <v>21.1</v>
      </c>
      <c r="BW83" s="56">
        <v>20.3</v>
      </c>
      <c r="BX83" s="56">
        <v>21.2</v>
      </c>
      <c r="BY83" s="56">
        <v>27.4</v>
      </c>
      <c r="BZ83" s="56">
        <v>23.1</v>
      </c>
      <c r="CA83" s="56">
        <v>21.2</v>
      </c>
      <c r="CB83" s="56">
        <v>20</v>
      </c>
      <c r="CC83" s="56">
        <v>21.8</v>
      </c>
      <c r="CD83" s="56">
        <v>23.1</v>
      </c>
      <c r="CE83" s="56">
        <v>26.7</v>
      </c>
      <c r="CF83" s="56">
        <v>31.6</v>
      </c>
      <c r="CG83" s="56">
        <v>31.3</v>
      </c>
      <c r="CH83" s="56">
        <v>33</v>
      </c>
      <c r="CI83" s="56">
        <v>35.5</v>
      </c>
      <c r="CJ83" s="56">
        <v>39.4</v>
      </c>
      <c r="CK83" s="56">
        <v>46.4</v>
      </c>
      <c r="CL83" s="56">
        <v>50</v>
      </c>
      <c r="CM83" s="56">
        <v>57.3</v>
      </c>
      <c r="CN83" s="56">
        <v>64.3</v>
      </c>
      <c r="CO83" s="56">
        <v>70.7</v>
      </c>
      <c r="CP83" s="56">
        <v>80.7</v>
      </c>
      <c r="CQ83" s="56">
        <v>86.9</v>
      </c>
      <c r="CR83" s="56">
        <v>92.5</v>
      </c>
      <c r="CS83" s="56">
        <v>100.2</v>
      </c>
      <c r="CT83" s="56">
        <v>109</v>
      </c>
      <c r="CU83" s="56">
        <v>113.5</v>
      </c>
      <c r="CV83" s="56">
        <v>116.3</v>
      </c>
      <c r="CW83" s="56">
        <v>115.9</v>
      </c>
      <c r="CX83" s="56">
        <v>118.3</v>
      </c>
      <c r="CY83" s="56">
        <v>121.6</v>
      </c>
      <c r="CZ83" s="56">
        <v>125.7</v>
      </c>
      <c r="DA83" s="56">
        <v>134</v>
      </c>
      <c r="DB83" s="56">
        <v>139.5</v>
      </c>
      <c r="DC83" s="56">
        <v>141.6</v>
      </c>
      <c r="DD83" s="56">
        <v>143.69999999999999</v>
      </c>
      <c r="DE83" s="56">
        <v>145.30000000000001</v>
      </c>
      <c r="DF83" s="56">
        <v>144.19999999999999</v>
      </c>
      <c r="DG83" s="56">
        <v>144.6</v>
      </c>
      <c r="DH83" s="56">
        <v>147.4</v>
      </c>
      <c r="DI83" s="56">
        <v>152.1</v>
      </c>
      <c r="DJ83" s="56">
        <v>156.80000000000001</v>
      </c>
      <c r="DK83" s="56">
        <v>162.6</v>
      </c>
      <c r="DL83" s="56">
        <v>168</v>
      </c>
      <c r="DM83" s="56">
        <v>173.4</v>
      </c>
      <c r="DN83" s="56">
        <v>176.1</v>
      </c>
      <c r="DO83" s="56">
        <v>179.6</v>
      </c>
      <c r="DP83" s="56">
        <v>179.4</v>
      </c>
      <c r="DQ83" s="56">
        <v>178.9</v>
      </c>
      <c r="DR83" s="56">
        <v>179.8</v>
      </c>
      <c r="DS83" s="56">
        <v>180.2</v>
      </c>
      <c r="DT83" s="56">
        <v>182.9</v>
      </c>
      <c r="DU83" s="56">
        <v>191</v>
      </c>
      <c r="DV83" s="56">
        <v>197.1</v>
      </c>
      <c r="DW83" s="56">
        <v>202.6</v>
      </c>
      <c r="DX83" s="56">
        <v>204.8</v>
      </c>
      <c r="DY83" s="56">
        <v>205.1</v>
      </c>
      <c r="DZ83" s="56">
        <v>207.3</v>
      </c>
      <c r="EA83" s="56">
        <v>208.9</v>
      </c>
      <c r="EB83" s="56">
        <v>207.7</v>
      </c>
      <c r="EC83" s="56">
        <v>209.9</v>
      </c>
      <c r="ED83" s="56">
        <v>218.7</v>
      </c>
      <c r="EE83" s="56">
        <v>223.2</v>
      </c>
      <c r="EF83" s="56">
        <v>227.5</v>
      </c>
      <c r="EG83" s="56">
        <v>239</v>
      </c>
      <c r="EH83" s="56">
        <v>243</v>
      </c>
      <c r="EI83" s="56">
        <v>243.4</v>
      </c>
      <c r="EJ83" s="56">
        <v>241.8</v>
      </c>
      <c r="EK83" s="56">
        <v>242.9</v>
      </c>
      <c r="EL83" s="56">
        <v>233.7</v>
      </c>
      <c r="EM83" s="56">
        <v>231.2</v>
      </c>
      <c r="EN83" s="56">
        <v>213.6</v>
      </c>
      <c r="EO83" s="56">
        <v>206</v>
      </c>
      <c r="EP83" s="56">
        <v>194.5</v>
      </c>
      <c r="EQ83" s="56">
        <v>183.4</v>
      </c>
      <c r="ER83" s="56">
        <v>177.8</v>
      </c>
      <c r="ES83" s="56">
        <v>168.7</v>
      </c>
      <c r="ET83" s="56">
        <v>162.5</v>
      </c>
      <c r="EU83" s="56">
        <v>180.3</v>
      </c>
      <c r="EV83" s="56">
        <v>193.6</v>
      </c>
      <c r="EW83" s="56">
        <v>208.7</v>
      </c>
      <c r="EX83" s="56">
        <v>249.2</v>
      </c>
      <c r="EY83" s="56">
        <v>281</v>
      </c>
      <c r="EZ83" s="56">
        <v>305.2</v>
      </c>
      <c r="FA83" s="56">
        <v>325.60000000000002</v>
      </c>
      <c r="FB83" s="56">
        <v>326.5</v>
      </c>
      <c r="FC83" s="56">
        <v>335.9</v>
      </c>
      <c r="FD83" s="56">
        <v>355.9</v>
      </c>
      <c r="FE83" s="56">
        <v>372</v>
      </c>
      <c r="FF83" s="56">
        <v>404.9</v>
      </c>
      <c r="FG83" s="56">
        <v>428.9</v>
      </c>
      <c r="FH83" s="56">
        <v>442.6</v>
      </c>
      <c r="FI83" s="56">
        <v>458.3</v>
      </c>
      <c r="FJ83" s="56">
        <v>489.1</v>
      </c>
      <c r="FK83" s="56">
        <v>501.4</v>
      </c>
      <c r="FL83" s="56">
        <v>510.1</v>
      </c>
      <c r="FM83" s="56">
        <v>525.6</v>
      </c>
      <c r="FN83" s="56">
        <v>526.79999999999995</v>
      </c>
      <c r="FO83" s="56">
        <v>532.5</v>
      </c>
      <c r="FP83" s="56">
        <v>536.1</v>
      </c>
      <c r="FQ83" s="56">
        <v>542.6</v>
      </c>
      <c r="FR83" s="56">
        <v>562.29999999999995</v>
      </c>
      <c r="FS83" s="56">
        <v>576.29999999999995</v>
      </c>
      <c r="FT83" s="56">
        <v>588.6</v>
      </c>
      <c r="FU83" s="56">
        <v>587.6</v>
      </c>
      <c r="FV83" s="56">
        <v>595</v>
      </c>
      <c r="FW83" s="56">
        <v>599.1</v>
      </c>
      <c r="FX83" s="56">
        <v>600.29999999999995</v>
      </c>
      <c r="FY83" s="56">
        <v>599.70000000000005</v>
      </c>
      <c r="FZ83" s="56">
        <v>588.79999999999995</v>
      </c>
      <c r="GA83" s="56">
        <v>603.1</v>
      </c>
      <c r="GB83" s="56">
        <v>606.4</v>
      </c>
      <c r="GC83" s="56">
        <v>607.20000000000005</v>
      </c>
      <c r="GD83" s="56">
        <v>612</v>
      </c>
      <c r="GE83" s="56">
        <v>619.1</v>
      </c>
      <c r="GF83" s="56">
        <v>619.9</v>
      </c>
      <c r="GG83" s="56">
        <v>623.9</v>
      </c>
      <c r="GH83" s="56">
        <v>633.9</v>
      </c>
      <c r="GI83" s="56">
        <v>634.29999999999995</v>
      </c>
      <c r="GJ83" s="56">
        <v>643.79999999999995</v>
      </c>
      <c r="GK83" s="56">
        <v>656.2</v>
      </c>
      <c r="GL83" s="56">
        <v>663.5</v>
      </c>
      <c r="GM83" s="56">
        <v>669</v>
      </c>
      <c r="GN83" s="56">
        <v>679.8</v>
      </c>
      <c r="GO83" s="56">
        <v>673.6</v>
      </c>
      <c r="GP83" s="56">
        <v>674.4</v>
      </c>
      <c r="GQ83" s="56">
        <v>682.8</v>
      </c>
      <c r="GR83" s="56">
        <v>690.2</v>
      </c>
      <c r="GS83" s="56">
        <v>706.3</v>
      </c>
      <c r="GT83" s="56">
        <v>729.3</v>
      </c>
      <c r="GU83" s="56">
        <v>731.2</v>
      </c>
      <c r="GV83" s="56">
        <v>744.6</v>
      </c>
      <c r="GW83" s="56">
        <v>747.4</v>
      </c>
      <c r="GX83" s="56">
        <v>745.6</v>
      </c>
      <c r="GY83" s="56">
        <v>761.6</v>
      </c>
      <c r="GZ83" s="56">
        <v>781.2</v>
      </c>
      <c r="HA83" s="56">
        <v>800.7</v>
      </c>
      <c r="HB83" s="56">
        <v>814.3</v>
      </c>
      <c r="HC83">
        <v>858.2</v>
      </c>
      <c r="HD83">
        <v>889.5</v>
      </c>
      <c r="HE83">
        <v>919.1</v>
      </c>
      <c r="HF83">
        <v>963.6</v>
      </c>
      <c r="HG83">
        <v>984.1</v>
      </c>
      <c r="HH83">
        <v>995</v>
      </c>
      <c r="HI83">
        <v>1013.6</v>
      </c>
      <c r="HJ83">
        <v>1046.0999999999999</v>
      </c>
      <c r="HK83">
        <v>1053.4000000000001</v>
      </c>
      <c r="HL83">
        <v>1055.7</v>
      </c>
      <c r="HM83">
        <v>1072.2</v>
      </c>
      <c r="HN83">
        <v>1091.8</v>
      </c>
      <c r="HO83">
        <v>1090.7</v>
      </c>
    </row>
    <row r="84" spans="1:223" x14ac:dyDescent="0.35">
      <c r="A84" s="56" t="s">
        <v>2319</v>
      </c>
      <c r="B84" s="56">
        <v>109.2</v>
      </c>
      <c r="C84" s="56">
        <v>113.1</v>
      </c>
      <c r="D84" s="56">
        <v>117.5</v>
      </c>
      <c r="E84" s="56">
        <v>120</v>
      </c>
      <c r="F84" s="56">
        <v>122.8</v>
      </c>
      <c r="G84" s="56">
        <v>124.2</v>
      </c>
      <c r="H84" s="56">
        <v>126.1</v>
      </c>
      <c r="I84" s="56">
        <v>127.4</v>
      </c>
      <c r="J84" s="56">
        <v>131</v>
      </c>
      <c r="K84" s="56">
        <v>134.1</v>
      </c>
      <c r="L84" s="56">
        <v>138.4</v>
      </c>
      <c r="M84" s="56">
        <v>142.80000000000001</v>
      </c>
      <c r="N84" s="56">
        <v>146.6</v>
      </c>
      <c r="O84" s="56">
        <v>151.6</v>
      </c>
      <c r="P84" s="56">
        <v>158.80000000000001</v>
      </c>
      <c r="Q84" s="56">
        <v>164.6</v>
      </c>
      <c r="R84" s="56">
        <v>170.5</v>
      </c>
      <c r="S84" s="56">
        <v>177.6</v>
      </c>
      <c r="T84" s="56">
        <v>183.9</v>
      </c>
      <c r="U84" s="56">
        <v>190.4</v>
      </c>
      <c r="V84" s="56">
        <v>196.4</v>
      </c>
      <c r="W84" s="56">
        <v>198.5</v>
      </c>
      <c r="X84" s="56">
        <v>202.5</v>
      </c>
      <c r="Y84" s="56">
        <v>206.5</v>
      </c>
      <c r="Z84" s="56">
        <v>210.5</v>
      </c>
      <c r="AA84" s="56">
        <v>217.1</v>
      </c>
      <c r="AB84" s="56">
        <v>222.8</v>
      </c>
      <c r="AC84" s="56">
        <v>229.7</v>
      </c>
      <c r="AD84" s="56">
        <v>238.8</v>
      </c>
      <c r="AE84" s="56">
        <v>246.6</v>
      </c>
      <c r="AF84" s="56">
        <v>255.4</v>
      </c>
      <c r="AG84" s="56">
        <v>265.5</v>
      </c>
      <c r="AH84" s="56">
        <v>273.3</v>
      </c>
      <c r="AI84" s="56">
        <v>281.3</v>
      </c>
      <c r="AJ84" s="56">
        <v>289.8</v>
      </c>
      <c r="AK84" s="56">
        <v>298.89999999999998</v>
      </c>
      <c r="AL84" s="56">
        <v>308.60000000000002</v>
      </c>
      <c r="AM84" s="56">
        <v>318.60000000000002</v>
      </c>
      <c r="AN84" s="56">
        <v>330.4</v>
      </c>
      <c r="AO84" s="56">
        <v>351</v>
      </c>
      <c r="AP84" s="56">
        <v>378.8</v>
      </c>
      <c r="AQ84" s="56">
        <v>392.5</v>
      </c>
      <c r="AR84" s="56">
        <v>397.7</v>
      </c>
      <c r="AS84" s="56">
        <v>421.8</v>
      </c>
      <c r="AT84" s="56">
        <v>439.6</v>
      </c>
      <c r="AU84" s="56">
        <v>467.3</v>
      </c>
      <c r="AV84" s="56">
        <v>506.4</v>
      </c>
      <c r="AW84" s="56">
        <v>522.4</v>
      </c>
      <c r="AX84" s="56">
        <v>541</v>
      </c>
      <c r="AY84" s="56">
        <v>557.20000000000005</v>
      </c>
      <c r="AZ84" s="56">
        <v>558.79999999999995</v>
      </c>
      <c r="BA84" s="56">
        <v>562.5</v>
      </c>
      <c r="BB84" s="56">
        <v>575.1</v>
      </c>
      <c r="BC84" s="56">
        <v>585.79999999999995</v>
      </c>
      <c r="BD84" s="56">
        <v>610.20000000000005</v>
      </c>
      <c r="BE84" s="56">
        <v>629.79999999999995</v>
      </c>
      <c r="BF84" s="56">
        <v>642.79999999999995</v>
      </c>
      <c r="BG84" s="56">
        <v>667.2</v>
      </c>
      <c r="BH84" s="56">
        <v>693.7</v>
      </c>
      <c r="BI84" s="56">
        <v>703.2</v>
      </c>
      <c r="BJ84" s="56">
        <v>714.7</v>
      </c>
      <c r="BK84" s="56">
        <v>721.2</v>
      </c>
      <c r="BL84" s="56">
        <v>722.7</v>
      </c>
      <c r="BM84" s="56">
        <v>738.6</v>
      </c>
      <c r="BN84" s="56">
        <v>763.4</v>
      </c>
      <c r="BO84" s="56">
        <v>770.6</v>
      </c>
      <c r="BP84" s="56">
        <v>768.1</v>
      </c>
      <c r="BQ84" s="56">
        <v>763</v>
      </c>
      <c r="BR84" s="56">
        <v>758.1</v>
      </c>
      <c r="BS84" s="56">
        <v>764.7</v>
      </c>
      <c r="BT84" s="56">
        <v>780.5</v>
      </c>
      <c r="BU84" s="56">
        <v>801.9</v>
      </c>
      <c r="BV84" s="56">
        <v>816.5</v>
      </c>
      <c r="BW84" s="56">
        <v>830.3</v>
      </c>
      <c r="BX84" s="56">
        <v>859</v>
      </c>
      <c r="BY84" s="56">
        <v>886.3</v>
      </c>
      <c r="BZ84" s="56">
        <v>930.1</v>
      </c>
      <c r="CA84" s="56">
        <v>956.6</v>
      </c>
      <c r="CB84" s="56">
        <v>970.4</v>
      </c>
      <c r="CC84" s="56">
        <v>981.9</v>
      </c>
      <c r="CD84" s="56">
        <v>996.1</v>
      </c>
      <c r="CE84" s="56">
        <v>1001.4</v>
      </c>
      <c r="CF84" s="56">
        <v>1010.4</v>
      </c>
      <c r="CG84" s="56">
        <v>1011.5</v>
      </c>
      <c r="CH84" s="56">
        <v>1009.2</v>
      </c>
      <c r="CI84" s="56">
        <v>1010.5</v>
      </c>
      <c r="CJ84" s="56">
        <v>1012</v>
      </c>
      <c r="CK84" s="56">
        <v>1003.1</v>
      </c>
      <c r="CL84" s="56">
        <v>996.3</v>
      </c>
      <c r="CM84" s="56">
        <v>997.3</v>
      </c>
      <c r="CN84" s="56">
        <v>992.5</v>
      </c>
      <c r="CO84" s="56">
        <v>995.7</v>
      </c>
      <c r="CP84" s="56">
        <v>1002.7</v>
      </c>
      <c r="CQ84" s="56">
        <v>1002.4</v>
      </c>
      <c r="CR84" s="56">
        <v>1001.2</v>
      </c>
      <c r="CS84" s="56">
        <v>1001.5</v>
      </c>
      <c r="CT84" s="56">
        <v>1009.5</v>
      </c>
      <c r="CU84" s="56">
        <v>1029.5</v>
      </c>
      <c r="CV84" s="56">
        <v>1051.5999999999999</v>
      </c>
      <c r="CW84" s="56">
        <v>1084</v>
      </c>
      <c r="CX84" s="56">
        <v>1105.5999999999999</v>
      </c>
      <c r="CY84" s="56">
        <v>1123.3</v>
      </c>
      <c r="CZ84" s="56">
        <v>1136.0999999999999</v>
      </c>
      <c r="DA84" s="56">
        <v>1149.2</v>
      </c>
      <c r="DB84" s="56">
        <v>1160.5</v>
      </c>
      <c r="DC84" s="56">
        <v>1177.3</v>
      </c>
      <c r="DD84" s="56">
        <v>1197.7</v>
      </c>
      <c r="DE84" s="56">
        <v>1219.9000000000001</v>
      </c>
      <c r="DF84" s="56">
        <v>1234.2</v>
      </c>
      <c r="DG84" s="56">
        <v>1255.5</v>
      </c>
      <c r="DH84" s="56">
        <v>1276</v>
      </c>
      <c r="DI84" s="56">
        <v>1300.4000000000001</v>
      </c>
      <c r="DJ84" s="56">
        <v>1335.9</v>
      </c>
      <c r="DK84" s="56">
        <v>1361.9</v>
      </c>
      <c r="DL84" s="56">
        <v>1367.1</v>
      </c>
      <c r="DM84" s="56">
        <v>1345.1</v>
      </c>
      <c r="DN84" s="56">
        <v>1326.7</v>
      </c>
      <c r="DO84" s="56">
        <v>1321</v>
      </c>
      <c r="DP84" s="56">
        <v>1337.2</v>
      </c>
      <c r="DQ84" s="56">
        <v>1359.8</v>
      </c>
      <c r="DR84" s="56">
        <v>1398.1</v>
      </c>
      <c r="DS84" s="56">
        <v>1441.8</v>
      </c>
      <c r="DT84" s="56">
        <v>1478.2</v>
      </c>
      <c r="DU84" s="56">
        <v>1504.5</v>
      </c>
      <c r="DV84" s="56">
        <v>1494.8</v>
      </c>
      <c r="DW84" s="56">
        <v>1486.8</v>
      </c>
      <c r="DX84" s="56">
        <v>1462.4</v>
      </c>
      <c r="DY84" s="56">
        <v>1403.7</v>
      </c>
      <c r="DZ84" s="56">
        <v>1388</v>
      </c>
      <c r="EA84" s="56">
        <v>1398.7</v>
      </c>
      <c r="EB84" s="56">
        <v>1401.3</v>
      </c>
      <c r="EC84" s="56">
        <v>1422.5</v>
      </c>
      <c r="ED84" s="56">
        <v>1437.6</v>
      </c>
      <c r="EE84" s="56">
        <v>1419.2</v>
      </c>
      <c r="EF84" s="56">
        <v>1434</v>
      </c>
      <c r="EG84" s="56">
        <v>1451.5</v>
      </c>
      <c r="EH84" s="56">
        <v>1452.2</v>
      </c>
      <c r="EI84" s="56">
        <v>1467.5</v>
      </c>
      <c r="EJ84" s="56">
        <v>1477.8</v>
      </c>
      <c r="EK84" s="56">
        <v>1597.3</v>
      </c>
      <c r="EL84" s="56">
        <v>1545.5</v>
      </c>
      <c r="EM84" s="56">
        <v>1611.1</v>
      </c>
      <c r="EN84" s="56">
        <v>1648.9</v>
      </c>
      <c r="EO84" s="56">
        <v>1740</v>
      </c>
      <c r="EP84" s="56">
        <v>1805.5</v>
      </c>
      <c r="EQ84" s="56">
        <v>1909.5</v>
      </c>
      <c r="ER84" s="56">
        <v>1931.4</v>
      </c>
      <c r="ES84" s="56">
        <v>1949.7</v>
      </c>
      <c r="ET84" s="56">
        <v>1997.6</v>
      </c>
      <c r="EU84" s="56">
        <v>2125</v>
      </c>
      <c r="EV84" s="56">
        <v>2143.4</v>
      </c>
      <c r="EW84" s="56">
        <v>2155.3000000000002</v>
      </c>
      <c r="EX84" s="56">
        <v>2181.1</v>
      </c>
      <c r="EY84" s="56">
        <v>2148.6999999999998</v>
      </c>
      <c r="EZ84" s="56">
        <v>2175.1999999999998</v>
      </c>
      <c r="FA84" s="56">
        <v>2101</v>
      </c>
      <c r="FB84" s="56">
        <v>1982.2</v>
      </c>
      <c r="FC84" s="56">
        <v>1865.1</v>
      </c>
      <c r="FD84" s="56">
        <v>1773.6</v>
      </c>
      <c r="FE84" s="56">
        <v>1733</v>
      </c>
      <c r="FF84" s="56">
        <v>1729.5</v>
      </c>
      <c r="FG84" s="56">
        <v>1742.5</v>
      </c>
      <c r="FH84" s="56">
        <v>1735.7</v>
      </c>
      <c r="FI84" s="56">
        <v>1783</v>
      </c>
      <c r="FJ84" s="56">
        <v>1847.8</v>
      </c>
      <c r="FK84" s="56">
        <v>1882.4</v>
      </c>
      <c r="FL84" s="56">
        <v>1913.9</v>
      </c>
      <c r="FM84" s="56">
        <v>1981.8</v>
      </c>
      <c r="FN84" s="56">
        <v>2039.5</v>
      </c>
      <c r="FO84" s="56">
        <v>2088.9</v>
      </c>
      <c r="FP84" s="56">
        <v>2025.8</v>
      </c>
      <c r="FQ84" s="56">
        <v>2260</v>
      </c>
      <c r="FR84" s="56">
        <v>1957.5</v>
      </c>
      <c r="FS84" s="56">
        <v>1963.9</v>
      </c>
      <c r="FT84" s="56">
        <v>1998.1</v>
      </c>
      <c r="FU84" s="56">
        <v>2013.4</v>
      </c>
      <c r="FV84" s="56">
        <v>2067.1999999999998</v>
      </c>
      <c r="FW84" s="56">
        <v>2160.8000000000002</v>
      </c>
      <c r="FX84" s="56">
        <v>2214</v>
      </c>
      <c r="FY84" s="56">
        <v>2267.6</v>
      </c>
      <c r="FZ84" s="56">
        <v>2322.1999999999998</v>
      </c>
      <c r="GA84" s="56">
        <v>2341.1999999999998</v>
      </c>
      <c r="GB84" s="56">
        <v>2347.8000000000002</v>
      </c>
      <c r="GC84" s="56">
        <v>2367.1999999999998</v>
      </c>
      <c r="GD84" s="56">
        <v>2388.1</v>
      </c>
      <c r="GE84" s="56">
        <v>2391.1999999999998</v>
      </c>
      <c r="GF84" s="56">
        <v>2421.8000000000002</v>
      </c>
      <c r="GG84" s="56">
        <v>2460.5</v>
      </c>
      <c r="GH84" s="56">
        <v>2535.6</v>
      </c>
      <c r="GI84" s="56">
        <v>2612.6999999999998</v>
      </c>
      <c r="GJ84" s="56">
        <v>2636.3</v>
      </c>
      <c r="GK84" s="56">
        <v>2659.4</v>
      </c>
      <c r="GL84" s="56">
        <v>2690.3</v>
      </c>
      <c r="GM84" s="56">
        <v>2755.1</v>
      </c>
      <c r="GN84" s="56">
        <v>2808</v>
      </c>
      <c r="GO84" s="56">
        <v>2904.2</v>
      </c>
      <c r="GP84" s="56">
        <v>2920.5</v>
      </c>
      <c r="GQ84" s="56">
        <v>2961.5</v>
      </c>
      <c r="GR84" s="56">
        <v>2962.7</v>
      </c>
      <c r="GS84" s="56">
        <v>2955.4</v>
      </c>
      <c r="GT84" s="56">
        <v>2932.4</v>
      </c>
      <c r="GU84" s="56">
        <v>2874</v>
      </c>
      <c r="GV84" s="56">
        <v>2862.9</v>
      </c>
      <c r="GW84" s="56">
        <v>2980.3</v>
      </c>
      <c r="GX84" s="56">
        <v>3048</v>
      </c>
      <c r="GY84" s="56">
        <v>3158.1</v>
      </c>
      <c r="GZ84" s="56">
        <v>3225.4</v>
      </c>
      <c r="HA84" s="56">
        <v>3291.3</v>
      </c>
      <c r="HB84" s="56">
        <v>3333.6</v>
      </c>
      <c r="HC84">
        <v>3424.9</v>
      </c>
      <c r="HD84">
        <v>3509.5</v>
      </c>
      <c r="HE84">
        <v>3628.2</v>
      </c>
      <c r="HF84">
        <v>3729.9</v>
      </c>
      <c r="HG84">
        <v>3806.4</v>
      </c>
      <c r="HH84">
        <v>3836.2</v>
      </c>
      <c r="HI84">
        <v>3919.1</v>
      </c>
      <c r="HJ84">
        <v>3938.9</v>
      </c>
      <c r="HK84">
        <v>3950.2</v>
      </c>
      <c r="HL84">
        <v>3938.8</v>
      </c>
      <c r="HM84">
        <v>3958.3</v>
      </c>
      <c r="HN84">
        <v>4007.7</v>
      </c>
      <c r="HO84">
        <v>4005.6</v>
      </c>
    </row>
    <row r="85" spans="1:223" x14ac:dyDescent="0.35">
      <c r="A85" s="56" t="s">
        <v>2320</v>
      </c>
      <c r="B85" s="56">
        <v>77.5</v>
      </c>
      <c r="C85" s="56">
        <v>81.099999999999994</v>
      </c>
      <c r="D85" s="56">
        <v>81.099999999999994</v>
      </c>
      <c r="E85" s="56">
        <v>76.900000000000006</v>
      </c>
      <c r="F85" s="56">
        <v>89.1</v>
      </c>
      <c r="G85" s="56">
        <v>90.8</v>
      </c>
      <c r="H85" s="56">
        <v>93.7</v>
      </c>
      <c r="I85" s="56">
        <v>97.6</v>
      </c>
      <c r="J85" s="56">
        <v>102.7</v>
      </c>
      <c r="K85" s="56">
        <v>104.3</v>
      </c>
      <c r="L85" s="56">
        <v>108.2</v>
      </c>
      <c r="M85" s="56">
        <v>115.5</v>
      </c>
      <c r="N85" s="56">
        <v>121</v>
      </c>
      <c r="O85" s="56">
        <v>117.2</v>
      </c>
      <c r="P85" s="56">
        <v>116.6</v>
      </c>
      <c r="Q85" s="56">
        <v>119.1</v>
      </c>
      <c r="R85" s="56">
        <v>111.1</v>
      </c>
      <c r="S85" s="56">
        <v>110.8</v>
      </c>
      <c r="T85" s="56">
        <v>107.3</v>
      </c>
      <c r="U85" s="56">
        <v>103.8</v>
      </c>
      <c r="V85" s="56">
        <v>103.9</v>
      </c>
      <c r="W85" s="56">
        <v>115.6</v>
      </c>
      <c r="X85" s="56">
        <v>135.4</v>
      </c>
      <c r="Y85" s="56">
        <v>142</v>
      </c>
      <c r="Z85" s="56">
        <v>159.1</v>
      </c>
      <c r="AA85" s="56">
        <v>156.6</v>
      </c>
      <c r="AB85" s="56">
        <v>158.4</v>
      </c>
      <c r="AC85" s="56">
        <v>157.1</v>
      </c>
      <c r="AD85" s="56">
        <v>165</v>
      </c>
      <c r="AE85" s="56">
        <v>185.7</v>
      </c>
      <c r="AF85" s="56">
        <v>199.9</v>
      </c>
      <c r="AG85" s="56">
        <v>196.1</v>
      </c>
      <c r="AH85" s="56">
        <v>187.5</v>
      </c>
      <c r="AI85" s="56">
        <v>220</v>
      </c>
      <c r="AJ85" s="56">
        <v>223.8</v>
      </c>
      <c r="AK85" s="56">
        <v>231.5</v>
      </c>
      <c r="AL85" s="56">
        <v>222.3</v>
      </c>
      <c r="AM85" s="56">
        <v>219.7</v>
      </c>
      <c r="AN85" s="56">
        <v>211.3</v>
      </c>
      <c r="AO85" s="56">
        <v>205.2</v>
      </c>
      <c r="AP85" s="56">
        <v>197.2</v>
      </c>
      <c r="AQ85" s="56">
        <v>169.9</v>
      </c>
      <c r="AR85" s="56">
        <v>179.2</v>
      </c>
      <c r="AS85" s="56">
        <v>204.4</v>
      </c>
      <c r="AT85" s="56">
        <v>213</v>
      </c>
      <c r="AU85" s="56">
        <v>211.8</v>
      </c>
      <c r="AV85" s="56">
        <v>228.6</v>
      </c>
      <c r="AW85" s="56">
        <v>211.4</v>
      </c>
      <c r="AX85" s="56">
        <v>188.2</v>
      </c>
      <c r="AY85" s="56">
        <v>200.5</v>
      </c>
      <c r="AZ85" s="56">
        <v>200.4</v>
      </c>
      <c r="BA85" s="56">
        <v>191.5</v>
      </c>
      <c r="BB85" s="56">
        <v>209.5</v>
      </c>
      <c r="BC85" s="56">
        <v>238.3</v>
      </c>
      <c r="BD85" s="56">
        <v>254.4</v>
      </c>
      <c r="BE85" s="56">
        <v>269.2</v>
      </c>
      <c r="BF85" s="56">
        <v>301.10000000000002</v>
      </c>
      <c r="BG85" s="56">
        <v>301.2</v>
      </c>
      <c r="BH85" s="56">
        <v>295.3</v>
      </c>
      <c r="BI85" s="56">
        <v>305.2</v>
      </c>
      <c r="BJ85" s="56">
        <v>311.39999999999998</v>
      </c>
      <c r="BK85" s="56">
        <v>310.3</v>
      </c>
      <c r="BL85" s="56">
        <v>331.5</v>
      </c>
      <c r="BM85" s="56">
        <v>306.60000000000002</v>
      </c>
      <c r="BN85" s="56">
        <v>296.7</v>
      </c>
      <c r="BO85" s="56">
        <v>286.39999999999998</v>
      </c>
      <c r="BP85" s="56">
        <v>275.60000000000002</v>
      </c>
      <c r="BQ85" s="56">
        <v>277.7</v>
      </c>
      <c r="BR85" s="56">
        <v>288.39999999999998</v>
      </c>
      <c r="BS85" s="56">
        <v>319.7</v>
      </c>
      <c r="BT85" s="56">
        <v>344.2</v>
      </c>
      <c r="BU85" s="56">
        <v>338.9</v>
      </c>
      <c r="BV85" s="56">
        <v>344.1</v>
      </c>
      <c r="BW85" s="56">
        <v>352.3</v>
      </c>
      <c r="BX85" s="56">
        <v>359.3</v>
      </c>
      <c r="BY85" s="56">
        <v>381.4</v>
      </c>
      <c r="BZ85" s="56">
        <v>363.2</v>
      </c>
      <c r="CA85" s="56">
        <v>356.4</v>
      </c>
      <c r="CB85" s="56">
        <v>355</v>
      </c>
      <c r="CC85" s="56">
        <v>331.8</v>
      </c>
      <c r="CD85" s="56">
        <v>344.4</v>
      </c>
      <c r="CE85" s="56">
        <v>361.4</v>
      </c>
      <c r="CF85" s="56">
        <v>337.8</v>
      </c>
      <c r="CG85" s="56">
        <v>329.4</v>
      </c>
      <c r="CH85" s="56">
        <v>367</v>
      </c>
      <c r="CI85" s="56">
        <v>373.1</v>
      </c>
      <c r="CJ85" s="56">
        <v>376.3</v>
      </c>
      <c r="CK85" s="56">
        <v>372.6</v>
      </c>
      <c r="CL85" s="56">
        <v>400.9</v>
      </c>
      <c r="CM85" s="56">
        <v>407.8</v>
      </c>
      <c r="CN85" s="56">
        <v>399.3</v>
      </c>
      <c r="CO85" s="56">
        <v>424.7</v>
      </c>
      <c r="CP85" s="56">
        <v>406.5</v>
      </c>
      <c r="CQ85" s="56">
        <v>444.7</v>
      </c>
      <c r="CR85" s="56">
        <v>452.4</v>
      </c>
      <c r="CS85" s="56">
        <v>511.6</v>
      </c>
      <c r="CT85" s="56">
        <v>517.5</v>
      </c>
      <c r="CU85" s="56">
        <v>539.20000000000005</v>
      </c>
      <c r="CV85" s="56">
        <v>571.9</v>
      </c>
      <c r="CW85" s="56">
        <v>595.79999999999995</v>
      </c>
      <c r="CX85" s="56">
        <v>588.9</v>
      </c>
      <c r="CY85" s="56">
        <v>605.79999999999995</v>
      </c>
      <c r="CZ85" s="56">
        <v>649.9</v>
      </c>
      <c r="DA85" s="56">
        <v>650.29999999999995</v>
      </c>
      <c r="DB85" s="56">
        <v>683.8</v>
      </c>
      <c r="DC85" s="56">
        <v>700.2</v>
      </c>
      <c r="DD85" s="56">
        <v>706</v>
      </c>
      <c r="DE85" s="56">
        <v>716.3</v>
      </c>
      <c r="DF85" s="56">
        <v>753.3</v>
      </c>
      <c r="DG85" s="56">
        <v>767.9</v>
      </c>
      <c r="DH85" s="56">
        <v>808.1</v>
      </c>
      <c r="DI85" s="56">
        <v>799.9</v>
      </c>
      <c r="DJ85" s="56">
        <v>728.6</v>
      </c>
      <c r="DK85" s="56">
        <v>729.6</v>
      </c>
      <c r="DL85" s="56">
        <v>749.1</v>
      </c>
      <c r="DM85" s="56">
        <v>722.4</v>
      </c>
      <c r="DN85" s="56">
        <v>761.9</v>
      </c>
      <c r="DO85" s="56">
        <v>754.1</v>
      </c>
      <c r="DP85" s="56">
        <v>737.7</v>
      </c>
      <c r="DQ85" s="56">
        <v>726.5</v>
      </c>
      <c r="DR85" s="56">
        <v>714.8</v>
      </c>
      <c r="DS85" s="56">
        <v>699.1</v>
      </c>
      <c r="DT85" s="56">
        <v>677.6</v>
      </c>
      <c r="DU85" s="56">
        <v>631.5</v>
      </c>
      <c r="DV85" s="56">
        <v>622.6</v>
      </c>
      <c r="DW85" s="56">
        <v>638</v>
      </c>
      <c r="DX85" s="56">
        <v>627.70000000000005</v>
      </c>
      <c r="DY85" s="56">
        <v>585.20000000000005</v>
      </c>
      <c r="DZ85" s="56">
        <v>711.7</v>
      </c>
      <c r="EA85" s="56">
        <v>756</v>
      </c>
      <c r="EB85" s="56">
        <v>778.5</v>
      </c>
      <c r="EC85" s="56">
        <v>848.2</v>
      </c>
      <c r="ED85" s="56">
        <v>862.8</v>
      </c>
      <c r="EE85" s="56">
        <v>891.4</v>
      </c>
      <c r="EF85" s="56">
        <v>941.8</v>
      </c>
      <c r="EG85" s="56">
        <v>976.6</v>
      </c>
      <c r="EH85" s="56">
        <v>1064.5999999999999</v>
      </c>
      <c r="EI85" s="56">
        <v>1113.5</v>
      </c>
      <c r="EJ85" s="56">
        <v>1158.9000000000001</v>
      </c>
      <c r="EK85" s="56">
        <v>1164.7</v>
      </c>
      <c r="EL85" s="56">
        <v>1257.9000000000001</v>
      </c>
      <c r="EM85" s="56">
        <v>1276.9000000000001</v>
      </c>
      <c r="EN85" s="56">
        <v>1287.2</v>
      </c>
      <c r="EO85" s="56">
        <v>1395.3</v>
      </c>
      <c r="EP85" s="56">
        <v>1445.4</v>
      </c>
      <c r="EQ85" s="56">
        <v>1453.1</v>
      </c>
      <c r="ER85" s="56">
        <v>1505.8</v>
      </c>
      <c r="ES85" s="56">
        <v>1421.3</v>
      </c>
      <c r="ET85" s="56">
        <v>1316.3</v>
      </c>
      <c r="EU85" s="56">
        <v>1347.7</v>
      </c>
      <c r="EV85" s="56">
        <v>1229.2</v>
      </c>
      <c r="EW85" s="56">
        <v>1138.9000000000001</v>
      </c>
      <c r="EX85" s="56">
        <v>1053.8</v>
      </c>
      <c r="EY85" s="56">
        <v>1027</v>
      </c>
      <c r="EZ85" s="56">
        <v>1008.2</v>
      </c>
      <c r="FA85" s="56">
        <v>732.8</v>
      </c>
      <c r="FB85" s="56">
        <v>953.5</v>
      </c>
      <c r="FC85" s="56">
        <v>1003.3</v>
      </c>
      <c r="FD85" s="56">
        <v>1123.2</v>
      </c>
      <c r="FE85" s="56">
        <v>1227.5</v>
      </c>
      <c r="FF85" s="56">
        <v>1295.5</v>
      </c>
      <c r="FG85" s="56">
        <v>1300</v>
      </c>
      <c r="FH85" s="56">
        <v>1475.5</v>
      </c>
      <c r="FI85" s="56">
        <v>1483.8</v>
      </c>
      <c r="FJ85" s="56">
        <v>1323.4</v>
      </c>
      <c r="FK85" s="56">
        <v>1443.9</v>
      </c>
      <c r="FL85" s="56">
        <v>1447.1</v>
      </c>
      <c r="FM85" s="56">
        <v>1585</v>
      </c>
      <c r="FN85" s="56">
        <v>1660</v>
      </c>
      <c r="FO85" s="56">
        <v>1662.6</v>
      </c>
      <c r="FP85" s="56">
        <v>1644.6</v>
      </c>
      <c r="FQ85" s="56">
        <v>1642.3</v>
      </c>
      <c r="FR85" s="56">
        <v>1672.8</v>
      </c>
      <c r="FS85" s="56">
        <v>1665.6</v>
      </c>
      <c r="FT85" s="56">
        <v>1676.1</v>
      </c>
      <c r="FU85" s="56">
        <v>1714.8</v>
      </c>
      <c r="FV85" s="56">
        <v>1650.3</v>
      </c>
      <c r="FW85" s="56">
        <v>1832.1</v>
      </c>
      <c r="FX85" s="56">
        <v>1864.9</v>
      </c>
      <c r="FY85" s="56">
        <v>1884.5</v>
      </c>
      <c r="FZ85" s="56">
        <v>1847.9</v>
      </c>
      <c r="GA85" s="56">
        <v>1831.7</v>
      </c>
      <c r="GB85" s="56">
        <v>1779</v>
      </c>
      <c r="GC85" s="56">
        <v>1653</v>
      </c>
      <c r="GD85" s="56">
        <v>1757.8</v>
      </c>
      <c r="GE85" s="56">
        <v>1708.7</v>
      </c>
      <c r="GF85" s="56">
        <v>1731</v>
      </c>
      <c r="GG85" s="56">
        <v>1700.1</v>
      </c>
      <c r="GH85" s="56">
        <v>1721.1</v>
      </c>
      <c r="GI85" s="56">
        <v>1723.6</v>
      </c>
      <c r="GJ85" s="56">
        <v>1718</v>
      </c>
      <c r="GK85" s="56">
        <v>1742.7</v>
      </c>
      <c r="GL85" s="56">
        <v>1772.4</v>
      </c>
      <c r="GM85" s="56">
        <v>1846</v>
      </c>
      <c r="GN85" s="56">
        <v>1868.8</v>
      </c>
      <c r="GO85" s="56">
        <v>1891.1</v>
      </c>
      <c r="GP85" s="56">
        <v>1875.4</v>
      </c>
      <c r="GQ85" s="56">
        <v>1906.5</v>
      </c>
      <c r="GR85" s="56">
        <v>1968.1</v>
      </c>
      <c r="GS85" s="56">
        <v>2003.2</v>
      </c>
      <c r="GT85" s="56">
        <v>1752.6</v>
      </c>
      <c r="GU85" s="56">
        <v>1686.1</v>
      </c>
      <c r="GV85" s="56">
        <v>2323.9</v>
      </c>
      <c r="GW85" s="56">
        <v>2101.5</v>
      </c>
      <c r="GX85" s="56">
        <v>2438.6999999999998</v>
      </c>
      <c r="GY85" s="56">
        <v>2763.8</v>
      </c>
      <c r="GZ85" s="56">
        <v>2747.4</v>
      </c>
      <c r="HA85" s="56">
        <v>2751.8</v>
      </c>
      <c r="HB85">
        <v>2738.7</v>
      </c>
      <c r="HC85">
        <v>2876.9</v>
      </c>
      <c r="HD85">
        <v>2950.7</v>
      </c>
      <c r="HE85">
        <v>2921.1</v>
      </c>
      <c r="HF85">
        <v>2941.2</v>
      </c>
      <c r="HG85">
        <v>2953.4</v>
      </c>
      <c r="HH85">
        <v>3079.7</v>
      </c>
      <c r="HI85">
        <v>3253.6</v>
      </c>
      <c r="HJ85">
        <v>3186.2</v>
      </c>
      <c r="HK85">
        <v>3337.4</v>
      </c>
      <c r="HL85">
        <v>3365.3</v>
      </c>
      <c r="HM85">
        <v>3487.8</v>
      </c>
      <c r="HN85">
        <v>3435.2</v>
      </c>
    </row>
    <row r="86" spans="1:223" x14ac:dyDescent="0.35">
      <c r="A86" s="56" t="s">
        <v>2321</v>
      </c>
      <c r="B86" s="56"/>
      <c r="C86" s="56"/>
      <c r="D86" s="56"/>
      <c r="E86" s="56"/>
      <c r="F86" s="56"/>
      <c r="G86" s="56"/>
      <c r="H86" s="56"/>
      <c r="I86" s="56"/>
      <c r="J86" s="56"/>
      <c r="K86" s="56"/>
      <c r="L86" s="56"/>
      <c r="M86" s="56"/>
      <c r="N86" s="56"/>
      <c r="O86" s="56"/>
      <c r="P86" s="56"/>
      <c r="Q86" s="56"/>
      <c r="R86" s="56"/>
      <c r="S86" s="56"/>
      <c r="T86" s="56"/>
      <c r="U86" s="56"/>
      <c r="V86" s="56"/>
      <c r="W86" s="56"/>
      <c r="X86" s="56"/>
      <c r="Y86" s="56"/>
      <c r="Z86" s="56"/>
      <c r="AA86" s="56"/>
      <c r="AB86" s="56"/>
      <c r="AC86" s="56"/>
      <c r="AD86" s="56"/>
      <c r="AE86" s="56"/>
      <c r="AF86" s="56"/>
      <c r="AG86" s="56"/>
      <c r="AH86" s="56"/>
      <c r="AI86" s="56"/>
      <c r="AJ86" s="56"/>
      <c r="AK86" s="56"/>
      <c r="AL86" s="56"/>
      <c r="AM86" s="56"/>
      <c r="AN86" s="56"/>
      <c r="AO86" s="56"/>
      <c r="AP86" s="56"/>
      <c r="AQ86" s="56"/>
      <c r="AR86" s="56"/>
      <c r="AS86" s="56"/>
      <c r="AT86" s="56"/>
      <c r="AU86" s="56"/>
      <c r="AV86" s="56"/>
      <c r="AW86" s="56"/>
      <c r="AX86" s="56"/>
      <c r="AY86" s="56"/>
      <c r="AZ86" s="56"/>
      <c r="BA86" s="56"/>
      <c r="BB86" s="56"/>
      <c r="BC86" s="56"/>
      <c r="BD86" s="56"/>
      <c r="BE86" s="56"/>
      <c r="BF86" s="56"/>
      <c r="BG86" s="56"/>
      <c r="BH86" s="56"/>
      <c r="BI86" s="56"/>
      <c r="BJ86" s="56"/>
      <c r="BK86" s="56"/>
      <c r="BL86" s="56"/>
      <c r="BM86" s="56"/>
      <c r="BN86" s="56"/>
      <c r="BO86" s="56"/>
      <c r="BP86" s="56"/>
      <c r="BQ86" s="56"/>
      <c r="BR86" s="56"/>
      <c r="BS86" s="56"/>
      <c r="BT86" s="56"/>
      <c r="BU86" s="56"/>
      <c r="BV86" s="56"/>
      <c r="BW86" s="56"/>
      <c r="BX86" s="56"/>
      <c r="BY86" s="56"/>
      <c r="BZ86" s="56"/>
      <c r="CA86" s="56"/>
      <c r="CB86" s="56"/>
      <c r="CC86" s="56"/>
      <c r="CD86" s="56"/>
      <c r="CE86" s="56"/>
      <c r="CF86" s="56"/>
      <c r="CG86" s="56"/>
      <c r="CH86" s="56"/>
      <c r="CI86" s="56"/>
      <c r="CJ86" s="56"/>
      <c r="CK86" s="56"/>
      <c r="CL86" s="56"/>
      <c r="CM86" s="56"/>
      <c r="CN86" s="56"/>
      <c r="CO86" s="56"/>
      <c r="CP86" s="56"/>
      <c r="CQ86" s="56"/>
      <c r="CR86" s="56"/>
      <c r="CS86" s="56"/>
      <c r="CT86" s="56"/>
      <c r="CU86" s="56"/>
      <c r="CV86" s="56"/>
      <c r="CW86" s="56"/>
      <c r="CX86" s="56"/>
      <c r="CY86" s="56"/>
      <c r="CZ86" s="56"/>
      <c r="DA86" s="56"/>
      <c r="DB86" s="56"/>
      <c r="DC86" s="56"/>
      <c r="DD86" s="56"/>
      <c r="DE86" s="56"/>
      <c r="DF86" s="56"/>
      <c r="DG86" s="56"/>
      <c r="DH86" s="56"/>
      <c r="DI86" s="56"/>
      <c r="DJ86" s="56"/>
      <c r="DK86" s="56"/>
      <c r="DL86" s="56"/>
      <c r="DM86" s="56"/>
      <c r="DN86" s="56"/>
      <c r="DO86" s="56"/>
      <c r="DP86" s="56"/>
      <c r="DQ86" s="56"/>
      <c r="DR86" s="56"/>
      <c r="DS86" s="56"/>
      <c r="DT86" s="56"/>
      <c r="DU86" s="56"/>
      <c r="DV86" s="56"/>
      <c r="DW86" s="56"/>
      <c r="DX86" s="56"/>
      <c r="DY86" s="56"/>
      <c r="DZ86" s="56"/>
      <c r="EA86" s="56"/>
      <c r="EB86" s="56"/>
      <c r="EC86" s="56"/>
      <c r="ED86" s="56"/>
      <c r="EE86" s="56"/>
      <c r="EF86" s="56"/>
      <c r="EG86" s="56"/>
      <c r="EH86" s="56"/>
      <c r="EI86" s="56"/>
      <c r="EJ86" s="56"/>
      <c r="EK86" s="56"/>
      <c r="EL86" s="56"/>
      <c r="EM86" s="56"/>
      <c r="EN86" s="56"/>
      <c r="EO86" s="56"/>
      <c r="EP86" s="56"/>
      <c r="EQ86" s="56"/>
      <c r="ER86" s="56"/>
      <c r="ES86" s="56"/>
      <c r="ET86" s="56"/>
      <c r="EU86" s="56"/>
      <c r="EV86" s="56"/>
      <c r="EW86" s="56"/>
      <c r="EX86" s="56"/>
      <c r="EY86" s="56"/>
      <c r="EZ86" s="56"/>
      <c r="FA86" s="56"/>
      <c r="FB86" s="56"/>
      <c r="FC86" s="56"/>
      <c r="FD86" s="56"/>
      <c r="FE86" s="56"/>
      <c r="FF86" s="56"/>
      <c r="FG86" s="56"/>
      <c r="FH86" s="56"/>
      <c r="FI86" s="56"/>
      <c r="FJ86" s="56"/>
      <c r="FK86" s="56"/>
      <c r="FL86" s="56"/>
      <c r="FM86" s="56"/>
      <c r="FN86" s="56"/>
      <c r="FO86" s="56"/>
      <c r="FP86" s="56"/>
      <c r="FQ86" s="56"/>
      <c r="FR86" s="56"/>
      <c r="FS86" s="56"/>
      <c r="FT86" s="56"/>
      <c r="FU86" s="56"/>
      <c r="FV86" s="56"/>
      <c r="FW86" s="56"/>
      <c r="FX86" s="56"/>
      <c r="FY86" s="56"/>
      <c r="FZ86" s="56"/>
      <c r="GA86" s="56"/>
      <c r="GB86" s="56"/>
      <c r="GC86" s="56"/>
      <c r="GD86" s="56"/>
      <c r="GE86" s="56"/>
      <c r="GF86" s="56"/>
      <c r="GG86" s="56"/>
      <c r="GH86" s="56"/>
      <c r="GI86" s="56"/>
      <c r="GJ86" s="56"/>
      <c r="GK86" s="56"/>
      <c r="GL86" s="56"/>
      <c r="GM86" s="56"/>
      <c r="GN86" s="56"/>
      <c r="GO86" s="56"/>
      <c r="GP86" s="56"/>
      <c r="GQ86" s="56"/>
      <c r="GR86" s="56"/>
      <c r="GS86" s="56"/>
      <c r="GT86" s="56"/>
      <c r="GU86" s="56"/>
      <c r="GV86" s="56"/>
      <c r="GW86" s="56"/>
      <c r="GX86" s="56">
        <v>0</v>
      </c>
      <c r="GY86" s="56">
        <v>21.4</v>
      </c>
      <c r="GZ86" s="56">
        <v>57</v>
      </c>
      <c r="HA86" s="56">
        <v>35.5</v>
      </c>
      <c r="HB86" s="56">
        <v>0</v>
      </c>
      <c r="HC86">
        <v>0</v>
      </c>
      <c r="HD86">
        <v>0</v>
      </c>
      <c r="HE86">
        <v>0</v>
      </c>
    </row>
    <row r="87" spans="1:223" x14ac:dyDescent="0.35">
      <c r="A87" s="56" t="s">
        <v>2322</v>
      </c>
      <c r="B87" s="56"/>
      <c r="C87" s="56"/>
      <c r="D87" s="56"/>
      <c r="E87" s="56"/>
      <c r="F87" s="56"/>
      <c r="G87" s="56"/>
      <c r="H87" s="56"/>
      <c r="I87" s="56"/>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c r="AO87" s="56"/>
      <c r="AP87" s="56"/>
      <c r="AQ87" s="56"/>
      <c r="AR87" s="56"/>
      <c r="AS87" s="56"/>
      <c r="AT87" s="56"/>
      <c r="AU87" s="56"/>
      <c r="AV87" s="56"/>
      <c r="AW87" s="56"/>
      <c r="AX87" s="56"/>
      <c r="AY87" s="56"/>
      <c r="AZ87" s="56"/>
      <c r="BA87" s="56"/>
      <c r="BB87" s="56"/>
      <c r="BC87" s="56"/>
      <c r="BD87" s="56"/>
      <c r="BE87" s="56"/>
      <c r="BF87" s="56"/>
      <c r="BG87" s="56"/>
      <c r="BH87" s="56"/>
      <c r="BI87" s="56"/>
      <c r="BJ87" s="56"/>
      <c r="BK87" s="56"/>
      <c r="BL87" s="56"/>
      <c r="BM87" s="56"/>
      <c r="BN87" s="56"/>
      <c r="BO87" s="56"/>
      <c r="BP87" s="56"/>
      <c r="BQ87" s="56"/>
      <c r="BR87" s="56"/>
      <c r="BS87" s="56"/>
      <c r="BT87" s="56"/>
      <c r="BU87" s="56"/>
      <c r="BV87" s="56"/>
      <c r="BW87" s="56"/>
      <c r="BX87" s="56"/>
      <c r="BY87" s="56"/>
      <c r="BZ87" s="56"/>
      <c r="CA87" s="56"/>
      <c r="CB87" s="56"/>
      <c r="CC87" s="56"/>
      <c r="CD87" s="56"/>
      <c r="CE87" s="56"/>
      <c r="CF87" s="56"/>
      <c r="CG87" s="56"/>
      <c r="CH87" s="56"/>
      <c r="CI87" s="56"/>
      <c r="CJ87" s="56"/>
      <c r="CK87" s="56"/>
      <c r="CL87" s="56"/>
      <c r="CM87" s="56"/>
      <c r="CN87" s="56"/>
      <c r="CO87" s="56"/>
      <c r="CP87" s="56"/>
      <c r="CQ87" s="56"/>
      <c r="CR87" s="56"/>
      <c r="CS87" s="56"/>
      <c r="CT87" s="56"/>
      <c r="CU87" s="56"/>
      <c r="CV87" s="56"/>
      <c r="CW87" s="56"/>
      <c r="CX87" s="56"/>
      <c r="CY87" s="56"/>
      <c r="CZ87" s="56"/>
      <c r="DA87" s="56"/>
      <c r="DB87" s="56"/>
      <c r="DC87" s="56"/>
      <c r="DD87" s="56"/>
      <c r="DE87" s="56"/>
      <c r="DF87" s="56"/>
      <c r="DG87" s="56"/>
      <c r="DH87" s="56"/>
      <c r="DI87" s="56"/>
      <c r="DJ87" s="56"/>
      <c r="DK87" s="56"/>
      <c r="DL87" s="56"/>
      <c r="DM87" s="56"/>
      <c r="DN87" s="56"/>
      <c r="DO87" s="56"/>
      <c r="DP87" s="56"/>
      <c r="DQ87" s="56"/>
      <c r="DR87" s="56"/>
      <c r="DS87" s="56"/>
      <c r="DT87" s="56"/>
      <c r="DU87" s="56"/>
      <c r="DV87" s="56"/>
      <c r="DW87" s="56"/>
      <c r="DX87" s="56"/>
      <c r="DY87" s="56"/>
      <c r="DZ87" s="56"/>
      <c r="EA87" s="56"/>
      <c r="EB87" s="56"/>
      <c r="EC87" s="56"/>
      <c r="ED87" s="56"/>
      <c r="EE87" s="56"/>
      <c r="EF87" s="56"/>
      <c r="EG87" s="56"/>
      <c r="EH87" s="56"/>
      <c r="EI87" s="56"/>
      <c r="EJ87" s="56"/>
      <c r="EK87" s="56"/>
      <c r="EL87" s="56"/>
      <c r="EM87" s="56"/>
      <c r="EN87" s="56"/>
      <c r="EO87" s="56"/>
      <c r="EP87" s="56"/>
      <c r="EQ87" s="56"/>
      <c r="ER87" s="56"/>
      <c r="ES87" s="56"/>
      <c r="ET87" s="56"/>
      <c r="EU87" s="56"/>
      <c r="EV87" s="56"/>
      <c r="EW87" s="56"/>
      <c r="EX87" s="56"/>
      <c r="EY87" s="56"/>
      <c r="EZ87" s="56"/>
      <c r="FA87" s="56"/>
      <c r="FB87" s="56"/>
      <c r="FC87" s="56"/>
      <c r="FD87" s="56"/>
      <c r="FE87" s="56"/>
      <c r="FF87" s="56"/>
      <c r="FG87" s="56"/>
      <c r="FH87" s="56"/>
      <c r="FI87" s="56"/>
      <c r="FJ87" s="56"/>
      <c r="FK87" s="56"/>
      <c r="FL87" s="56"/>
      <c r="FM87" s="56"/>
      <c r="FN87" s="56"/>
      <c r="FO87" s="56"/>
      <c r="FP87" s="56"/>
      <c r="FQ87" s="56"/>
      <c r="FR87" s="56"/>
      <c r="FS87" s="56"/>
      <c r="FT87" s="56"/>
      <c r="FU87" s="56"/>
      <c r="FV87" s="56"/>
      <c r="FW87" s="56"/>
      <c r="FX87" s="56"/>
      <c r="FY87" s="56"/>
      <c r="FZ87" s="56"/>
      <c r="GA87" s="56"/>
      <c r="GB87" s="56"/>
      <c r="GC87" s="56"/>
      <c r="GD87" s="56"/>
      <c r="GE87" s="56"/>
      <c r="GF87" s="56"/>
      <c r="GG87" s="56"/>
      <c r="GH87" s="56"/>
      <c r="GI87" s="56"/>
      <c r="GJ87" s="56"/>
      <c r="GK87" s="56"/>
      <c r="GL87" s="56"/>
      <c r="GM87" s="56"/>
      <c r="GN87" s="56"/>
      <c r="GO87" s="56"/>
      <c r="GP87" s="56"/>
      <c r="GQ87" s="56"/>
      <c r="GR87" s="56"/>
      <c r="GS87" s="56"/>
      <c r="GT87" s="56"/>
      <c r="GU87" s="56">
        <v>60.3</v>
      </c>
      <c r="GV87" s="56">
        <v>18.5</v>
      </c>
      <c r="GW87" s="56">
        <v>0</v>
      </c>
      <c r="GX87" s="56">
        <v>0.3</v>
      </c>
      <c r="GY87" s="56">
        <v>11.3</v>
      </c>
      <c r="GZ87" s="56">
        <v>10.4</v>
      </c>
      <c r="HA87" s="56">
        <v>5.3</v>
      </c>
      <c r="HB87" s="56">
        <v>2.4</v>
      </c>
      <c r="HC87">
        <v>0.3</v>
      </c>
      <c r="HD87">
        <v>0</v>
      </c>
      <c r="HE87">
        <v>0</v>
      </c>
    </row>
    <row r="88" spans="1:223" ht="19.399999999999999" customHeight="1" x14ac:dyDescent="0.35">
      <c r="A88" s="56" t="s">
        <v>2323</v>
      </c>
      <c r="B88" s="56">
        <v>27088</v>
      </c>
      <c r="C88" s="56">
        <v>34148</v>
      </c>
      <c r="D88" s="56">
        <v>31952</v>
      </c>
      <c r="E88" s="56">
        <v>32332</v>
      </c>
      <c r="F88" s="56">
        <v>32820</v>
      </c>
      <c r="G88" s="56">
        <v>38700</v>
      </c>
      <c r="H88" s="56">
        <v>37216</v>
      </c>
      <c r="I88" s="56">
        <v>37732</v>
      </c>
      <c r="J88" s="56">
        <v>38284</v>
      </c>
      <c r="K88" s="56">
        <v>38748</v>
      </c>
      <c r="L88" s="56">
        <v>39284</v>
      </c>
      <c r="M88" s="56">
        <v>47476</v>
      </c>
      <c r="N88" s="56">
        <v>49096</v>
      </c>
      <c r="O88" s="56">
        <v>50332</v>
      </c>
      <c r="P88" s="56">
        <v>51216</v>
      </c>
      <c r="Q88" s="56">
        <v>52016</v>
      </c>
      <c r="R88" s="56">
        <v>52464</v>
      </c>
      <c r="S88" s="56">
        <v>56916</v>
      </c>
      <c r="T88" s="56">
        <v>59804</v>
      </c>
      <c r="U88" s="56">
        <v>61244</v>
      </c>
      <c r="V88" s="56">
        <v>62000</v>
      </c>
      <c r="W88" s="56">
        <v>62888</v>
      </c>
      <c r="X88" s="56">
        <v>69012</v>
      </c>
      <c r="Y88" s="56">
        <v>69680</v>
      </c>
      <c r="Z88" s="56">
        <v>70960</v>
      </c>
      <c r="AA88" s="56">
        <v>71416</v>
      </c>
      <c r="AB88" s="56">
        <v>76996</v>
      </c>
      <c r="AC88" s="56">
        <v>78632</v>
      </c>
      <c r="AD88" s="56">
        <v>79228</v>
      </c>
      <c r="AE88" s="56">
        <v>80364</v>
      </c>
      <c r="AF88" s="56">
        <v>86256</v>
      </c>
      <c r="AG88" s="56">
        <v>87108</v>
      </c>
      <c r="AH88" s="56">
        <v>87776</v>
      </c>
      <c r="AI88" s="56">
        <v>87912</v>
      </c>
      <c r="AJ88" s="56">
        <v>94276</v>
      </c>
      <c r="AK88" s="56">
        <v>95556</v>
      </c>
      <c r="AL88" s="56">
        <v>96528</v>
      </c>
      <c r="AM88" s="56">
        <v>97848</v>
      </c>
      <c r="AN88" s="56">
        <v>107624</v>
      </c>
      <c r="AO88" s="56">
        <v>108324</v>
      </c>
      <c r="AP88" s="56">
        <v>109348</v>
      </c>
      <c r="AQ88" s="56">
        <v>109988</v>
      </c>
      <c r="AR88" s="56">
        <v>126932</v>
      </c>
      <c r="AS88" s="56">
        <v>128076</v>
      </c>
      <c r="AT88" s="56">
        <v>130716</v>
      </c>
      <c r="AU88" s="56">
        <v>131096</v>
      </c>
      <c r="AV88" s="56">
        <v>146284</v>
      </c>
      <c r="AW88" s="56">
        <v>146480</v>
      </c>
      <c r="AX88" s="56">
        <v>146772</v>
      </c>
      <c r="AY88" s="56">
        <v>147528</v>
      </c>
      <c r="AZ88" s="56">
        <v>157636</v>
      </c>
      <c r="BA88" s="56">
        <v>162896</v>
      </c>
      <c r="BB88" s="56">
        <v>162144</v>
      </c>
      <c r="BC88" s="56">
        <v>164008</v>
      </c>
      <c r="BD88" s="56">
        <v>163980</v>
      </c>
      <c r="BE88" s="56">
        <v>167572</v>
      </c>
      <c r="BF88" s="56">
        <v>170936</v>
      </c>
      <c r="BG88" s="56">
        <v>172680</v>
      </c>
      <c r="BH88" s="56">
        <v>172444</v>
      </c>
      <c r="BI88" s="56">
        <v>176048</v>
      </c>
      <c r="BJ88" s="56">
        <v>181540</v>
      </c>
      <c r="BK88" s="56">
        <v>181976</v>
      </c>
      <c r="BL88" s="56">
        <v>185252</v>
      </c>
      <c r="BM88" s="56">
        <v>184332</v>
      </c>
      <c r="BN88" s="56">
        <v>191100</v>
      </c>
      <c r="BO88" s="56">
        <v>192104</v>
      </c>
      <c r="BP88" s="56">
        <v>195880</v>
      </c>
      <c r="BQ88" s="56">
        <v>195440</v>
      </c>
      <c r="BR88" s="56">
        <v>198912</v>
      </c>
      <c r="BS88" s="56">
        <v>201652</v>
      </c>
      <c r="BT88" s="56">
        <v>201436</v>
      </c>
      <c r="BU88" s="56">
        <v>201980</v>
      </c>
      <c r="BV88" s="56">
        <v>213484</v>
      </c>
      <c r="BW88" s="56">
        <v>213536</v>
      </c>
      <c r="BX88" s="56">
        <v>214156</v>
      </c>
      <c r="BY88" s="56">
        <v>214488</v>
      </c>
      <c r="BZ88" s="56">
        <v>225904</v>
      </c>
      <c r="CA88" s="56">
        <v>226768</v>
      </c>
      <c r="CB88" s="56">
        <v>227804</v>
      </c>
      <c r="CC88" s="56">
        <v>229044</v>
      </c>
      <c r="CD88" s="56">
        <v>241024</v>
      </c>
      <c r="CE88" s="56">
        <v>243792</v>
      </c>
      <c r="CF88" s="56">
        <v>244712</v>
      </c>
      <c r="CG88" s="56">
        <v>247012</v>
      </c>
      <c r="CH88" s="56">
        <v>261292</v>
      </c>
      <c r="CI88" s="56">
        <v>263620</v>
      </c>
      <c r="CJ88" s="56">
        <v>265076</v>
      </c>
      <c r="CK88" s="56">
        <v>266828</v>
      </c>
      <c r="CL88" s="56">
        <v>278568</v>
      </c>
      <c r="CM88" s="56">
        <v>281744</v>
      </c>
      <c r="CN88" s="56">
        <v>282848</v>
      </c>
      <c r="CO88" s="56">
        <v>283944</v>
      </c>
      <c r="CP88" s="56">
        <v>295568</v>
      </c>
      <c r="CQ88" s="56">
        <v>297064</v>
      </c>
      <c r="CR88" s="56">
        <v>298552</v>
      </c>
      <c r="CS88" s="56">
        <v>300556</v>
      </c>
      <c r="CT88" s="56">
        <v>308800</v>
      </c>
      <c r="CU88" s="56">
        <v>311776</v>
      </c>
      <c r="CV88" s="56">
        <v>312956</v>
      </c>
      <c r="CW88" s="56">
        <v>315112</v>
      </c>
      <c r="CX88" s="56">
        <v>324784</v>
      </c>
      <c r="CY88" s="56">
        <v>327504</v>
      </c>
      <c r="CZ88" s="56">
        <v>328632</v>
      </c>
      <c r="DA88" s="56">
        <v>329780</v>
      </c>
      <c r="DB88" s="56">
        <v>339100</v>
      </c>
      <c r="DC88" s="56">
        <v>341412</v>
      </c>
      <c r="DD88" s="56">
        <v>342632</v>
      </c>
      <c r="DE88" s="56">
        <v>344876</v>
      </c>
      <c r="DF88" s="56">
        <v>353920</v>
      </c>
      <c r="DG88" s="56">
        <v>355872</v>
      </c>
      <c r="DH88" s="56">
        <v>357524</v>
      </c>
      <c r="DI88" s="56">
        <v>359052</v>
      </c>
      <c r="DJ88" s="56">
        <v>366632</v>
      </c>
      <c r="DK88" s="56">
        <v>368208</v>
      </c>
      <c r="DL88" s="56">
        <v>370704</v>
      </c>
      <c r="DM88" s="56">
        <v>371184</v>
      </c>
      <c r="DN88" s="56">
        <v>376964</v>
      </c>
      <c r="DO88" s="56">
        <v>378944</v>
      </c>
      <c r="DP88" s="56">
        <v>380800</v>
      </c>
      <c r="DQ88" s="56">
        <v>382748</v>
      </c>
      <c r="DR88" s="56">
        <v>392512</v>
      </c>
      <c r="DS88" s="56">
        <v>404664</v>
      </c>
      <c r="DT88" s="56">
        <v>403872</v>
      </c>
      <c r="DU88" s="56">
        <v>404524</v>
      </c>
      <c r="DV88" s="56">
        <v>420812</v>
      </c>
      <c r="DW88" s="56">
        <v>422668</v>
      </c>
      <c r="DX88" s="56">
        <v>428384</v>
      </c>
      <c r="DY88" s="56">
        <v>428472</v>
      </c>
      <c r="DZ88" s="56">
        <v>442872</v>
      </c>
      <c r="EA88" s="56">
        <v>445487</v>
      </c>
      <c r="EB88" s="56">
        <v>448080</v>
      </c>
      <c r="EC88" s="56">
        <v>451196</v>
      </c>
      <c r="ED88" s="56">
        <v>458142</v>
      </c>
      <c r="EE88" s="56">
        <v>463083</v>
      </c>
      <c r="EF88" s="56">
        <v>464765</v>
      </c>
      <c r="EG88" s="56">
        <v>468133</v>
      </c>
      <c r="EH88" s="56">
        <v>479685</v>
      </c>
      <c r="EI88" s="56">
        <v>484798</v>
      </c>
      <c r="EJ88" s="56">
        <v>486184</v>
      </c>
      <c r="EK88" s="56">
        <v>491380</v>
      </c>
      <c r="EL88" s="56">
        <v>506486</v>
      </c>
      <c r="EM88" s="56">
        <v>512872</v>
      </c>
      <c r="EN88" s="56">
        <v>514043</v>
      </c>
      <c r="EO88" s="56">
        <v>517512</v>
      </c>
      <c r="EP88" s="56">
        <v>538042</v>
      </c>
      <c r="EQ88" s="56">
        <v>543660</v>
      </c>
      <c r="ER88" s="56">
        <v>546105</v>
      </c>
      <c r="ES88" s="56">
        <v>548576</v>
      </c>
      <c r="ET88" s="56">
        <v>568277</v>
      </c>
      <c r="EU88" s="56">
        <v>575021</v>
      </c>
      <c r="EV88" s="56">
        <v>578227</v>
      </c>
      <c r="EW88" s="56">
        <v>581089</v>
      </c>
      <c r="EX88" s="56">
        <v>597326</v>
      </c>
      <c r="EY88" s="56">
        <v>602859</v>
      </c>
      <c r="EZ88" s="56">
        <v>608868</v>
      </c>
      <c r="FA88" s="56">
        <v>613115</v>
      </c>
      <c r="FB88" s="56">
        <v>651871</v>
      </c>
      <c r="FC88" s="56">
        <v>662422</v>
      </c>
      <c r="FD88" s="56">
        <v>667932</v>
      </c>
      <c r="FE88" s="56">
        <v>675654</v>
      </c>
      <c r="FF88" s="56">
        <v>678854</v>
      </c>
      <c r="FG88" s="56">
        <v>689251</v>
      </c>
      <c r="FH88" s="56">
        <v>693594</v>
      </c>
      <c r="FI88" s="56">
        <v>698996</v>
      </c>
      <c r="FJ88" s="56">
        <v>703143</v>
      </c>
      <c r="FK88" s="56">
        <v>712039</v>
      </c>
      <c r="FL88" s="56">
        <v>716021</v>
      </c>
      <c r="FM88" s="56">
        <v>721840</v>
      </c>
      <c r="FN88" s="56">
        <v>753212</v>
      </c>
      <c r="FO88" s="56">
        <v>759410</v>
      </c>
      <c r="FP88" s="56">
        <v>765124</v>
      </c>
      <c r="FQ88" s="56">
        <v>770811</v>
      </c>
      <c r="FR88" s="56">
        <v>789992</v>
      </c>
      <c r="FS88" s="56">
        <v>795240</v>
      </c>
      <c r="FT88" s="56">
        <v>802336</v>
      </c>
      <c r="FU88" s="56">
        <v>808608</v>
      </c>
      <c r="FV88" s="56">
        <v>824825</v>
      </c>
      <c r="FW88" s="56">
        <v>831664</v>
      </c>
      <c r="FX88" s="56">
        <v>836478</v>
      </c>
      <c r="FY88" s="56">
        <v>845592</v>
      </c>
      <c r="FZ88" s="56">
        <v>861827</v>
      </c>
      <c r="GA88" s="56">
        <v>868501</v>
      </c>
      <c r="GB88" s="56">
        <v>873921</v>
      </c>
      <c r="GC88" s="56">
        <v>882925</v>
      </c>
      <c r="GD88" s="56">
        <v>886054</v>
      </c>
      <c r="GE88" s="56">
        <v>893200</v>
      </c>
      <c r="GF88" s="56">
        <v>899396</v>
      </c>
      <c r="GG88" s="56">
        <v>907237</v>
      </c>
      <c r="GH88" s="56">
        <v>916306</v>
      </c>
      <c r="GI88" s="56">
        <v>922033</v>
      </c>
      <c r="GJ88" s="56">
        <v>929279</v>
      </c>
      <c r="GK88" s="56">
        <v>936668</v>
      </c>
      <c r="GL88" s="56">
        <v>960613</v>
      </c>
      <c r="GM88" s="56">
        <v>968342</v>
      </c>
      <c r="GN88" s="56">
        <v>976833</v>
      </c>
      <c r="GO88" s="56">
        <v>983861</v>
      </c>
      <c r="GP88" s="56">
        <v>1019190</v>
      </c>
      <c r="GQ88" s="56">
        <v>1026704</v>
      </c>
      <c r="GR88" s="56">
        <v>1034417</v>
      </c>
      <c r="GS88" s="56">
        <v>1042661</v>
      </c>
      <c r="GT88" s="56">
        <v>1068201</v>
      </c>
      <c r="GU88" s="56">
        <v>1075075</v>
      </c>
      <c r="GV88" s="56">
        <v>1080441</v>
      </c>
      <c r="GW88" s="56">
        <v>1087995</v>
      </c>
      <c r="GX88" s="56">
        <v>1105638</v>
      </c>
      <c r="GY88" s="56">
        <v>1109640</v>
      </c>
      <c r="GZ88" s="56">
        <v>1116948</v>
      </c>
      <c r="HA88" s="56">
        <v>1126174</v>
      </c>
      <c r="HB88" s="56">
        <v>1198452</v>
      </c>
      <c r="HC88">
        <v>1207163</v>
      </c>
      <c r="HD88">
        <v>1214781</v>
      </c>
      <c r="HE88">
        <v>1225619</v>
      </c>
      <c r="HF88">
        <v>1339904</v>
      </c>
      <c r="HG88">
        <v>1353283</v>
      </c>
      <c r="HH88">
        <v>1360723</v>
      </c>
      <c r="HI88">
        <v>1373982</v>
      </c>
      <c r="HJ88">
        <v>1426547</v>
      </c>
      <c r="HK88">
        <v>1439730</v>
      </c>
      <c r="HL88">
        <v>1453137</v>
      </c>
      <c r="HM88">
        <v>1467916</v>
      </c>
      <c r="HN88">
        <v>1528789</v>
      </c>
      <c r="HO88">
        <v>1605202</v>
      </c>
    </row>
    <row r="89" spans="1:223" x14ac:dyDescent="0.35">
      <c r="A89" s="56" t="s">
        <v>2324</v>
      </c>
      <c r="B89" s="56"/>
      <c r="C89" s="56"/>
      <c r="D89" s="56"/>
      <c r="E89" s="56"/>
      <c r="F89" s="56"/>
      <c r="G89" s="56"/>
      <c r="H89" s="56"/>
      <c r="I89" s="56"/>
      <c r="J89" s="56"/>
      <c r="K89" s="56"/>
      <c r="L89" s="56"/>
      <c r="M89" s="56"/>
      <c r="N89" s="56"/>
      <c r="O89" s="56"/>
      <c r="P89" s="56"/>
      <c r="Q89" s="56"/>
      <c r="R89" s="56"/>
      <c r="S89" s="56"/>
      <c r="T89" s="56"/>
      <c r="U89" s="56"/>
      <c r="V89" s="56"/>
      <c r="W89" s="56"/>
      <c r="X89" s="56"/>
      <c r="Y89" s="56"/>
      <c r="Z89" s="56"/>
      <c r="AA89" s="56"/>
      <c r="AB89" s="56"/>
      <c r="AC89" s="56"/>
      <c r="AD89" s="56"/>
      <c r="AE89" s="56"/>
      <c r="AF89" s="56"/>
      <c r="AG89" s="56"/>
      <c r="AH89" s="56"/>
      <c r="AI89" s="56"/>
      <c r="AJ89" s="56"/>
      <c r="AK89" s="56"/>
      <c r="AL89" s="56"/>
      <c r="AM89" s="56"/>
      <c r="AN89" s="56"/>
      <c r="AO89" s="56"/>
      <c r="AP89" s="56"/>
      <c r="AQ89" s="56"/>
      <c r="AR89" s="56"/>
      <c r="AS89" s="56"/>
      <c r="AT89" s="56"/>
      <c r="AU89" s="56"/>
      <c r="AV89" s="56"/>
      <c r="AW89" s="56"/>
      <c r="AX89" s="56"/>
      <c r="AY89" s="56"/>
      <c r="AZ89" s="56"/>
      <c r="BA89" s="56"/>
      <c r="BB89" s="56"/>
      <c r="BC89" s="56"/>
      <c r="BD89" s="56"/>
      <c r="BE89" s="56"/>
      <c r="BF89" s="56"/>
      <c r="BG89" s="56"/>
      <c r="BH89" s="56"/>
      <c r="BI89" s="56"/>
      <c r="BJ89" s="56"/>
      <c r="BK89" s="56"/>
      <c r="BL89" s="56"/>
      <c r="BM89" s="56"/>
      <c r="BN89" s="56"/>
      <c r="BO89" s="56"/>
      <c r="BP89" s="56"/>
      <c r="BQ89" s="56"/>
      <c r="BR89" s="56"/>
      <c r="BS89" s="56"/>
      <c r="BT89" s="56"/>
      <c r="BU89" s="56"/>
      <c r="BV89" s="56"/>
      <c r="BW89" s="56"/>
      <c r="BX89" s="56"/>
      <c r="BY89" s="56"/>
      <c r="BZ89" s="56"/>
      <c r="CA89" s="56"/>
      <c r="CB89" s="56"/>
      <c r="CC89" s="56"/>
      <c r="CD89" s="56"/>
      <c r="CE89" s="56"/>
      <c r="CF89" s="56"/>
      <c r="CG89" s="56"/>
      <c r="CH89" s="56"/>
      <c r="CI89" s="56"/>
      <c r="CJ89" s="56"/>
      <c r="CK89" s="56"/>
      <c r="CL89" s="56"/>
      <c r="CM89" s="56"/>
      <c r="CN89" s="56"/>
      <c r="CO89" s="56"/>
      <c r="CP89" s="56"/>
      <c r="CQ89" s="56"/>
      <c r="CR89" s="56"/>
      <c r="CS89" s="56"/>
      <c r="CT89" s="56"/>
      <c r="CU89" s="56"/>
      <c r="CV89" s="56"/>
      <c r="CW89" s="56"/>
      <c r="CX89" s="56"/>
      <c r="CY89" s="56"/>
      <c r="CZ89" s="56"/>
      <c r="DA89" s="56"/>
      <c r="DB89" s="56"/>
      <c r="DC89" s="56"/>
      <c r="DD89" s="56"/>
      <c r="DE89" s="56"/>
      <c r="DF89" s="56"/>
      <c r="DG89" s="56"/>
      <c r="DH89" s="56"/>
      <c r="DI89" s="56"/>
      <c r="DJ89" s="56"/>
      <c r="DK89" s="56"/>
      <c r="DL89" s="56"/>
      <c r="DM89" s="56"/>
      <c r="DN89" s="56"/>
      <c r="DO89" s="56"/>
      <c r="DP89" s="56"/>
      <c r="DQ89" s="56"/>
      <c r="DR89" s="56"/>
      <c r="DS89" s="56"/>
      <c r="DT89" s="56"/>
      <c r="DU89" s="56"/>
      <c r="DV89" s="56"/>
      <c r="DW89" s="56"/>
      <c r="DX89" s="56"/>
      <c r="DY89" s="56"/>
      <c r="DZ89" s="56"/>
      <c r="EA89" s="56"/>
      <c r="EB89" s="56"/>
      <c r="EC89" s="56"/>
      <c r="ED89" s="56"/>
      <c r="EE89" s="56"/>
      <c r="EF89" s="56"/>
      <c r="EG89" s="56"/>
      <c r="EH89" s="56"/>
      <c r="EI89" s="56"/>
      <c r="EJ89" s="56"/>
      <c r="EK89" s="56"/>
      <c r="EL89" s="56"/>
      <c r="EM89" s="56"/>
      <c r="EN89" s="56"/>
      <c r="EO89" s="56"/>
      <c r="EP89" s="56"/>
      <c r="EQ89" s="56"/>
      <c r="ER89" s="56"/>
      <c r="ES89" s="56"/>
      <c r="ET89" s="56"/>
      <c r="EU89" s="56"/>
      <c r="EV89" s="56"/>
      <c r="EW89" s="56"/>
      <c r="EX89" s="56"/>
      <c r="EY89" s="56"/>
      <c r="EZ89" s="56"/>
      <c r="FA89" s="56"/>
      <c r="FB89" s="56"/>
      <c r="FC89" s="56"/>
      <c r="FD89" s="56"/>
      <c r="FE89" s="56"/>
      <c r="FF89" s="56"/>
      <c r="FG89" s="56"/>
      <c r="FH89" s="56"/>
      <c r="FI89" s="56"/>
      <c r="FJ89" s="56"/>
      <c r="FK89" s="56"/>
      <c r="FL89" s="56"/>
      <c r="FM89" s="56"/>
      <c r="FN89" s="56"/>
      <c r="FO89" s="56"/>
      <c r="FP89" s="56"/>
      <c r="FQ89" s="56"/>
      <c r="FR89" s="56"/>
      <c r="FS89" s="56"/>
      <c r="FT89" s="56"/>
      <c r="FU89" s="56"/>
      <c r="FV89" s="56"/>
      <c r="FW89" s="56"/>
      <c r="FX89" s="56"/>
      <c r="FY89" s="56"/>
      <c r="FZ89" s="56"/>
      <c r="GA89" s="56"/>
      <c r="GB89" s="56"/>
      <c r="GC89" s="56"/>
      <c r="GD89" s="56"/>
      <c r="GE89" s="56"/>
      <c r="GF89" s="56"/>
      <c r="GG89" s="56"/>
      <c r="GH89" s="56"/>
      <c r="GI89" s="56"/>
      <c r="GJ89" s="56"/>
      <c r="GK89" s="56"/>
      <c r="GL89" s="56"/>
      <c r="GM89" s="56"/>
      <c r="GN89" s="56"/>
      <c r="GO89" s="56"/>
      <c r="GP89" s="56"/>
      <c r="GQ89" s="56"/>
      <c r="GR89" s="56"/>
      <c r="GS89" s="56"/>
      <c r="GT89" s="56"/>
      <c r="GU89" s="56"/>
      <c r="GV89" s="56"/>
      <c r="GW89" s="56"/>
      <c r="GX89" s="56">
        <v>34.4</v>
      </c>
      <c r="GY89" s="56">
        <v>34.4</v>
      </c>
      <c r="GZ89" s="56">
        <v>218.933333333333</v>
      </c>
      <c r="HA89" s="56">
        <v>223.13333333333301</v>
      </c>
      <c r="HB89" s="56">
        <v>94.3</v>
      </c>
      <c r="HC89">
        <v>94.3</v>
      </c>
      <c r="HD89">
        <v>94.3</v>
      </c>
      <c r="HE89">
        <v>94.3</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11"/>
  <sheetViews>
    <sheetView workbookViewId="0">
      <selection activeCell="C7" sqref="C7"/>
    </sheetView>
  </sheetViews>
  <sheetFormatPr defaultColWidth="10.90625" defaultRowHeight="14.5" x14ac:dyDescent="0.35"/>
  <cols>
    <col min="1" max="1" width="33" customWidth="1"/>
    <col min="2" max="3" width="27.1796875" customWidth="1"/>
  </cols>
  <sheetData>
    <row r="1" spans="1:23" x14ac:dyDescent="0.35">
      <c r="A1" s="69" t="s">
        <v>178</v>
      </c>
      <c r="B1" s="69" t="s">
        <v>179</v>
      </c>
      <c r="C1" s="69" t="s">
        <v>1127</v>
      </c>
      <c r="D1" s="70" t="s">
        <v>247</v>
      </c>
      <c r="E1" s="70" t="s">
        <v>248</v>
      </c>
      <c r="F1" s="70" t="s">
        <v>1923</v>
      </c>
      <c r="G1" s="70" t="s">
        <v>250</v>
      </c>
      <c r="H1" s="70" t="s">
        <v>180</v>
      </c>
      <c r="I1" s="70" t="s">
        <v>181</v>
      </c>
      <c r="J1" s="70" t="s">
        <v>1924</v>
      </c>
      <c r="K1" s="70" t="s">
        <v>183</v>
      </c>
      <c r="L1" s="70" t="s">
        <v>184</v>
      </c>
      <c r="M1" s="70" t="s">
        <v>185</v>
      </c>
      <c r="N1" s="70" t="s">
        <v>1925</v>
      </c>
      <c r="O1" s="70" t="s">
        <v>187</v>
      </c>
      <c r="P1" s="70" t="s">
        <v>188</v>
      </c>
      <c r="Q1" s="70" t="s">
        <v>189</v>
      </c>
      <c r="R1" s="70" t="s">
        <v>1897</v>
      </c>
      <c r="S1" s="70" t="s">
        <v>191</v>
      </c>
      <c r="T1" s="70" t="s">
        <v>175</v>
      </c>
      <c r="U1" s="70" t="s">
        <v>176</v>
      </c>
      <c r="V1" s="70" t="s">
        <v>177</v>
      </c>
      <c r="W1" s="70" t="s">
        <v>763</v>
      </c>
    </row>
    <row r="2" spans="1:23" ht="29.15" customHeight="1" x14ac:dyDescent="0.35">
      <c r="A2" s="14" t="s">
        <v>251</v>
      </c>
      <c r="B2" t="s">
        <v>252</v>
      </c>
      <c r="C2">
        <v>321.19400000000007</v>
      </c>
      <c r="D2">
        <f>Grants!K73</f>
        <v>295.41999999999996</v>
      </c>
      <c r="E2">
        <f>Grants!L73</f>
        <v>293.01599999999996</v>
      </c>
      <c r="F2">
        <f>Grants!M73</f>
        <v>318.27100000000007</v>
      </c>
      <c r="G2">
        <f>Grants!N73</f>
        <v>354.85400000000004</v>
      </c>
      <c r="H2">
        <f>Grants!O73</f>
        <v>373.11799999999988</v>
      </c>
      <c r="I2" s="56">
        <f>Grants!P73</f>
        <v>399.43985199999997</v>
      </c>
      <c r="J2" s="56">
        <f>Grants!Q73</f>
        <v>430.7982748</v>
      </c>
      <c r="K2" s="56">
        <f>Grants!R73</f>
        <v>500.33303199999995</v>
      </c>
      <c r="L2" s="56">
        <f>Grants!S73</f>
        <v>483.13586799999996</v>
      </c>
      <c r="M2" s="56">
        <f>Grants!T73</f>
        <v>450.110928</v>
      </c>
      <c r="N2" s="56">
        <f>Grants!U73</f>
        <v>441.01454320000011</v>
      </c>
      <c r="O2" s="56">
        <f>Grants!V73</f>
        <v>433.78172000000006</v>
      </c>
      <c r="P2" s="71">
        <f>Grants!W73</f>
        <v>417.68194400000004</v>
      </c>
      <c r="Q2" s="71">
        <f>Grants!X73</f>
        <v>432.29994399999998</v>
      </c>
      <c r="R2" s="71">
        <f>Grants!Y73</f>
        <v>434.70694400000002</v>
      </c>
      <c r="S2" s="71">
        <f>Grants!Z73</f>
        <v>440.59710899999999</v>
      </c>
      <c r="T2" s="71">
        <f>Grants!AA73</f>
        <v>461.9273300000001</v>
      </c>
      <c r="U2" s="71">
        <f>Grants!AB73</f>
        <v>463.54132570000002</v>
      </c>
      <c r="V2" s="71">
        <f>Grants!AC73</f>
        <v>424.55499699999996</v>
      </c>
      <c r="W2" s="71">
        <f>Grants!AD73</f>
        <v>400.72761949999995</v>
      </c>
    </row>
    <row r="3" spans="1:23" ht="29.15" customHeight="1" x14ac:dyDescent="0.35">
      <c r="A3" s="14" t="s">
        <v>790</v>
      </c>
      <c r="B3" t="s">
        <v>787</v>
      </c>
      <c r="C3">
        <v>1649.3000000000004</v>
      </c>
      <c r="D3">
        <f>'Social Benefits - old'!K33</f>
        <v>1804.1</v>
      </c>
      <c r="E3">
        <f>'Social Benefits - old'!L33</f>
        <v>1687.3999999999999</v>
      </c>
      <c r="F3">
        <f>'Social Benefits - old'!M33</f>
        <v>1744.3000000000004</v>
      </c>
      <c r="G3">
        <f>'Social Benefits - old'!N33</f>
        <v>1748.4781600000001</v>
      </c>
      <c r="H3">
        <f>'Social Benefits - old'!O33</f>
        <v>1919.3298399999999</v>
      </c>
      <c r="I3" s="56">
        <f>'Social Benefits - old'!P33</f>
        <v>1899.5239999999999</v>
      </c>
      <c r="J3" s="56">
        <f>'Social Benefits - old'!Q33</f>
        <v>1929.424</v>
      </c>
      <c r="K3" s="56">
        <f>'Social Benefits - old'!R33</f>
        <v>1935.4239999999995</v>
      </c>
      <c r="L3" s="56">
        <f>'Social Benefits - old'!S33</f>
        <v>1929.3240000000001</v>
      </c>
      <c r="M3" s="56">
        <f>'Social Benefits - old'!T33</f>
        <v>2003.6840000000002</v>
      </c>
      <c r="N3" s="56">
        <f>'Social Benefits - old'!U33</f>
        <v>2013.7840000000001</v>
      </c>
      <c r="O3" s="56">
        <f>'Social Benefits - old'!V33</f>
        <v>2002.924</v>
      </c>
      <c r="P3" s="71">
        <f>'Social Benefits - old'!W33</f>
        <v>2013.7240000000002</v>
      </c>
      <c r="Q3" s="71">
        <f>'Social Benefits - old'!X33</f>
        <v>2019.2990000000002</v>
      </c>
      <c r="R3" s="71">
        <f>'Social Benefits - old'!Y33</f>
        <v>2111.2989999999995</v>
      </c>
      <c r="S3" s="71">
        <f>'Social Benefits - old'!Z33</f>
        <v>2135.3989999999999</v>
      </c>
      <c r="T3" s="71">
        <f>'Social Benefits - old'!AA33</f>
        <v>2152.1989999999996</v>
      </c>
      <c r="U3" s="71">
        <f>'Social Benefits - old'!AB33</f>
        <v>2169.998</v>
      </c>
      <c r="V3" s="71">
        <f>'Social Benefits - old'!AC33</f>
        <v>2262.2980000000002</v>
      </c>
      <c r="W3" s="71">
        <f>'Social Benefits - old'!AD33</f>
        <v>2352.0980000000004</v>
      </c>
    </row>
    <row r="4" spans="1:23" ht="29.15" customHeight="1" x14ac:dyDescent="0.35">
      <c r="A4" s="14" t="s">
        <v>792</v>
      </c>
      <c r="B4" t="s">
        <v>788</v>
      </c>
      <c r="C4">
        <v>0</v>
      </c>
      <c r="D4">
        <f>'Social Benefits - old'!K24</f>
        <v>0</v>
      </c>
      <c r="E4">
        <f>'Social Benefits - old'!L24</f>
        <v>0</v>
      </c>
      <c r="F4">
        <f>'Social Benefits - old'!M24</f>
        <v>0</v>
      </c>
      <c r="G4">
        <f>'Social Benefits - old'!N24</f>
        <v>33.921840000000024</v>
      </c>
      <c r="H4">
        <f>'Social Benefits - old'!O24</f>
        <v>44.966160000000031</v>
      </c>
      <c r="I4" s="56">
        <f>'Social Benefits - old'!P24</f>
        <v>52.756999999999998</v>
      </c>
      <c r="J4" s="56">
        <f>'Social Benefits - old'!Q24</f>
        <v>52.756999999999998</v>
      </c>
      <c r="K4" s="56">
        <f>'Social Benefits - old'!R24</f>
        <v>52.756999999999998</v>
      </c>
      <c r="L4" s="56">
        <f>'Social Benefits - old'!S24</f>
        <v>52.756999999999998</v>
      </c>
      <c r="M4" s="56">
        <f>'Social Benefits - old'!T24</f>
        <v>30</v>
      </c>
      <c r="N4" s="56">
        <f>'Social Benefits - old'!U24</f>
        <v>12</v>
      </c>
      <c r="O4" s="56">
        <f>'Social Benefits - old'!V24</f>
        <v>12</v>
      </c>
      <c r="P4" s="71">
        <f>'Social Benefits - old'!W24</f>
        <v>12</v>
      </c>
      <c r="Q4" s="71">
        <f>'Social Benefits - old'!X24</f>
        <v>4.2219999999999995</v>
      </c>
      <c r="R4" s="71">
        <f>'Social Benefits - old'!Y24</f>
        <v>4.2219999999999995</v>
      </c>
      <c r="S4" s="71">
        <f>'Social Benefits - old'!Z24</f>
        <v>4.2219999999999995</v>
      </c>
      <c r="T4" s="71">
        <f>'Social Benefits - old'!AA24</f>
        <v>4.2219999999999995</v>
      </c>
      <c r="U4" s="71">
        <f>'Social Benefits - old'!AB24</f>
        <v>2.3719999999999999</v>
      </c>
      <c r="V4" s="71">
        <f>'Social Benefits - old'!AC24</f>
        <v>2.3719999999999999</v>
      </c>
      <c r="W4" s="71">
        <f>'Social Benefits - old'!AD24</f>
        <v>2.3719999999999999</v>
      </c>
    </row>
    <row r="5" spans="1:23" x14ac:dyDescent="0.35">
      <c r="A5" s="14" t="s">
        <v>791</v>
      </c>
      <c r="B5" t="s">
        <v>789</v>
      </c>
      <c r="C5">
        <v>160.9</v>
      </c>
      <c r="D5">
        <f>'Social Benefits - old'!K30</f>
        <v>58.4</v>
      </c>
      <c r="E5">
        <f>'Social Benefits - old'!L30</f>
        <v>34.5</v>
      </c>
      <c r="F5">
        <f>'Social Benefits - old'!M30</f>
        <v>21.4</v>
      </c>
      <c r="G5">
        <f>'Social Benefits - old'!N30</f>
        <v>13.3</v>
      </c>
      <c r="H5">
        <f>'Social Benefits - old'!O30</f>
        <v>21.804000000000041</v>
      </c>
      <c r="I5" s="56">
        <f>'Social Benefits - old'!P30</f>
        <v>51.919000000000011</v>
      </c>
      <c r="J5" s="56">
        <f>'Social Benefits - old'!Q30</f>
        <v>46.619</v>
      </c>
      <c r="K5" s="56">
        <f>'Social Benefits - old'!R30</f>
        <v>39.719000000000008</v>
      </c>
      <c r="L5" s="56">
        <f>'Social Benefits - old'!S30</f>
        <v>27.819000000000003</v>
      </c>
      <c r="M5" s="56">
        <f>'Social Benefits - old'!T30</f>
        <v>6.3160000000000007</v>
      </c>
      <c r="N5" s="56">
        <f>'Social Benefits - old'!U30</f>
        <v>1.4159999999999999</v>
      </c>
      <c r="O5" s="56">
        <f>'Social Benefits - old'!V30</f>
        <v>1.4159999999999999</v>
      </c>
      <c r="P5" s="71">
        <f>'Social Benefits - old'!W30</f>
        <v>1.4159999999999999</v>
      </c>
      <c r="Q5" s="71">
        <f>'Social Benefits - old'!X30</f>
        <v>1.4790000000000001</v>
      </c>
      <c r="R5" s="71">
        <f>'Social Benefits - old'!Y30</f>
        <v>1.4790000000000001</v>
      </c>
      <c r="S5" s="71">
        <f>'Social Benefits - old'!Z30</f>
        <v>1.4790000000000001</v>
      </c>
      <c r="T5" s="71">
        <f>'Social Benefits - old'!AA30</f>
        <v>1.4790000000000001</v>
      </c>
      <c r="U5" s="71">
        <f>'Social Benefits - old'!AB30</f>
        <v>1.63</v>
      </c>
      <c r="V5" s="71">
        <f>'Social Benefits - old'!AC30</f>
        <v>1.63</v>
      </c>
      <c r="W5" s="71">
        <f>'Social Benefits - old'!AD30</f>
        <v>1.63</v>
      </c>
    </row>
    <row r="6" spans="1:23" x14ac:dyDescent="0.35">
      <c r="A6" s="56" t="s">
        <v>201</v>
      </c>
      <c r="B6" s="56" t="s">
        <v>826</v>
      </c>
      <c r="C6" s="56">
        <v>0</v>
      </c>
      <c r="D6" s="74">
        <f>Subsidies!K45</f>
        <v>0</v>
      </c>
      <c r="E6" s="74">
        <f>Subsidies!L45</f>
        <v>0</v>
      </c>
      <c r="F6" s="74">
        <f>Subsidies!M45</f>
        <v>0</v>
      </c>
      <c r="G6" s="74">
        <f>Subsidies!N45</f>
        <v>58.782959999999989</v>
      </c>
      <c r="H6" s="74">
        <f>Subsidies!O45</f>
        <v>267.78904</v>
      </c>
      <c r="I6" s="74">
        <f>Subsidies!P45</f>
        <v>110.24799999999999</v>
      </c>
      <c r="J6" s="74">
        <f>Subsidies!Q45</f>
        <v>110.24799999999999</v>
      </c>
      <c r="K6" s="74">
        <f>Subsidies!R45</f>
        <v>110.24799999999999</v>
      </c>
      <c r="L6" s="74">
        <f>Subsidies!S45</f>
        <v>110.24799999999999</v>
      </c>
      <c r="M6" s="74">
        <f>Subsidies!T45</f>
        <v>12.726000000000001</v>
      </c>
      <c r="N6" s="74">
        <f>Subsidies!U45</f>
        <v>12.726000000000001</v>
      </c>
      <c r="O6" s="74">
        <f>Subsidies!V45</f>
        <v>12.726000000000001</v>
      </c>
      <c r="P6" s="72">
        <f>Subsidies!W45</f>
        <v>12.726000000000001</v>
      </c>
      <c r="Q6" s="72">
        <f>Subsidies!X45</f>
        <v>1.365</v>
      </c>
      <c r="R6" s="72">
        <f>Subsidies!Y45</f>
        <v>1.365</v>
      </c>
      <c r="S6" s="72">
        <f>Subsidies!Z45</f>
        <v>1.365</v>
      </c>
      <c r="T6" s="72">
        <f>Subsidies!AA45</f>
        <v>1.365</v>
      </c>
      <c r="U6" s="72">
        <f>Subsidies!AB45</f>
        <v>-0.90100000000000025</v>
      </c>
      <c r="V6" s="72">
        <f>Subsidies!AC45</f>
        <v>-0.90100000000000025</v>
      </c>
      <c r="W6" s="72">
        <f>Subsidies!AD45</f>
        <v>-0.90100000000000025</v>
      </c>
    </row>
    <row r="7" spans="1:23" ht="29.15" customHeight="1" x14ac:dyDescent="0.35">
      <c r="A7" s="14" t="s">
        <v>864</v>
      </c>
      <c r="B7" t="s">
        <v>862</v>
      </c>
      <c r="C7" t="e">
        <v>#REF!</v>
      </c>
      <c r="D7" s="56" t="e">
        <f>#REF!</f>
        <v>#REF!</v>
      </c>
      <c r="E7" s="56" t="e">
        <f>#REF!</f>
        <v>#REF!</v>
      </c>
      <c r="F7" s="56" t="e">
        <f>#REF!</f>
        <v>#REF!</v>
      </c>
      <c r="G7" s="56" t="e">
        <f>#REF!</f>
        <v>#REF!</v>
      </c>
      <c r="H7" s="56" t="e">
        <f>#REF!</f>
        <v>#REF!</v>
      </c>
      <c r="I7" s="56" t="e">
        <f>#REF!</f>
        <v>#REF!</v>
      </c>
      <c r="J7" s="56" t="e">
        <f>#REF!</f>
        <v>#REF!</v>
      </c>
      <c r="K7" s="56" t="e">
        <f>#REF!</f>
        <v>#REF!</v>
      </c>
      <c r="L7" s="56" t="e">
        <f>#REF!</f>
        <v>#REF!</v>
      </c>
      <c r="M7" s="56" t="e">
        <f>#REF!</f>
        <v>#REF!</v>
      </c>
      <c r="N7" s="56" t="e">
        <f>#REF!</f>
        <v>#REF!</v>
      </c>
      <c r="O7" s="56" t="e">
        <f>#REF!</f>
        <v>#REF!</v>
      </c>
      <c r="P7" s="71" t="e">
        <f>#REF!</f>
        <v>#REF!</v>
      </c>
      <c r="Q7" s="71" t="e">
        <f>#REF!</f>
        <v>#REF!</v>
      </c>
      <c r="R7" s="71" t="e">
        <f>#REF!</f>
        <v>#REF!</v>
      </c>
      <c r="S7" s="71" t="e">
        <f>#REF!</f>
        <v>#REF!</v>
      </c>
      <c r="T7" s="71" t="e">
        <f>#REF!</f>
        <v>#REF!</v>
      </c>
      <c r="U7" s="71" t="e">
        <f>#REF!</f>
        <v>#REF!</v>
      </c>
      <c r="V7" s="71" t="e">
        <f>#REF!</f>
        <v>#REF!</v>
      </c>
      <c r="W7" s="71" t="e">
        <f>#REF!</f>
        <v>#REF!</v>
      </c>
    </row>
    <row r="8" spans="1:23" x14ac:dyDescent="0.35">
      <c r="A8" t="s">
        <v>865</v>
      </c>
      <c r="B8" t="s">
        <v>863</v>
      </c>
      <c r="D8" s="56"/>
      <c r="E8" s="56"/>
      <c r="F8" s="56"/>
      <c r="G8" s="56"/>
      <c r="H8" s="56"/>
      <c r="J8" s="75"/>
      <c r="K8" s="75"/>
      <c r="L8" s="75"/>
      <c r="M8" s="75"/>
      <c r="N8" s="75" t="e">
        <f>forecast!#REF!</f>
        <v>#REF!</v>
      </c>
      <c r="O8" s="75" t="e">
        <f>forecast!#REF!</f>
        <v>#REF!</v>
      </c>
      <c r="P8" s="73" t="e">
        <f>forecast!#REF!</f>
        <v>#REF!</v>
      </c>
      <c r="Q8" s="73" t="e">
        <f>forecast!#REF!</f>
        <v>#REF!</v>
      </c>
      <c r="R8" s="73" t="e">
        <f>forecast!#REF!</f>
        <v>#REF!</v>
      </c>
      <c r="S8" s="73" t="e">
        <f>forecast!#REF!</f>
        <v>#REF!</v>
      </c>
      <c r="T8" s="73" t="e">
        <f>forecast!#REF!</f>
        <v>#REF!</v>
      </c>
      <c r="U8" s="73" t="e">
        <f>forecast!#REF!</f>
        <v>#REF!</v>
      </c>
      <c r="V8" s="73" t="e">
        <f>forecast!#REF!</f>
        <v>#REF!</v>
      </c>
      <c r="W8" s="73" t="e">
        <f>forecast!#REF!</f>
        <v>#REF!</v>
      </c>
    </row>
    <row r="9" spans="1:23" x14ac:dyDescent="0.35">
      <c r="A9" s="14" t="s">
        <v>917</v>
      </c>
      <c r="B9" t="s">
        <v>918</v>
      </c>
      <c r="C9">
        <v>75.483999999999995</v>
      </c>
      <c r="D9">
        <f>Grants!K94</f>
        <v>79.444000000000003</v>
      </c>
      <c r="E9">
        <f>Grants!L94</f>
        <v>75.742999999999995</v>
      </c>
      <c r="F9">
        <f>Grants!M94</f>
        <v>73.183000000000007</v>
      </c>
      <c r="G9">
        <f>Grants!N94</f>
        <v>74.421000000000006</v>
      </c>
      <c r="H9">
        <f>Grants!O94</f>
        <v>70.334000000000003</v>
      </c>
      <c r="I9">
        <f>Grants!P94</f>
        <v>72.707999999999998</v>
      </c>
      <c r="J9">
        <f>Grants!Q94</f>
        <v>75.024000000000001</v>
      </c>
      <c r="K9">
        <f>Grants!R94</f>
        <v>75.203000000000003</v>
      </c>
      <c r="L9">
        <f>Grants!S94</f>
        <v>75.203000000000003</v>
      </c>
      <c r="M9" s="56">
        <f>Grants!T94</f>
        <v>76.022000000000006</v>
      </c>
      <c r="N9" s="56">
        <f>Grants!U94</f>
        <v>76.022000000000006</v>
      </c>
      <c r="O9" s="56">
        <f>Grants!V94</f>
        <v>76.022000000000006</v>
      </c>
      <c r="P9" s="71">
        <f>Grants!W94</f>
        <v>76.022000000000006</v>
      </c>
      <c r="Q9" s="71">
        <f>Grants!X94</f>
        <v>77.680999999999997</v>
      </c>
      <c r="R9" s="71">
        <f>Grants!Y94</f>
        <v>77.680999999999997</v>
      </c>
      <c r="S9" s="71">
        <f>Grants!Z94</f>
        <v>77.680999999999997</v>
      </c>
      <c r="T9" s="71">
        <f>Grants!AA94</f>
        <v>77.680999999999997</v>
      </c>
      <c r="U9" s="71">
        <f>Grants!AB94</f>
        <v>79.275000000000006</v>
      </c>
      <c r="V9" s="71">
        <f>Grants!AC94</f>
        <v>79.275000000000006</v>
      </c>
      <c r="W9" s="71">
        <f>Grants!AD94</f>
        <v>75.203000000000003</v>
      </c>
    </row>
    <row r="10" spans="1:23" x14ac:dyDescent="0.35">
      <c r="A10" t="s">
        <v>1875</v>
      </c>
      <c r="B10" t="s">
        <v>1876</v>
      </c>
      <c r="C10">
        <v>0</v>
      </c>
      <c r="D10">
        <v>0</v>
      </c>
      <c r="E10">
        <v>0</v>
      </c>
      <c r="F10">
        <v>0</v>
      </c>
      <c r="G10">
        <v>0</v>
      </c>
      <c r="H10">
        <v>0</v>
      </c>
      <c r="I10">
        <v>0</v>
      </c>
      <c r="J10">
        <v>0</v>
      </c>
      <c r="K10">
        <f>'Supply Side IRA'!R14</f>
        <v>0</v>
      </c>
      <c r="L10">
        <f>'Supply Side IRA'!S14</f>
        <v>4.7396187820222604</v>
      </c>
      <c r="M10">
        <f>'Supply Side IRA'!T14</f>
        <v>7.9776986848321831</v>
      </c>
      <c r="N10">
        <f>'Supply Side IRA'!U14</f>
        <v>30.340947133778037</v>
      </c>
      <c r="O10">
        <f>'Supply Side IRA'!V14</f>
        <v>46.245323437552436</v>
      </c>
      <c r="P10" s="71">
        <f>'Supply Side IRA'!W14</f>
        <v>62.071265434561823</v>
      </c>
      <c r="Q10" s="71">
        <f>'Supply Side IRA'!X14</f>
        <v>68.312190099849346</v>
      </c>
      <c r="R10" s="71">
        <f>'Supply Side IRA'!Y14</f>
        <v>78.014538004655279</v>
      </c>
      <c r="S10" s="71">
        <f>'Supply Side IRA'!Z14</f>
        <v>85.438721583871441</v>
      </c>
      <c r="T10" s="71">
        <f>'Supply Side IRA'!AA14</f>
        <v>79.629002831748679</v>
      </c>
      <c r="U10" s="71">
        <f>'Supply Side IRA'!AB14</f>
        <v>71.179167218325318</v>
      </c>
      <c r="V10" s="71">
        <f>'Supply Side IRA'!AC14</f>
        <v>73.980636292422588</v>
      </c>
      <c r="W10" s="71">
        <f>'Supply Side IRA'!AD14</f>
        <v>88.394442804062294</v>
      </c>
    </row>
    <row r="11" spans="1:23" x14ac:dyDescent="0.35">
      <c r="A11" s="14" t="s">
        <v>1879</v>
      </c>
      <c r="B11" t="s">
        <v>1880</v>
      </c>
      <c r="C11">
        <v>45</v>
      </c>
      <c r="D11">
        <f>'Student loans'!K12</f>
        <v>45</v>
      </c>
      <c r="E11">
        <f>'Student loans'!L12</f>
        <v>45</v>
      </c>
      <c r="F11">
        <f>'Student loans'!M12</f>
        <v>45</v>
      </c>
      <c r="G11">
        <f>'Student loans'!N12</f>
        <v>45</v>
      </c>
      <c r="H11">
        <f>'Student loans'!O12</f>
        <v>45</v>
      </c>
      <c r="I11">
        <f>'Student loans'!P12</f>
        <v>45</v>
      </c>
      <c r="J11">
        <f>'Student loans'!Q12</f>
        <v>45</v>
      </c>
      <c r="K11">
        <f>'Student loans'!R12</f>
        <v>45</v>
      </c>
      <c r="L11">
        <f>'Student loans'!S12</f>
        <v>45</v>
      </c>
      <c r="M11">
        <f>'Student loans'!T12</f>
        <v>45</v>
      </c>
      <c r="N11">
        <f>'Student loans'!U12</f>
        <v>45</v>
      </c>
      <c r="O11">
        <f>'Student loans'!V12</f>
        <v>45</v>
      </c>
      <c r="P11" s="71">
        <f>'Student loans'!W12</f>
        <v>2.0815079999999999</v>
      </c>
      <c r="Q11" s="71">
        <f>'Student loans'!X12</f>
        <v>2.1006180000000003</v>
      </c>
      <c r="R11" s="71">
        <f>'Student loans'!Y12</f>
        <v>2.5815300000000003</v>
      </c>
      <c r="S11" s="71">
        <f>'Student loans'!Z12</f>
        <v>2.6040450000000002</v>
      </c>
      <c r="T11" s="71">
        <f>'Student loans'!AA12</f>
        <v>2.626465</v>
      </c>
      <c r="U11" s="71">
        <f>'Student loans'!AB12</f>
        <v>2.6498349999999999</v>
      </c>
      <c r="V11" s="71">
        <f>'Student loans'!AC12</f>
        <v>2.6454420000000001</v>
      </c>
      <c r="W11" s="71">
        <f>'Student loans'!AD12</f>
        <v>2.6696</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
  <sheetViews>
    <sheetView zoomScale="94" zoomScaleNormal="124" workbookViewId="0">
      <selection activeCell="C41" sqref="C41"/>
    </sheetView>
  </sheetViews>
  <sheetFormatPr defaultColWidth="10.90625" defaultRowHeight="14.5" x14ac:dyDescent="0.35"/>
  <cols>
    <col min="1" max="1" width="32.81640625" customWidth="1"/>
    <col min="2" max="2" width="28.54296875" customWidth="1"/>
  </cols>
  <sheetData>
    <row r="1" spans="1:10" x14ac:dyDescent="0.35">
      <c r="A1" s="69" t="s">
        <v>178</v>
      </c>
      <c r="B1" s="69" t="s">
        <v>179</v>
      </c>
      <c r="C1" s="78" t="s">
        <v>764</v>
      </c>
      <c r="D1" s="78" t="s">
        <v>765</v>
      </c>
      <c r="E1" s="78" t="s">
        <v>1898</v>
      </c>
      <c r="F1" s="78" t="s">
        <v>1152</v>
      </c>
      <c r="G1" s="78" t="s">
        <v>1153</v>
      </c>
      <c r="H1" s="78" t="s">
        <v>1154</v>
      </c>
      <c r="I1" s="78" t="s">
        <v>1155</v>
      </c>
      <c r="J1" s="78" t="s">
        <v>1156</v>
      </c>
    </row>
    <row r="2" spans="1:10" x14ac:dyDescent="0.35">
      <c r="A2" s="77" t="s">
        <v>1700</v>
      </c>
      <c r="B2" t="s">
        <v>1718</v>
      </c>
      <c r="C2" s="76">
        <f>Deflators!AE23</f>
        <v>5.9160265843611892E-3</v>
      </c>
      <c r="D2" s="76">
        <f>Deflators!AF23</f>
        <v>5.9495417545925022E-3</v>
      </c>
      <c r="E2" s="76">
        <f>Deflators!AG23</f>
        <v>5.3246047022768028E-3</v>
      </c>
      <c r="F2" s="76">
        <f>Deflators!AH23</f>
        <v>5.0560151008076648E-3</v>
      </c>
      <c r="G2" s="76">
        <f>Deflators!AI23</f>
        <v>5.0400673136283825E-3</v>
      </c>
      <c r="H2" s="76">
        <f>Deflators!AJ23</f>
        <v>5.0641944009628403E-3</v>
      </c>
      <c r="I2" s="76">
        <f>Deflators!AK23</f>
        <v>5.0315604958042215E-3</v>
      </c>
      <c r="J2" s="76">
        <f>Deflators!AL23</f>
        <v>5.0077163079846887E-3</v>
      </c>
    </row>
    <row r="3" spans="1:10" x14ac:dyDescent="0.35">
      <c r="A3" s="67" t="s">
        <v>1714</v>
      </c>
      <c r="B3" t="s">
        <v>1719</v>
      </c>
      <c r="C3" s="76">
        <f>Deflators!AE24</f>
        <v>6.1258970181228278E-3</v>
      </c>
      <c r="D3" s="76">
        <f>Deflators!AF24</f>
        <v>5.9761162066749307E-3</v>
      </c>
      <c r="E3" s="76">
        <f>Deflators!AG24</f>
        <v>5.3360385557714718E-3</v>
      </c>
      <c r="F3" s="76">
        <f>Deflators!AH24</f>
        <v>5.6496540320822852E-3</v>
      </c>
      <c r="G3" s="76">
        <f>Deflators!AI24</f>
        <v>5.7657657657657069E-3</v>
      </c>
      <c r="H3" s="76">
        <f>Deflators!AJ24</f>
        <v>5.9196503336531592E-3</v>
      </c>
      <c r="I3" s="76">
        <f>Deflators!AK24</f>
        <v>5.5566525119521426E-3</v>
      </c>
      <c r="J3" s="76">
        <f>Deflators!AL24</f>
        <v>5.4914304880231413E-3</v>
      </c>
    </row>
    <row r="4" spans="1:10" x14ac:dyDescent="0.35">
      <c r="A4" s="67" t="s">
        <v>1715</v>
      </c>
      <c r="B4" t="s">
        <v>1720</v>
      </c>
      <c r="C4" s="76">
        <f>Deflators!AE25</f>
        <v>7.7455120761196206E-3</v>
      </c>
      <c r="D4" s="76">
        <f>Deflators!AF25</f>
        <v>8.0020266414988495E-3</v>
      </c>
      <c r="E4" s="76">
        <f>Deflators!AG25</f>
        <v>8.189994905591913E-3</v>
      </c>
      <c r="F4" s="76">
        <f>Deflators!AH25</f>
        <v>7.7655046872424638E-3</v>
      </c>
      <c r="G4" s="76">
        <f>Deflators!AI25</f>
        <v>7.6646909789201967E-3</v>
      </c>
      <c r="H4" s="76">
        <f>Deflators!AJ25</f>
        <v>7.6652640346144274E-3</v>
      </c>
      <c r="I4" s="76">
        <f>Deflators!AK25</f>
        <v>7.549640626419496E-3</v>
      </c>
      <c r="J4" s="76">
        <f>Deflators!AL25</f>
        <v>7.4988972991580916E-3</v>
      </c>
    </row>
    <row r="5" spans="1:10" x14ac:dyDescent="0.35">
      <c r="A5" s="67" t="s">
        <v>1716</v>
      </c>
      <c r="B5" t="s">
        <v>1721</v>
      </c>
      <c r="C5" s="76">
        <f>Deflators!AE26</f>
        <v>7.7455120761196206E-3</v>
      </c>
      <c r="D5" s="76">
        <f>Deflators!AF26</f>
        <v>8.0020266414988495E-3</v>
      </c>
      <c r="E5" s="76">
        <f>Deflators!AG26</f>
        <v>8.189994905591913E-3</v>
      </c>
      <c r="F5" s="76">
        <f>Deflators!AH26</f>
        <v>7.7655046872424638E-3</v>
      </c>
      <c r="G5" s="76">
        <f>Deflators!AI26</f>
        <v>7.6646909789201967E-3</v>
      </c>
      <c r="H5" s="76">
        <f>Deflators!AJ26</f>
        <v>7.6652640346144274E-3</v>
      </c>
      <c r="I5" s="76">
        <f>Deflators!AK26</f>
        <v>7.549640626419496E-3</v>
      </c>
      <c r="J5" s="76">
        <f>Deflators!AL26</f>
        <v>7.4988972991580916E-3</v>
      </c>
    </row>
    <row r="6" spans="1:10" x14ac:dyDescent="0.35">
      <c r="A6" s="56" t="s">
        <v>1717</v>
      </c>
      <c r="B6" t="s">
        <v>1722</v>
      </c>
      <c r="C6" s="76">
        <f>Deflators!AE27</f>
        <v>7.7455120761196206E-3</v>
      </c>
      <c r="D6" s="76">
        <f>Deflators!AF27</f>
        <v>8.0020266414988495E-3</v>
      </c>
      <c r="E6" s="76">
        <f>Deflators!AG27</f>
        <v>8.189994905591913E-3</v>
      </c>
      <c r="F6" s="76">
        <f>Deflators!AH27</f>
        <v>7.7655046872424638E-3</v>
      </c>
      <c r="G6" s="76">
        <f>Deflators!AI27</f>
        <v>7.6646909789201967E-3</v>
      </c>
      <c r="H6" s="76">
        <f>Deflators!AJ27</f>
        <v>7.6652640346144274E-3</v>
      </c>
      <c r="I6" s="76">
        <f>Deflators!AK27</f>
        <v>7.549640626419496E-3</v>
      </c>
      <c r="J6" s="76">
        <f>Deflators!AL27</f>
        <v>7.4988972991580916E-3</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K129"/>
  <sheetViews>
    <sheetView topLeftCell="A34" zoomScaleNormal="100" workbookViewId="0">
      <selection activeCell="H69" sqref="H69"/>
    </sheetView>
  </sheetViews>
  <sheetFormatPr defaultColWidth="10.90625" defaultRowHeight="14.5" x14ac:dyDescent="0.35"/>
  <cols>
    <col min="2" max="2" width="39.453125" customWidth="1"/>
    <col min="3" max="3" width="20.1796875" customWidth="1"/>
    <col min="4" max="4" width="12.26953125" customWidth="1"/>
  </cols>
  <sheetData>
    <row r="2" spans="2:11" x14ac:dyDescent="0.35">
      <c r="B2" s="1294" t="s">
        <v>2013</v>
      </c>
      <c r="C2" s="1294"/>
      <c r="D2" s="1294"/>
      <c r="E2" s="1294"/>
      <c r="F2" s="1294"/>
      <c r="G2" s="1294"/>
      <c r="H2" s="1294"/>
      <c r="I2" s="1294"/>
      <c r="J2" s="1294"/>
      <c r="K2" s="1294"/>
    </row>
    <row r="3" spans="2:11" x14ac:dyDescent="0.35">
      <c r="B3" t="str">
        <f>forecast!A1</f>
        <v>name</v>
      </c>
      <c r="C3" t="str">
        <f>forecast!B1</f>
        <v>variable</v>
      </c>
      <c r="E3" t="s">
        <v>764</v>
      </c>
      <c r="F3" t="s">
        <v>765</v>
      </c>
      <c r="G3" t="s">
        <v>1151</v>
      </c>
      <c r="H3" t="s">
        <v>1152</v>
      </c>
      <c r="I3" t="s">
        <v>1153</v>
      </c>
      <c r="J3" t="s">
        <v>1154</v>
      </c>
      <c r="K3" t="s">
        <v>1155</v>
      </c>
    </row>
    <row r="4" spans="2:11" x14ac:dyDescent="0.35">
      <c r="B4" t="str">
        <f>forecast!A2</f>
        <v>Consumption Grants</v>
      </c>
      <c r="C4" t="str">
        <f>forecast!B2</f>
        <v>consumption_grants</v>
      </c>
      <c r="D4" s="80" t="e">
        <f>forecast!#REF!</f>
        <v>#REF!</v>
      </c>
      <c r="E4" s="80">
        <f>forecast!C2</f>
        <v>403.22655010069974</v>
      </c>
      <c r="F4" s="80">
        <f>forecast!D2</f>
        <v>401.86440476318199</v>
      </c>
      <c r="G4" s="80">
        <f>forecast!E2</f>
        <v>404.53896501683153</v>
      </c>
      <c r="H4" s="80">
        <f>forecast!F2</f>
        <v>404.43687879999999</v>
      </c>
      <c r="I4" s="80">
        <f>forecast!G2</f>
        <v>408.16440578472771</v>
      </c>
      <c r="J4" s="80">
        <f>forecast!H2</f>
        <v>409.91880820170923</v>
      </c>
      <c r="K4" s="80">
        <f>forecast!I2</f>
        <v>412.70035086550473</v>
      </c>
    </row>
    <row r="5" spans="2:11" x14ac:dyDescent="0.35">
      <c r="B5" t="str">
        <f>forecast!A3</f>
        <v>Investment Grants</v>
      </c>
      <c r="C5" t="str">
        <f>forecast!B3</f>
        <v>investment_grants</v>
      </c>
      <c r="D5" s="80" t="e">
        <f>forecast!#REF!</f>
        <v>#REF!</v>
      </c>
      <c r="E5" s="80">
        <f>forecast!C3</f>
        <v>75.203000000000003</v>
      </c>
      <c r="F5" s="80">
        <f>forecast!D3</f>
        <v>75.203000000000003</v>
      </c>
      <c r="G5" s="80">
        <f>forecast!E3</f>
        <v>75.203000000000003</v>
      </c>
      <c r="H5" s="80">
        <f>forecast!F3</f>
        <v>75.203000000000003</v>
      </c>
      <c r="I5" s="80">
        <f>forecast!G3</f>
        <v>75.203000000000003</v>
      </c>
      <c r="J5" s="80">
        <f>forecast!H3</f>
        <v>75.203000000000003</v>
      </c>
      <c r="K5" s="80">
        <f>forecast!I3</f>
        <v>75.203000000000003</v>
      </c>
    </row>
    <row r="6" spans="2:11" x14ac:dyDescent="0.35">
      <c r="B6" t="str">
        <f>forecast!A4</f>
        <v>Federal Purchases (NIPA Consistent)</v>
      </c>
      <c r="C6" t="str">
        <f>forecast!B4</f>
        <v>federal_purchases</v>
      </c>
      <c r="D6" s="80" t="e">
        <f>forecast!#REF!</f>
        <v>#REF!</v>
      </c>
      <c r="E6" s="80">
        <f>forecast!C4</f>
        <v>1963.8634270162768</v>
      </c>
      <c r="F6" s="80">
        <f>forecast!D4</f>
        <v>1975.6334170722771</v>
      </c>
      <c r="G6" s="80">
        <f>forecast!E4</f>
        <v>2011.1463181033128</v>
      </c>
      <c r="H6" s="80">
        <f>forecast!F4</f>
        <v>2026.7719945569688</v>
      </c>
      <c r="I6" s="80">
        <f>forecast!G4</f>
        <v>2044.2240487779352</v>
      </c>
      <c r="J6" s="80">
        <f>forecast!H4</f>
        <v>2054.5735227926943</v>
      </c>
      <c r="K6" s="80">
        <f>forecast!I4</f>
        <v>2064.3142042183495</v>
      </c>
    </row>
    <row r="7" spans="2:11" x14ac:dyDescent="0.35">
      <c r="B7" t="str">
        <f>forecast!A5</f>
        <v>State Purchases (NIPA Consistent)</v>
      </c>
      <c r="C7" t="str">
        <f>forecast!B5</f>
        <v>state_purchases</v>
      </c>
      <c r="D7" s="80" t="e">
        <f>forecast!#REF!</f>
        <v>#REF!</v>
      </c>
      <c r="E7" s="80">
        <f>forecast!C5</f>
        <v>3280.7107402320066</v>
      </c>
      <c r="F7" s="80">
        <f>forecast!D5</f>
        <v>3311.5306881871875</v>
      </c>
      <c r="G7" s="80">
        <f>forecast!E5</f>
        <v>3343.2276497584216</v>
      </c>
      <c r="H7" s="80">
        <f>forecast!F5</f>
        <v>3372.7804447870926</v>
      </c>
      <c r="I7" s="80">
        <f>forecast!G5</f>
        <v>3402.8900768752223</v>
      </c>
      <c r="J7" s="80">
        <f>forecast!H5</f>
        <v>3432.2740655832567</v>
      </c>
      <c r="K7" s="80">
        <f>forecast!I5</f>
        <v>3461.0166842644189</v>
      </c>
    </row>
    <row r="8" spans="2:11" x14ac:dyDescent="0.35">
      <c r="B8" t="str">
        <f>forecast!A6</f>
        <v>Non-ARP Subsidies + ARP Provider Relief and PPP</v>
      </c>
      <c r="C8" t="str">
        <f>forecast!B6</f>
        <v>federal_subsidies</v>
      </c>
      <c r="D8" s="80" t="e">
        <f>forecast!#REF!</f>
        <v>#REF!</v>
      </c>
      <c r="E8" s="80">
        <f>forecast!C6</f>
        <v>117.401</v>
      </c>
      <c r="F8" s="80">
        <f>forecast!D6</f>
        <v>121.74</v>
      </c>
      <c r="G8" s="80">
        <f>forecast!E6</f>
        <v>119.58999999999999</v>
      </c>
      <c r="H8" s="80">
        <f>forecast!F6</f>
        <v>119.58999999999999</v>
      </c>
      <c r="I8" s="80">
        <f>forecast!G6</f>
        <v>119.58999999999999</v>
      </c>
      <c r="J8" s="80">
        <f>forecast!H6</f>
        <v>119.58999999999999</v>
      </c>
      <c r="K8" s="80">
        <f>forecast!I6</f>
        <v>119.58999999999999</v>
      </c>
    </row>
    <row r="9" spans="2:11" x14ac:dyDescent="0.35">
      <c r="B9" t="str">
        <f>forecast!A7</f>
        <v>ARP Subsidies less Provider Relief and PPP</v>
      </c>
      <c r="C9" t="str">
        <f>forecast!B7</f>
        <v>federal_aid_to_small_businesses_arp</v>
      </c>
      <c r="D9" s="80" t="e">
        <f>forecast!#REF!</f>
        <v>#REF!</v>
      </c>
      <c r="E9" s="80">
        <f>forecast!C7</f>
        <v>-0.90100000000000025</v>
      </c>
      <c r="F9" s="80">
        <f>forecast!D7</f>
        <v>-2.1500000000000004</v>
      </c>
      <c r="G9" s="80">
        <f>forecast!E7</f>
        <v>0</v>
      </c>
      <c r="H9" s="80">
        <f>forecast!F7</f>
        <v>0</v>
      </c>
      <c r="I9" s="80">
        <f>forecast!G7</f>
        <v>0</v>
      </c>
      <c r="J9" s="80">
        <f>forecast!H7</f>
        <v>0</v>
      </c>
      <c r="K9" s="80">
        <f>forecast!I7</f>
        <v>0</v>
      </c>
    </row>
    <row r="10" spans="2:11" x14ac:dyDescent="0.35">
      <c r="B10" t="str">
        <f>forecast!A8</f>
        <v>Federal UI</v>
      </c>
      <c r="C10" t="str">
        <f>forecast!B8</f>
        <v>federal_ui</v>
      </c>
      <c r="D10" s="80" t="e">
        <f>forecast!#REF!</f>
        <v>#REF!</v>
      </c>
      <c r="E10" s="80">
        <f>forecast!C8</f>
        <v>0</v>
      </c>
      <c r="F10" s="80">
        <f>forecast!D8</f>
        <v>0</v>
      </c>
      <c r="G10" s="80">
        <f>forecast!E8</f>
        <v>0</v>
      </c>
      <c r="H10" s="80">
        <f>forecast!F8</f>
        <v>0</v>
      </c>
      <c r="I10" s="80">
        <f>forecast!G8</f>
        <v>0</v>
      </c>
      <c r="J10" s="80">
        <f>forecast!H8</f>
        <v>0</v>
      </c>
      <c r="K10" s="80">
        <f>forecast!I8</f>
        <v>0</v>
      </c>
    </row>
    <row r="11" spans="2:11" x14ac:dyDescent="0.35">
      <c r="B11" t="str">
        <f>forecast!A9</f>
        <v>State UI</v>
      </c>
      <c r="C11" t="str">
        <f>forecast!B9</f>
        <v>state_ui</v>
      </c>
      <c r="D11" s="80" t="e">
        <f>forecast!#REF!</f>
        <v>#REF!</v>
      </c>
      <c r="E11" s="80">
        <f>forecast!C9</f>
        <v>35.700000000000003</v>
      </c>
      <c r="F11" s="80">
        <f>forecast!D9</f>
        <v>35.700000000000003</v>
      </c>
      <c r="G11" s="80">
        <f>forecast!E9</f>
        <v>35.700000000000003</v>
      </c>
      <c r="H11" s="80">
        <f>forecast!F9</f>
        <v>35.700000000000003</v>
      </c>
      <c r="I11" s="80">
        <f>forecast!G9</f>
        <v>35.700000000000003</v>
      </c>
      <c r="J11" s="80">
        <f>forecast!H9</f>
        <v>35.700000000000003</v>
      </c>
      <c r="K11" s="80">
        <f>forecast!I9</f>
        <v>36.700000000000003</v>
      </c>
    </row>
    <row r="12" spans="2:11" x14ac:dyDescent="0.35">
      <c r="B12" t="str">
        <f>forecast!A10</f>
        <v>Federal Medicaid</v>
      </c>
      <c r="C12" t="str">
        <f>forecast!B10</f>
        <v>medicaid_grants</v>
      </c>
      <c r="D12" s="80" t="e">
        <f>forecast!#REF!</f>
        <v>#REF!</v>
      </c>
      <c r="E12" s="80">
        <f>forecast!C10</f>
        <v>687.27647550115967</v>
      </c>
      <c r="F12" s="80">
        <f>forecast!D10</f>
        <v>696.93582719454662</v>
      </c>
      <c r="G12" s="80">
        <f>forecast!E10</f>
        <v>705.26255480190014</v>
      </c>
      <c r="H12" s="80">
        <f>forecast!F10</f>
        <v>717.91329963031671</v>
      </c>
      <c r="I12" s="80">
        <f>forecast!G10</f>
        <v>727.02732439110707</v>
      </c>
      <c r="J12" s="80">
        <f>forecast!H10</f>
        <v>725.13821376854708</v>
      </c>
      <c r="K12" s="80">
        <f>forecast!I10</f>
        <v>735.90864725010715</v>
      </c>
    </row>
    <row r="13" spans="2:11" x14ac:dyDescent="0.35">
      <c r="B13" t="str">
        <f>forecast!A11</f>
        <v>Total Medicaid</v>
      </c>
      <c r="C13" t="str">
        <f>forecast!B11</f>
        <v>medicaid</v>
      </c>
      <c r="D13" s="80" t="e">
        <f>forecast!#REF!</f>
        <v>#REF!</v>
      </c>
      <c r="E13" s="80">
        <f>forecast!C11</f>
        <v>999.95898678189383</v>
      </c>
      <c r="F13" s="80">
        <f>forecast!D11</f>
        <v>1014.1688795114242</v>
      </c>
      <c r="G13" s="80">
        <f>forecast!E11</f>
        <v>1028.6263410455106</v>
      </c>
      <c r="H13" s="80">
        <f>forecast!F11</f>
        <v>1043.2899005956497</v>
      </c>
      <c r="I13" s="80">
        <f>forecast!G11</f>
        <v>1058.1624961874497</v>
      </c>
      <c r="J13" s="80">
        <f>forecast!H11</f>
        <v>1055.5046787071888</v>
      </c>
      <c r="K13" s="80">
        <f>forecast!I11</f>
        <v>1071.2571955433457</v>
      </c>
    </row>
    <row r="14" spans="2:11" x14ac:dyDescent="0.35">
      <c r="B14" t="str">
        <f>forecast!A12</f>
        <v>Medicare</v>
      </c>
      <c r="C14" t="str">
        <f>forecast!B12</f>
        <v>medicare</v>
      </c>
      <c r="D14" s="80" t="e">
        <f>forecast!#REF!</f>
        <v>#REF!</v>
      </c>
      <c r="E14" s="80">
        <f>forecast!C12</f>
        <v>1197.1541359637888</v>
      </c>
      <c r="F14" s="80">
        <f>forecast!D12</f>
        <v>1215.0695436191259</v>
      </c>
      <c r="G14" s="80">
        <f>forecast!E12</f>
        <v>1233.2530552903243</v>
      </c>
      <c r="H14" s="80">
        <f>forecast!F12</f>
        <v>1251.7086831530878</v>
      </c>
      <c r="I14" s="80">
        <f>forecast!G12</f>
        <v>1270.4404994253166</v>
      </c>
      <c r="J14" s="80">
        <f>forecast!H12</f>
        <v>1289.616636754057</v>
      </c>
      <c r="K14" s="80">
        <f>forecast!I12</f>
        <v>1309.0822203362954</v>
      </c>
    </row>
    <row r="15" spans="2:11" x14ac:dyDescent="0.35">
      <c r="B15" t="str">
        <f>forecast!A13</f>
        <v>Non-ARP Rebate Checks</v>
      </c>
      <c r="C15" t="str">
        <f>forecast!B13</f>
        <v>rebate_checks</v>
      </c>
      <c r="D15" s="80" t="e">
        <f>forecast!#REF!</f>
        <v>#REF!</v>
      </c>
      <c r="E15" s="80">
        <f>forecast!C13</f>
        <v>0</v>
      </c>
      <c r="F15" s="80">
        <f>forecast!D13</f>
        <v>0</v>
      </c>
      <c r="G15" s="80">
        <f>forecast!E13</f>
        <v>0</v>
      </c>
      <c r="H15" s="80">
        <f>forecast!F13</f>
        <v>0</v>
      </c>
      <c r="I15" s="80">
        <f>forecast!G13</f>
        <v>0</v>
      </c>
      <c r="J15" s="80">
        <f>forecast!H13</f>
        <v>0</v>
      </c>
      <c r="K15" s="80">
        <f>forecast!I13</f>
        <v>0</v>
      </c>
    </row>
    <row r="16" spans="2:11" x14ac:dyDescent="0.35">
      <c r="B16" t="str">
        <f>forecast!A14</f>
        <v>ARP Rebate Checks</v>
      </c>
      <c r="C16" t="str">
        <f>forecast!B14</f>
        <v>rebate_checks_arp</v>
      </c>
      <c r="D16" s="80" t="e">
        <f>forecast!#REF!</f>
        <v>#REF!</v>
      </c>
      <c r="E16" s="80">
        <f>forecast!C14</f>
        <v>0</v>
      </c>
      <c r="F16" s="80">
        <f>forecast!D14</f>
        <v>0</v>
      </c>
      <c r="G16" s="80">
        <f>forecast!E14</f>
        <v>0</v>
      </c>
      <c r="H16" s="80">
        <f>forecast!F14</f>
        <v>0</v>
      </c>
      <c r="I16" s="80">
        <f>forecast!G14</f>
        <v>0</v>
      </c>
      <c r="J16" s="80">
        <f>forecast!H14</f>
        <v>0</v>
      </c>
      <c r="K16" s="80">
        <f>forecast!I14</f>
        <v>0</v>
      </c>
    </row>
    <row r="17" spans="2:11" x14ac:dyDescent="0.35">
      <c r="B17" t="str">
        <f>forecast!A15</f>
        <v>ARP Other Vulnerable</v>
      </c>
      <c r="C17" t="str">
        <f>forecast!B15</f>
        <v>federal_other_vulnerable_arp</v>
      </c>
      <c r="D17" s="80" t="e">
        <f>forecast!#REF!</f>
        <v>#REF!</v>
      </c>
      <c r="E17" s="80">
        <f>forecast!C15</f>
        <v>2.3719999999999999</v>
      </c>
      <c r="F17" s="80">
        <f>forecast!D15</f>
        <v>0.49</v>
      </c>
      <c r="G17" s="80">
        <f>forecast!E15</f>
        <v>0</v>
      </c>
      <c r="H17" s="80">
        <f>forecast!F15</f>
        <v>0</v>
      </c>
      <c r="I17" s="80">
        <f>forecast!G15</f>
        <v>0</v>
      </c>
      <c r="J17" s="80">
        <f>forecast!H15</f>
        <v>0</v>
      </c>
      <c r="K17" s="80">
        <f>forecast!I15</f>
        <v>0</v>
      </c>
    </row>
    <row r="18" spans="2:11" x14ac:dyDescent="0.35">
      <c r="B18" t="str">
        <f>forecast!A16</f>
        <v xml:space="preserve">ARP Other Direct Aid plus Provider Relief </v>
      </c>
      <c r="C18" t="str">
        <f>forecast!B16</f>
        <v>federal_other_direct_aid_arp</v>
      </c>
      <c r="D18" s="80" t="e">
        <f>forecast!#REF!</f>
        <v>#REF!</v>
      </c>
      <c r="E18" s="80">
        <f>forecast!C16</f>
        <v>1.63</v>
      </c>
      <c r="F18" s="80">
        <f>forecast!D16</f>
        <v>1.671</v>
      </c>
      <c r="G18" s="80">
        <f>forecast!E16</f>
        <v>0</v>
      </c>
      <c r="H18" s="80">
        <f>forecast!F16</f>
        <v>0</v>
      </c>
      <c r="I18" s="80">
        <f>forecast!G16</f>
        <v>0</v>
      </c>
      <c r="J18" s="80">
        <f>forecast!H16</f>
        <v>0</v>
      </c>
      <c r="K18" s="80">
        <f>forecast!I16</f>
        <v>0</v>
      </c>
    </row>
    <row r="19" spans="2:11" x14ac:dyDescent="0.35">
      <c r="B19" t="str">
        <f>forecast!A17</f>
        <v>Other Federal Social Benefits (including all SNAP)</v>
      </c>
      <c r="C19" t="str">
        <f>forecast!B17</f>
        <v>federal_social_benefits</v>
      </c>
      <c r="D19" s="80" t="e">
        <f>forecast!#REF!</f>
        <v>#REF!</v>
      </c>
      <c r="E19" s="80">
        <f>forecast!C17</f>
        <v>2359.3871549999999</v>
      </c>
      <c r="F19" s="80">
        <f>forecast!D17</f>
        <v>2351.4927557750002</v>
      </c>
      <c r="G19" s="80">
        <f>forecast!E17</f>
        <v>2405.1255305538753</v>
      </c>
      <c r="H19" s="80">
        <f>forecast!F17</f>
        <v>2420.7362699766445</v>
      </c>
      <c r="I19" s="80">
        <f>forecast!G17</f>
        <v>2438.0917030965275</v>
      </c>
      <c r="J19" s="80">
        <f>forecast!H17</f>
        <v>2447.3089133820104</v>
      </c>
      <c r="K19" s="80">
        <f>forecast!I17</f>
        <v>2504.0627755769201</v>
      </c>
    </row>
    <row r="20" spans="2:11" x14ac:dyDescent="0.35">
      <c r="B20" t="str">
        <f>forecast!A18</f>
        <v>State Social Benefits ex Medicaid</v>
      </c>
      <c r="C20" t="str">
        <f>forecast!B18</f>
        <v>state_social_benefits</v>
      </c>
      <c r="D20" s="80" t="e">
        <f>forecast!#REF!</f>
        <v>#REF!</v>
      </c>
      <c r="E20" s="80">
        <f>forecast!C18</f>
        <v>234.7446086945757</v>
      </c>
      <c r="F20" s="80">
        <f>forecast!D18</f>
        <v>238.17619541011769</v>
      </c>
      <c r="G20" s="80">
        <f>forecast!E18</f>
        <v>241.65794637629688</v>
      </c>
      <c r="H20" s="80">
        <f>forecast!F18</f>
        <v>245.19059491336728</v>
      </c>
      <c r="I20" s="80">
        <f>forecast!G18</f>
        <v>248.77488506153966</v>
      </c>
      <c r="J20" s="80">
        <f>forecast!H18</f>
        <v>252.41157173768991</v>
      </c>
      <c r="K20" s="80">
        <f>forecast!I18</f>
        <v>256.10142089435828</v>
      </c>
    </row>
    <row r="21" spans="2:11" x14ac:dyDescent="0.35">
      <c r="B21" t="str">
        <f>forecast!A19</f>
        <v>Federal Non-Corporate Taxes</v>
      </c>
      <c r="C21" t="str">
        <f>forecast!B19</f>
        <v>federal_non_corporate_taxes</v>
      </c>
      <c r="D21" s="80" t="e">
        <f>forecast!#REF!</f>
        <v>#REF!</v>
      </c>
      <c r="E21" s="80">
        <f>forecast!C19</f>
        <v>4884.2781359110913</v>
      </c>
      <c r="F21" s="80">
        <f>forecast!D19</f>
        <v>4968.9296934101849</v>
      </c>
      <c r="G21" s="80">
        <f>forecast!E19</f>
        <v>4977.9314512572364</v>
      </c>
      <c r="H21" s="80">
        <f>forecast!F19</f>
        <v>5018.6866160468144</v>
      </c>
      <c r="I21" s="80">
        <f>forecast!G19</f>
        <v>5059.8310346733906</v>
      </c>
      <c r="J21" s="80">
        <f>forecast!H19</f>
        <v>5101.3688751467243</v>
      </c>
      <c r="K21" s="80">
        <f>forecast!I19</f>
        <v>5247.5311088139333</v>
      </c>
    </row>
    <row r="22" spans="2:11" x14ac:dyDescent="0.35">
      <c r="B22" t="str">
        <f>forecast!A20</f>
        <v>State Non-Corporate Taxes</v>
      </c>
      <c r="C22" t="str">
        <f>forecast!B20</f>
        <v>state_non_corporate_taxes</v>
      </c>
      <c r="D22" s="80" t="e">
        <f>forecast!#REF!</f>
        <v>#REF!</v>
      </c>
      <c r="E22" s="80">
        <f>forecast!C20</f>
        <v>2610.4179349654814</v>
      </c>
      <c r="F22" s="80">
        <f>forecast!D20</f>
        <v>2637.2590525097935</v>
      </c>
      <c r="G22" s="80">
        <f>forecast!E20</f>
        <v>2661.9450087697264</v>
      </c>
      <c r="H22" s="80">
        <f>forecast!F20</f>
        <v>2687.6209509421678</v>
      </c>
      <c r="I22" s="80">
        <f>forecast!G20</f>
        <v>2711.0655175084648</v>
      </c>
      <c r="J22" s="80">
        <f>forecast!H20</f>
        <v>2736.4520878263743</v>
      </c>
      <c r="K22" s="80">
        <f>forecast!I20</f>
        <v>2763.2785072824095</v>
      </c>
    </row>
    <row r="23" spans="2:11" x14ac:dyDescent="0.35">
      <c r="B23" t="str">
        <f>forecast!A21</f>
        <v>Federal Corporate Taxes</v>
      </c>
      <c r="C23" t="str">
        <f>forecast!B21</f>
        <v>federal_corporate_taxes</v>
      </c>
      <c r="D23" s="80" t="e">
        <f>forecast!#REF!</f>
        <v>#REF!</v>
      </c>
      <c r="E23" s="80">
        <f>forecast!C21</f>
        <v>140.19200586458146</v>
      </c>
      <c r="F23" s="80">
        <f>forecast!D21</f>
        <v>394.32577705384216</v>
      </c>
      <c r="G23" s="80">
        <f>forecast!E21</f>
        <v>391.88928756362725</v>
      </c>
      <c r="H23" s="80">
        <f>forecast!F21</f>
        <v>389.46785283620335</v>
      </c>
      <c r="I23" s="80">
        <f>forecast!G21</f>
        <v>387.06137985008053</v>
      </c>
      <c r="J23" s="80">
        <f>forecast!H21</f>
        <v>384.66977615853688</v>
      </c>
      <c r="K23" s="80">
        <f>forecast!I21</f>
        <v>392.29294988606722</v>
      </c>
    </row>
    <row r="24" spans="2:11" x14ac:dyDescent="0.35">
      <c r="B24" t="str">
        <f>forecast!A22</f>
        <v>State Corporate Taxes</v>
      </c>
      <c r="C24" s="56" t="str">
        <f>forecast!B22</f>
        <v>state_corporate_taxes</v>
      </c>
      <c r="D24" s="80" t="e">
        <f>forecast!#REF!</f>
        <v>#REF!</v>
      </c>
      <c r="E24" s="80">
        <f>forecast!C22</f>
        <v>172.4420004657662</v>
      </c>
      <c r="F24" s="80">
        <f>forecast!D22</f>
        <v>172.35554552864465</v>
      </c>
      <c r="G24" s="80">
        <f>forecast!E22</f>
        <v>172.5640544946437</v>
      </c>
      <c r="H24" s="80">
        <f>forecast!F22</f>
        <v>172.90478865859339</v>
      </c>
      <c r="I24" s="80">
        <f>forecast!G22</f>
        <v>172.73187878435027</v>
      </c>
      <c r="J24" s="80">
        <f>forecast!H22</f>
        <v>172.94038775034934</v>
      </c>
      <c r="K24" s="80">
        <f>forecast!I22</f>
        <v>172.60982475547277</v>
      </c>
    </row>
    <row r="25" spans="2:11" x14ac:dyDescent="0.35">
      <c r="B25" s="56" t="str">
        <f>forecast!A23</f>
        <v>Federal Student Loans</v>
      </c>
      <c r="C25" s="56" t="str">
        <f>forecast!B23</f>
        <v>federal_student_loans</v>
      </c>
      <c r="D25" s="80" t="e">
        <f>forecast!#REF!</f>
        <v>#REF!</v>
      </c>
      <c r="E25" s="80">
        <f>forecast!C23</f>
        <v>-8.3069939999999995</v>
      </c>
      <c r="F25" s="80">
        <f>forecast!D23</f>
        <v>-8.2824600000000004</v>
      </c>
      <c r="G25" s="80">
        <f>forecast!E23</f>
        <v>-8.2824600000000004</v>
      </c>
      <c r="H25" s="80">
        <f>forecast!F23</f>
        <v>-8.2824600000000004</v>
      </c>
      <c r="I25" s="80">
        <f>forecast!G23</f>
        <v>-11</v>
      </c>
      <c r="J25" s="80">
        <f>forecast!H23</f>
        <v>-11</v>
      </c>
      <c r="K25" s="80">
        <f>forecast!I23</f>
        <v>-11</v>
      </c>
    </row>
    <row r="26" spans="2:11" x14ac:dyDescent="0.35">
      <c r="B26" s="56"/>
      <c r="C26" s="56"/>
    </row>
    <row r="27" spans="2:11" x14ac:dyDescent="0.35">
      <c r="B27" s="69" t="s">
        <v>1888</v>
      </c>
      <c r="C27" s="56"/>
    </row>
    <row r="28" spans="2:11" x14ac:dyDescent="0.35">
      <c r="B28" s="56" t="s">
        <v>1702</v>
      </c>
      <c r="C28" s="56"/>
      <c r="D28" s="83">
        <f>Deflators!AD45</f>
        <v>2.0797032106222968E-2</v>
      </c>
      <c r="E28" s="83">
        <f>Deflators!AE45</f>
        <v>2.3874932014508632E-2</v>
      </c>
      <c r="F28" s="83">
        <f>Deflators!AF45</f>
        <v>2.2011392938697361E-2</v>
      </c>
      <c r="G28" s="83">
        <f>Deflators!AG45</f>
        <v>2.1469131944638509E-2</v>
      </c>
      <c r="H28" s="83">
        <f>Deflators!AH45</f>
        <v>2.037795778240481E-2</v>
      </c>
      <c r="I28" s="83">
        <f>Deflators!AI45</f>
        <v>2.031319568771961E-2</v>
      </c>
      <c r="J28" s="83">
        <f>Deflators!AJ45</f>
        <v>2.0411174157790368E-2</v>
      </c>
      <c r="K28" s="83">
        <f>Deflators!AK45</f>
        <v>2.0278651758323107E-2</v>
      </c>
    </row>
    <row r="29" spans="2:11" x14ac:dyDescent="0.35">
      <c r="B29" s="56" t="s">
        <v>1703</v>
      </c>
      <c r="C29" s="56"/>
      <c r="D29" s="83">
        <f>Deflators!AD48</f>
        <v>6.1030824179235887E-2</v>
      </c>
      <c r="E29" s="83">
        <f>Deflators!AE48</f>
        <v>2.4729668703095779E-2</v>
      </c>
      <c r="F29" s="83">
        <f>Deflators!AF48</f>
        <v>2.4119603614899725E-2</v>
      </c>
      <c r="G29" s="83">
        <f>Deflators!AG48</f>
        <v>2.1515602617293128E-2</v>
      </c>
      <c r="H29" s="83">
        <f>Deflators!AH48</f>
        <v>2.2790850007197161E-2</v>
      </c>
      <c r="I29" s="83">
        <f>Deflators!AI48</f>
        <v>2.3263295207157642E-2</v>
      </c>
      <c r="J29" s="83">
        <f>Deflators!AJ48</f>
        <v>2.3889685874715294E-2</v>
      </c>
      <c r="K29" s="83">
        <f>Deflators!AK48</f>
        <v>2.2412555601408091E-2</v>
      </c>
    </row>
    <row r="30" spans="2:11" x14ac:dyDescent="0.35">
      <c r="B30" s="56" t="s">
        <v>1704</v>
      </c>
      <c r="C30" s="56"/>
      <c r="D30" s="83">
        <f>Deflators!AD49</f>
        <v>6.6477162008220514E-3</v>
      </c>
      <c r="E30" s="83">
        <f>Deflators!AE49</f>
        <v>3.1343868352262882E-2</v>
      </c>
      <c r="F30" s="83">
        <f>Deflators!AF49</f>
        <v>3.2394354805230341E-2</v>
      </c>
      <c r="G30" s="83">
        <f>Deflators!AG49</f>
        <v>3.3164637629816696E-2</v>
      </c>
      <c r="H30" s="83">
        <f>Deflators!AH49</f>
        <v>3.1425713898589613E-2</v>
      </c>
      <c r="I30" s="83">
        <f>Deflators!AI49</f>
        <v>3.1013053419121528E-2</v>
      </c>
      <c r="J30" s="83">
        <f>Deflators!AJ49</f>
        <v>3.1015398756455648E-2</v>
      </c>
      <c r="K30" s="83">
        <f>Deflators!AK49</f>
        <v>3.0542269425562596E-2</v>
      </c>
    </row>
    <row r="31" spans="2:11" x14ac:dyDescent="0.35">
      <c r="B31" s="56" t="s">
        <v>1705</v>
      </c>
      <c r="C31" s="56"/>
      <c r="D31" s="83">
        <f>Deflators!AD51</f>
        <v>7.0538517269098655E-3</v>
      </c>
      <c r="E31" s="83">
        <f>Deflators!AE51</f>
        <v>3.1343868352262882E-2</v>
      </c>
      <c r="F31" s="83">
        <f>Deflators!AF51</f>
        <v>3.2394354805230341E-2</v>
      </c>
      <c r="G31" s="83">
        <f>Deflators!AG51</f>
        <v>3.3164637629816696E-2</v>
      </c>
      <c r="H31" s="83">
        <f>Deflators!AH51</f>
        <v>3.1425713898589613E-2</v>
      </c>
      <c r="I31" s="83">
        <f>Deflators!AI51</f>
        <v>3.1013053419121528E-2</v>
      </c>
      <c r="J31" s="83">
        <f>Deflators!AJ51</f>
        <v>3.1015398756455648E-2</v>
      </c>
      <c r="K31" s="83">
        <f>Deflators!AK51</f>
        <v>3.0542269425562596E-2</v>
      </c>
    </row>
    <row r="32" spans="2:11" x14ac:dyDescent="0.35">
      <c r="B32" s="56" t="s">
        <v>1706</v>
      </c>
      <c r="C32" s="56"/>
      <c r="D32" s="83">
        <f>Deflators!AD52</f>
        <v>5.0810704617254565E-3</v>
      </c>
      <c r="E32" s="83">
        <f>Deflators!AE52</f>
        <v>3.1343868352262882E-2</v>
      </c>
      <c r="F32" s="83">
        <f>Deflators!AF52</f>
        <v>3.2394354805230341E-2</v>
      </c>
      <c r="G32" s="83">
        <f>Deflators!AG52</f>
        <v>3.3164637629816696E-2</v>
      </c>
      <c r="H32" s="83">
        <f>Deflators!AH52</f>
        <v>3.1425713898589613E-2</v>
      </c>
      <c r="I32" s="83">
        <f>Deflators!AI52</f>
        <v>3.1013053419121528E-2</v>
      </c>
      <c r="J32" s="83">
        <f>Deflators!AJ52</f>
        <v>3.1015398756455648E-2</v>
      </c>
      <c r="K32" s="83">
        <f>Deflators!AK52</f>
        <v>3.0542269425562596E-2</v>
      </c>
    </row>
    <row r="34" spans="2:11" x14ac:dyDescent="0.35">
      <c r="B34" s="1294" t="s">
        <v>2006</v>
      </c>
      <c r="C34" s="1294"/>
      <c r="D34" s="1294"/>
      <c r="E34" s="1294"/>
      <c r="F34" s="1294"/>
      <c r="G34" s="1294"/>
      <c r="H34" s="1294"/>
      <c r="I34" s="1294"/>
      <c r="J34" s="1294"/>
      <c r="K34" s="1294"/>
    </row>
    <row r="35" spans="2:11" x14ac:dyDescent="0.35">
      <c r="B35" t="s">
        <v>178</v>
      </c>
      <c r="C35" t="s">
        <v>179</v>
      </c>
      <c r="D35" t="s">
        <v>763</v>
      </c>
      <c r="E35" t="s">
        <v>764</v>
      </c>
      <c r="F35" t="s">
        <v>765</v>
      </c>
      <c r="G35" t="s">
        <v>1151</v>
      </c>
      <c r="H35" t="s">
        <v>1152</v>
      </c>
      <c r="I35" t="s">
        <v>1153</v>
      </c>
      <c r="J35" t="s">
        <v>1154</v>
      </c>
      <c r="K35" t="s">
        <v>1155</v>
      </c>
    </row>
    <row r="36" spans="2:11" x14ac:dyDescent="0.35">
      <c r="B36" t="s">
        <v>192</v>
      </c>
      <c r="C36" t="s">
        <v>193</v>
      </c>
      <c r="D36">
        <v>420.04109870414106</v>
      </c>
      <c r="E36">
        <v>422.7303328673143</v>
      </c>
      <c r="F36">
        <v>421.56036623063881</v>
      </c>
      <c r="G36">
        <v>424.42899879999999</v>
      </c>
      <c r="H36">
        <v>424.52289717230673</v>
      </c>
      <c r="I36">
        <v>428.44833986200683</v>
      </c>
      <c r="J36">
        <v>430.40260812786426</v>
      </c>
      <c r="K36">
        <v>433.38598599999989</v>
      </c>
    </row>
    <row r="37" spans="2:11" x14ac:dyDescent="0.35">
      <c r="B37" t="s">
        <v>134</v>
      </c>
      <c r="C37" t="s">
        <v>194</v>
      </c>
      <c r="D37">
        <v>75.203000000000003</v>
      </c>
      <c r="E37">
        <v>75.203000000000003</v>
      </c>
      <c r="F37">
        <v>75.203000000000003</v>
      </c>
      <c r="G37">
        <v>75.203000000000003</v>
      </c>
      <c r="H37">
        <v>75.203000000000003</v>
      </c>
      <c r="I37">
        <v>75.203000000000003</v>
      </c>
      <c r="J37">
        <v>75.203000000000003</v>
      </c>
      <c r="K37">
        <v>75.203000000000003</v>
      </c>
    </row>
    <row r="38" spans="2:11" x14ac:dyDescent="0.35">
      <c r="B38" t="s">
        <v>195</v>
      </c>
      <c r="C38" t="s">
        <v>196</v>
      </c>
      <c r="D38">
        <v>1928.1306783365903</v>
      </c>
      <c r="E38">
        <v>1933.7172121828175</v>
      </c>
      <c r="F38">
        <v>1939.5451413299459</v>
      </c>
      <c r="G38">
        <v>1949.6819498253626</v>
      </c>
      <c r="H38">
        <v>1960.197958711374</v>
      </c>
      <c r="I38">
        <v>1971.469512900489</v>
      </c>
      <c r="J38">
        <v>1981.5353699759514</v>
      </c>
      <c r="K38">
        <v>1991.2182721369284</v>
      </c>
    </row>
    <row r="39" spans="2:11" x14ac:dyDescent="0.35">
      <c r="B39" t="s">
        <v>197</v>
      </c>
      <c r="C39" t="s">
        <v>198</v>
      </c>
      <c r="D39">
        <v>3247.8961419107918</v>
      </c>
      <c r="E39">
        <v>3277.5785161257559</v>
      </c>
      <c r="F39">
        <v>3308.3690390594757</v>
      </c>
      <c r="G39">
        <v>3340.0357382897141</v>
      </c>
      <c r="H39">
        <v>3369.560318097866</v>
      </c>
      <c r="I39">
        <v>3399.6412033311449</v>
      </c>
      <c r="J39">
        <v>3428.9971379847207</v>
      </c>
      <c r="K39">
        <v>3457.7123149527179</v>
      </c>
    </row>
    <row r="40" spans="2:11" x14ac:dyDescent="0.35">
      <c r="B40" t="s">
        <v>199</v>
      </c>
      <c r="C40" t="s">
        <v>200</v>
      </c>
      <c r="D40">
        <v>96.978999999999999</v>
      </c>
      <c r="E40">
        <v>96.978999999999999</v>
      </c>
      <c r="F40">
        <v>101.318</v>
      </c>
      <c r="G40">
        <v>99.167999999999992</v>
      </c>
      <c r="H40">
        <v>99.167999999999992</v>
      </c>
      <c r="I40">
        <v>99.167999999999992</v>
      </c>
      <c r="J40">
        <v>99.167999999999992</v>
      </c>
      <c r="K40">
        <v>99.167999999999992</v>
      </c>
    </row>
    <row r="41" spans="2:11" x14ac:dyDescent="0.35">
      <c r="B41" t="s">
        <v>201</v>
      </c>
      <c r="C41" t="s">
        <v>202</v>
      </c>
      <c r="D41">
        <v>-0.90100000000000025</v>
      </c>
      <c r="E41">
        <v>-0.90100000000000025</v>
      </c>
      <c r="F41">
        <v>-2.1500000000000004</v>
      </c>
      <c r="G41">
        <v>0</v>
      </c>
      <c r="H41">
        <v>0</v>
      </c>
      <c r="I41">
        <v>0</v>
      </c>
      <c r="J41">
        <v>0</v>
      </c>
      <c r="K41">
        <v>0</v>
      </c>
    </row>
    <row r="42" spans="2:11" x14ac:dyDescent="0.35">
      <c r="B42" t="s">
        <v>203</v>
      </c>
      <c r="C42" t="s">
        <v>204</v>
      </c>
      <c r="D42">
        <v>0</v>
      </c>
      <c r="E42">
        <v>0</v>
      </c>
      <c r="F42">
        <v>0</v>
      </c>
      <c r="G42">
        <v>0</v>
      </c>
      <c r="H42">
        <v>0</v>
      </c>
      <c r="I42">
        <v>0</v>
      </c>
      <c r="J42">
        <v>0</v>
      </c>
      <c r="K42">
        <v>0</v>
      </c>
    </row>
    <row r="43" spans="2:11" x14ac:dyDescent="0.35">
      <c r="B43" t="s">
        <v>205</v>
      </c>
      <c r="C43" t="s">
        <v>206</v>
      </c>
      <c r="D43">
        <v>35.700000000000003</v>
      </c>
      <c r="E43">
        <v>35.700000000000003</v>
      </c>
      <c r="F43">
        <v>35.700000000000003</v>
      </c>
      <c r="G43">
        <v>35.700000000000003</v>
      </c>
      <c r="H43">
        <v>35.700000000000003</v>
      </c>
      <c r="I43">
        <v>35.700000000000003</v>
      </c>
      <c r="J43">
        <v>35.700000000000003</v>
      </c>
      <c r="K43">
        <v>36.700000000000003</v>
      </c>
    </row>
    <row r="44" spans="2:11" x14ac:dyDescent="0.35">
      <c r="B44" t="s">
        <v>207</v>
      </c>
      <c r="C44" t="s">
        <v>208</v>
      </c>
      <c r="D44">
        <v>662.85171975523019</v>
      </c>
      <c r="E44">
        <v>675.38514519906857</v>
      </c>
      <c r="F44">
        <v>685.03642420945437</v>
      </c>
      <c r="G44">
        <v>693.21191470654003</v>
      </c>
      <c r="H44">
        <v>705.48981249426322</v>
      </c>
      <c r="I44">
        <v>716.23065328053303</v>
      </c>
      <c r="J44">
        <v>726.60993166721039</v>
      </c>
      <c r="K44">
        <v>737.23017166565478</v>
      </c>
    </row>
    <row r="45" spans="2:11" x14ac:dyDescent="0.35">
      <c r="B45" t="s">
        <v>209</v>
      </c>
      <c r="C45" t="s">
        <v>210</v>
      </c>
      <c r="D45">
        <v>969.02169234293717</v>
      </c>
      <c r="E45">
        <v>985.63925302097391</v>
      </c>
      <c r="F45">
        <v>1000.6374493152194</v>
      </c>
      <c r="G45">
        <v>1015.8638689593278</v>
      </c>
      <c r="H45">
        <v>1031.3219847640555</v>
      </c>
      <c r="I45">
        <v>1047.0153223849477</v>
      </c>
      <c r="J45">
        <v>1062.6373302089942</v>
      </c>
      <c r="K45">
        <v>1078.4924264351268</v>
      </c>
    </row>
    <row r="46" spans="2:11" x14ac:dyDescent="0.35">
      <c r="B46" t="s">
        <v>55</v>
      </c>
      <c r="C46" t="s">
        <v>211</v>
      </c>
      <c r="D46">
        <v>1179.9491604763948</v>
      </c>
      <c r="E46">
        <v>1194.9759053306122</v>
      </c>
      <c r="F46">
        <v>1212.8587157717825</v>
      </c>
      <c r="G46">
        <v>1231.0091424116126</v>
      </c>
      <c r="H46">
        <v>1249.431190125624</v>
      </c>
      <c r="I46">
        <v>1268.1289237222863</v>
      </c>
      <c r="J46">
        <v>1287.2701699300753</v>
      </c>
      <c r="K46">
        <v>1306.7003357418046</v>
      </c>
    </row>
    <row r="47" spans="2:11" x14ac:dyDescent="0.35">
      <c r="B47" t="s">
        <v>212</v>
      </c>
      <c r="C47" t="s">
        <v>213</v>
      </c>
      <c r="D47">
        <v>0</v>
      </c>
      <c r="E47">
        <v>0</v>
      </c>
      <c r="F47">
        <v>0</v>
      </c>
      <c r="G47">
        <v>0</v>
      </c>
      <c r="H47">
        <v>0</v>
      </c>
      <c r="I47">
        <v>0</v>
      </c>
      <c r="J47">
        <v>0</v>
      </c>
      <c r="K47">
        <v>0</v>
      </c>
    </row>
    <row r="48" spans="2:11" x14ac:dyDescent="0.35">
      <c r="B48" t="s">
        <v>214</v>
      </c>
      <c r="C48" t="s">
        <v>215</v>
      </c>
      <c r="D48">
        <v>0</v>
      </c>
      <c r="E48">
        <v>0</v>
      </c>
      <c r="F48">
        <v>0</v>
      </c>
      <c r="G48">
        <v>0</v>
      </c>
      <c r="H48">
        <v>0</v>
      </c>
      <c r="I48">
        <v>0</v>
      </c>
      <c r="J48">
        <v>0</v>
      </c>
      <c r="K48">
        <v>0</v>
      </c>
    </row>
    <row r="49" spans="2:11" x14ac:dyDescent="0.35">
      <c r="B49" t="s">
        <v>216</v>
      </c>
      <c r="C49" t="s">
        <v>217</v>
      </c>
      <c r="D49">
        <v>2.3719999999999999</v>
      </c>
      <c r="E49">
        <v>2.3719999999999999</v>
      </c>
      <c r="F49">
        <v>0.49</v>
      </c>
      <c r="G49">
        <v>0</v>
      </c>
      <c r="H49">
        <v>0</v>
      </c>
      <c r="I49">
        <v>0</v>
      </c>
      <c r="J49">
        <v>0</v>
      </c>
      <c r="K49">
        <v>0</v>
      </c>
    </row>
    <row r="50" spans="2:11" x14ac:dyDescent="0.35">
      <c r="B50" t="s">
        <v>795</v>
      </c>
      <c r="C50" t="s">
        <v>219</v>
      </c>
      <c r="D50">
        <v>1.63</v>
      </c>
      <c r="E50">
        <v>1.63</v>
      </c>
      <c r="F50">
        <v>1.671</v>
      </c>
      <c r="G50">
        <v>0</v>
      </c>
      <c r="H50">
        <v>0</v>
      </c>
      <c r="I50">
        <v>0</v>
      </c>
      <c r="J50">
        <v>0</v>
      </c>
      <c r="K50">
        <v>0</v>
      </c>
    </row>
    <row r="51" spans="2:11" x14ac:dyDescent="0.35">
      <c r="B51" t="s">
        <v>220</v>
      </c>
      <c r="C51" t="s">
        <v>221</v>
      </c>
      <c r="D51">
        <v>2268.998</v>
      </c>
      <c r="E51">
        <v>2275.6980000000003</v>
      </c>
      <c r="F51">
        <v>2266.1590000000001</v>
      </c>
      <c r="G51">
        <v>2311.4161905010001</v>
      </c>
      <c r="H51">
        <v>2317.3881905010003</v>
      </c>
      <c r="I51">
        <v>2325.0881905010001</v>
      </c>
      <c r="J51">
        <v>2332.7881905010004</v>
      </c>
      <c r="K51">
        <v>2381.3600593835235</v>
      </c>
    </row>
    <row r="52" spans="2:11" x14ac:dyDescent="0.35">
      <c r="B52" t="s">
        <v>222</v>
      </c>
      <c r="C52" t="s">
        <v>223</v>
      </c>
      <c r="D52">
        <v>231.36246347492295</v>
      </c>
      <c r="E52">
        <v>234.7446086945757</v>
      </c>
      <c r="F52">
        <v>238.17619541011769</v>
      </c>
      <c r="G52">
        <v>241.65794637629688</v>
      </c>
      <c r="H52">
        <v>245.19059491336728</v>
      </c>
      <c r="I52">
        <v>248.77488506153966</v>
      </c>
      <c r="J52">
        <v>252.41157173768991</v>
      </c>
      <c r="K52">
        <v>256.10142089435828</v>
      </c>
    </row>
    <row r="53" spans="2:11" x14ac:dyDescent="0.35">
      <c r="B53" t="s">
        <v>224</v>
      </c>
      <c r="C53" t="s">
        <v>225</v>
      </c>
      <c r="D53">
        <v>4709.8180616202872</v>
      </c>
      <c r="E53">
        <v>4733.3914661386643</v>
      </c>
      <c r="F53">
        <v>4757.1843093197967</v>
      </c>
      <c r="G53">
        <v>4834.639980726919</v>
      </c>
      <c r="H53">
        <v>4867.6015157319034</v>
      </c>
      <c r="I53">
        <v>4900.9414775959413</v>
      </c>
      <c r="J53">
        <v>4934.6622677699179</v>
      </c>
      <c r="K53">
        <v>5102.7080342415429</v>
      </c>
    </row>
    <row r="54" spans="2:11" x14ac:dyDescent="0.35">
      <c r="B54" t="s">
        <v>226</v>
      </c>
      <c r="C54" t="s">
        <v>227</v>
      </c>
      <c r="D54">
        <v>2571.0688033993706</v>
      </c>
      <c r="E54">
        <v>2598.178261360134</v>
      </c>
      <c r="F54">
        <v>2624.8819972445235</v>
      </c>
      <c r="G54">
        <v>2649.4405312925719</v>
      </c>
      <c r="H54">
        <v>2674.9894129442418</v>
      </c>
      <c r="I54">
        <v>2698.3122414077561</v>
      </c>
      <c r="J54">
        <v>2723.5733367491875</v>
      </c>
      <c r="K54">
        <v>2750.2680865633192</v>
      </c>
    </row>
    <row r="55" spans="2:11" x14ac:dyDescent="0.35">
      <c r="B55" t="s">
        <v>228</v>
      </c>
      <c r="C55" t="s">
        <v>229</v>
      </c>
      <c r="D55">
        <v>536.91171391464616</v>
      </c>
      <c r="E55">
        <v>554.58674209073274</v>
      </c>
      <c r="F55">
        <v>551.16002020962151</v>
      </c>
      <c r="G55">
        <v>547.75447161297473</v>
      </c>
      <c r="H55">
        <v>544.36996547372485</v>
      </c>
      <c r="I55">
        <v>541.00637177316833</v>
      </c>
      <c r="J55">
        <v>537.66356129597091</v>
      </c>
      <c r="K55">
        <v>534.34140562520361</v>
      </c>
    </row>
    <row r="56" spans="2:11" x14ac:dyDescent="0.35">
      <c r="B56" t="s">
        <v>230</v>
      </c>
      <c r="C56" s="56" t="s">
        <v>231</v>
      </c>
      <c r="D56" s="56">
        <v>172.29451851420589</v>
      </c>
      <c r="E56">
        <v>172.4420004657662</v>
      </c>
      <c r="F56">
        <v>172.35554552864465</v>
      </c>
      <c r="G56">
        <v>172.5640544946437</v>
      </c>
      <c r="H56">
        <v>172.90478865859339</v>
      </c>
      <c r="I56">
        <v>172.73187878435027</v>
      </c>
      <c r="J56">
        <v>172.94038775034934</v>
      </c>
      <c r="K56">
        <v>172.60982475547277</v>
      </c>
    </row>
    <row r="57" spans="2:11" x14ac:dyDescent="0.35">
      <c r="B57" s="56" t="s">
        <v>1379</v>
      </c>
      <c r="C57" s="56" t="s">
        <v>1378</v>
      </c>
      <c r="D57" s="56">
        <v>2.6696</v>
      </c>
      <c r="E57">
        <v>2.693006</v>
      </c>
      <c r="F57">
        <v>2.7175400000000001</v>
      </c>
      <c r="G57">
        <v>2.7175400000000001</v>
      </c>
      <c r="H57">
        <v>2.7175400000000001</v>
      </c>
      <c r="I57">
        <v>0</v>
      </c>
      <c r="J57">
        <v>0</v>
      </c>
      <c r="K57">
        <v>0</v>
      </c>
    </row>
    <row r="58" spans="2:11" x14ac:dyDescent="0.35">
      <c r="B58" s="56"/>
      <c r="C58" s="56"/>
      <c r="D58" s="56"/>
    </row>
    <row r="59" spans="2:11" x14ac:dyDescent="0.35">
      <c r="B59" s="69" t="s">
        <v>1888</v>
      </c>
      <c r="C59" s="56"/>
      <c r="D59" s="56"/>
    </row>
    <row r="60" spans="2:11" x14ac:dyDescent="0.35">
      <c r="B60" s="56" t="s">
        <v>1702</v>
      </c>
      <c r="C60" s="56"/>
      <c r="D60" s="56">
        <v>1.6983635680919155E-2</v>
      </c>
      <c r="E60" s="81">
        <v>2.3874932014508632E-2</v>
      </c>
      <c r="F60" s="81">
        <v>2.2011392938697361E-2</v>
      </c>
      <c r="G60">
        <v>2.1469131944638509E-2</v>
      </c>
      <c r="H60">
        <v>2.037795778240481E-2</v>
      </c>
      <c r="I60">
        <v>2.031319568771961E-2</v>
      </c>
      <c r="J60">
        <v>2.0411174157790368E-2</v>
      </c>
      <c r="K60">
        <v>2.0278651758323107E-2</v>
      </c>
    </row>
    <row r="61" spans="2:11" x14ac:dyDescent="0.35">
      <c r="B61" s="56" t="s">
        <v>1703</v>
      </c>
      <c r="C61" s="56"/>
      <c r="D61" s="56">
        <v>1.5299895562953081E-2</v>
      </c>
      <c r="E61" s="81">
        <v>1.4729668703095777E-2</v>
      </c>
      <c r="F61" s="81">
        <v>1.5119603614899724E-2</v>
      </c>
      <c r="G61">
        <v>2.1515602617293128E-2</v>
      </c>
      <c r="H61">
        <v>2.2790850007197161E-2</v>
      </c>
      <c r="I61">
        <v>2.3263295207157642E-2</v>
      </c>
      <c r="J61">
        <v>2.3889685874715294E-2</v>
      </c>
      <c r="K61">
        <v>2.2412555601408091E-2</v>
      </c>
    </row>
    <row r="62" spans="2:11" x14ac:dyDescent="0.35">
      <c r="B62" s="56" t="s">
        <v>1704</v>
      </c>
      <c r="C62" s="56"/>
      <c r="D62" s="56">
        <v>2.8606309371189242E-2</v>
      </c>
      <c r="E62" s="81">
        <v>3.1343868352262882E-2</v>
      </c>
      <c r="F62" s="81">
        <v>3.2394354805230341E-2</v>
      </c>
      <c r="G62">
        <v>3.3164637629816696E-2</v>
      </c>
      <c r="H62">
        <v>3.1425713898589613E-2</v>
      </c>
      <c r="I62">
        <v>3.1013053419121528E-2</v>
      </c>
      <c r="J62">
        <v>3.1015398756455648E-2</v>
      </c>
      <c r="K62">
        <v>3.0542269425562596E-2</v>
      </c>
    </row>
    <row r="63" spans="2:11" x14ac:dyDescent="0.35">
      <c r="B63" s="56" t="s">
        <v>1705</v>
      </c>
      <c r="C63" s="56"/>
      <c r="D63" s="56">
        <v>2.8606309371189242E-2</v>
      </c>
      <c r="E63" s="81">
        <v>3.1343868352262882E-2</v>
      </c>
      <c r="F63" s="81">
        <v>3.2394354805230341E-2</v>
      </c>
      <c r="G63">
        <v>3.3164637629816696E-2</v>
      </c>
      <c r="H63">
        <v>3.1425713898589613E-2</v>
      </c>
      <c r="I63">
        <v>3.1013053419121528E-2</v>
      </c>
      <c r="J63">
        <v>3.1015398756455648E-2</v>
      </c>
      <c r="K63">
        <v>3.0542269425562596E-2</v>
      </c>
    </row>
    <row r="64" spans="2:11" x14ac:dyDescent="0.35">
      <c r="B64" s="56" t="s">
        <v>1706</v>
      </c>
      <c r="C64" s="56"/>
      <c r="D64" s="56">
        <v>2.8606309371189242E-2</v>
      </c>
      <c r="E64" s="81">
        <v>3.1343868352262882E-2</v>
      </c>
      <c r="F64" s="81">
        <v>3.2394354805230341E-2</v>
      </c>
      <c r="G64">
        <v>3.3164637629816696E-2</v>
      </c>
      <c r="H64">
        <v>3.1425713898589613E-2</v>
      </c>
      <c r="I64">
        <v>3.1013053419121528E-2</v>
      </c>
      <c r="J64">
        <v>3.1015398756455648E-2</v>
      </c>
      <c r="K64">
        <v>3.0542269425562596E-2</v>
      </c>
    </row>
    <row r="66" spans="2:11" x14ac:dyDescent="0.35">
      <c r="B66" s="1295" t="s">
        <v>232</v>
      </c>
      <c r="C66" s="1295"/>
      <c r="D66" s="1295"/>
      <c r="E66" s="1295"/>
      <c r="F66" s="1295"/>
      <c r="G66" s="1295"/>
      <c r="H66" s="1295"/>
      <c r="I66" s="1295"/>
      <c r="J66" s="1295"/>
      <c r="K66" s="1295"/>
    </row>
    <row r="67" spans="2:11" x14ac:dyDescent="0.35">
      <c r="B67" t="s">
        <v>178</v>
      </c>
      <c r="C67" t="s">
        <v>179</v>
      </c>
      <c r="E67" t="s">
        <v>764</v>
      </c>
      <c r="F67" t="s">
        <v>765</v>
      </c>
      <c r="G67" t="s">
        <v>1151</v>
      </c>
      <c r="H67" t="s">
        <v>1152</v>
      </c>
      <c r="I67" t="s">
        <v>1153</v>
      </c>
      <c r="J67" t="s">
        <v>1154</v>
      </c>
      <c r="K67" t="s">
        <v>1155</v>
      </c>
    </row>
    <row r="68" spans="2:11" x14ac:dyDescent="0.35">
      <c r="B68" s="56" t="s">
        <v>192</v>
      </c>
      <c r="C68" s="56" t="s">
        <v>193</v>
      </c>
      <c r="D68" s="80" t="e">
        <f t="shared" ref="D68" si="0">D4-D36</f>
        <v>#REF!</v>
      </c>
      <c r="E68" s="80">
        <f t="shared" ref="E68:H68" si="1">E4-E36</f>
        <v>-19.503782766614563</v>
      </c>
      <c r="F68" s="80">
        <f t="shared" si="1"/>
        <v>-19.695961467456812</v>
      </c>
      <c r="G68" s="80">
        <f t="shared" si="1"/>
        <v>-19.890033783168462</v>
      </c>
      <c r="H68" s="80">
        <f t="shared" si="1"/>
        <v>-20.086018372306739</v>
      </c>
      <c r="I68" s="80">
        <f>I4-I36</f>
        <v>-20.283934077279127</v>
      </c>
      <c r="J68" s="80">
        <f>J4-J36</f>
        <v>-20.483799926155029</v>
      </c>
      <c r="K68" s="80">
        <f>K4-K36</f>
        <v>-20.685635134495158</v>
      </c>
    </row>
    <row r="69" spans="2:11" x14ac:dyDescent="0.35">
      <c r="B69" s="56" t="s">
        <v>134</v>
      </c>
      <c r="C69" s="56" t="s">
        <v>194</v>
      </c>
      <c r="D69" s="80" t="e">
        <f t="shared" ref="D69" si="2">D5-D37</f>
        <v>#REF!</v>
      </c>
      <c r="E69" s="80">
        <f t="shared" ref="E69:H69" si="3">E5-E37</f>
        <v>0</v>
      </c>
      <c r="F69" s="80">
        <f t="shared" si="3"/>
        <v>0</v>
      </c>
      <c r="G69" s="80">
        <f t="shared" si="3"/>
        <v>0</v>
      </c>
      <c r="H69" s="80">
        <f t="shared" si="3"/>
        <v>0</v>
      </c>
      <c r="I69" s="80">
        <f t="shared" ref="I69:J69" si="4">I5-I37</f>
        <v>0</v>
      </c>
      <c r="J69" s="80">
        <f t="shared" si="4"/>
        <v>0</v>
      </c>
      <c r="K69" s="80">
        <f t="shared" ref="K69" si="5">K5-K37</f>
        <v>0</v>
      </c>
    </row>
    <row r="70" spans="2:11" x14ac:dyDescent="0.35">
      <c r="B70" s="56" t="s">
        <v>195</v>
      </c>
      <c r="C70" s="56" t="s">
        <v>196</v>
      </c>
      <c r="D70" s="80" t="e">
        <f t="shared" ref="D70" si="6">D6-D38</f>
        <v>#REF!</v>
      </c>
      <c r="E70" s="80">
        <f t="shared" ref="E70:H70" si="7">E6-E38</f>
        <v>30.146214833459226</v>
      </c>
      <c r="F70" s="80">
        <f t="shared" si="7"/>
        <v>36.088275742331234</v>
      </c>
      <c r="G70" s="80">
        <f t="shared" si="7"/>
        <v>61.464368277950143</v>
      </c>
      <c r="H70" s="80">
        <f t="shared" si="7"/>
        <v>66.574035845594835</v>
      </c>
      <c r="I70" s="80">
        <f t="shared" ref="I70:J70" si="8">I6-I38</f>
        <v>72.754535877446187</v>
      </c>
      <c r="J70" s="80">
        <f t="shared" si="8"/>
        <v>73.038152816742922</v>
      </c>
      <c r="K70" s="80">
        <f t="shared" ref="K70" si="9">K6-K38</f>
        <v>73.095932081421097</v>
      </c>
    </row>
    <row r="71" spans="2:11" x14ac:dyDescent="0.35">
      <c r="B71" s="56" t="s">
        <v>197</v>
      </c>
      <c r="C71" s="56" t="s">
        <v>198</v>
      </c>
      <c r="D71" s="80" t="e">
        <f t="shared" ref="D71" si="10">D7-D39</f>
        <v>#REF!</v>
      </c>
      <c r="E71" s="80">
        <f t="shared" ref="E71:H71" si="11">E7-E39</f>
        <v>3.1322241062507601</v>
      </c>
      <c r="F71" s="80">
        <f t="shared" si="11"/>
        <v>3.1616491277118257</v>
      </c>
      <c r="G71" s="80">
        <f t="shared" si="11"/>
        <v>3.1919114687075307</v>
      </c>
      <c r="H71" s="80">
        <f t="shared" si="11"/>
        <v>3.2201266892266176</v>
      </c>
      <c r="I71" s="80">
        <f t="shared" ref="I71:J71" si="12">I7-I39</f>
        <v>3.248873544077469</v>
      </c>
      <c r="J71" s="80">
        <f t="shared" si="12"/>
        <v>3.2769275985360764</v>
      </c>
      <c r="K71" s="80">
        <f t="shared" ref="K71" si="13">K7-K39</f>
        <v>3.3043693117010662</v>
      </c>
    </row>
    <row r="72" spans="2:11" x14ac:dyDescent="0.35">
      <c r="B72" s="56" t="s">
        <v>199</v>
      </c>
      <c r="C72" s="56" t="s">
        <v>200</v>
      </c>
      <c r="D72" s="80" t="e">
        <f t="shared" ref="D72" si="14">D8-D40</f>
        <v>#REF!</v>
      </c>
      <c r="E72" s="80">
        <f t="shared" ref="E72:H72" si="15">E8-E40</f>
        <v>20.421999999999997</v>
      </c>
      <c r="F72" s="80">
        <f t="shared" si="15"/>
        <v>20.421999999999997</v>
      </c>
      <c r="G72" s="80">
        <f t="shared" si="15"/>
        <v>20.421999999999997</v>
      </c>
      <c r="H72" s="80">
        <f t="shared" si="15"/>
        <v>20.421999999999997</v>
      </c>
      <c r="I72" s="80">
        <f t="shared" ref="I72:J72" si="16">I8-I40</f>
        <v>20.421999999999997</v>
      </c>
      <c r="J72" s="80">
        <f t="shared" si="16"/>
        <v>20.421999999999997</v>
      </c>
      <c r="K72" s="80">
        <f t="shared" ref="K72" si="17">K8-K40</f>
        <v>20.421999999999997</v>
      </c>
    </row>
    <row r="73" spans="2:11" x14ac:dyDescent="0.35">
      <c r="B73" s="56" t="s">
        <v>201</v>
      </c>
      <c r="C73" s="56" t="s">
        <v>202</v>
      </c>
      <c r="D73" s="80" t="e">
        <f t="shared" ref="D73" si="18">D9-D41</f>
        <v>#REF!</v>
      </c>
      <c r="E73" s="80">
        <f t="shared" ref="E73:H73" si="19">E9-E41</f>
        <v>0</v>
      </c>
      <c r="F73" s="80">
        <f t="shared" si="19"/>
        <v>0</v>
      </c>
      <c r="G73" s="80">
        <f t="shared" si="19"/>
        <v>0</v>
      </c>
      <c r="H73" s="80">
        <f t="shared" si="19"/>
        <v>0</v>
      </c>
      <c r="I73" s="80">
        <f t="shared" ref="I73:J73" si="20">I9-I41</f>
        <v>0</v>
      </c>
      <c r="J73" s="80">
        <f t="shared" si="20"/>
        <v>0</v>
      </c>
      <c r="K73" s="80">
        <f t="shared" ref="K73" si="21">K9-K41</f>
        <v>0</v>
      </c>
    </row>
    <row r="74" spans="2:11" x14ac:dyDescent="0.35">
      <c r="B74" s="56" t="s">
        <v>203</v>
      </c>
      <c r="C74" s="56" t="s">
        <v>204</v>
      </c>
      <c r="D74" s="80" t="e">
        <f t="shared" ref="D74" si="22">D10-D42</f>
        <v>#REF!</v>
      </c>
      <c r="E74" s="80">
        <f t="shared" ref="E74:H74" si="23">E10-E42</f>
        <v>0</v>
      </c>
      <c r="F74" s="80">
        <f t="shared" si="23"/>
        <v>0</v>
      </c>
      <c r="G74" s="80">
        <f t="shared" si="23"/>
        <v>0</v>
      </c>
      <c r="H74" s="80">
        <f t="shared" si="23"/>
        <v>0</v>
      </c>
      <c r="I74" s="80">
        <f t="shared" ref="I74:J74" si="24">I10-I42</f>
        <v>0</v>
      </c>
      <c r="J74" s="80">
        <f t="shared" si="24"/>
        <v>0</v>
      </c>
      <c r="K74" s="80">
        <f t="shared" ref="K74" si="25">K10-K42</f>
        <v>0</v>
      </c>
    </row>
    <row r="75" spans="2:11" x14ac:dyDescent="0.35">
      <c r="B75" s="56" t="s">
        <v>205</v>
      </c>
      <c r="C75" s="56" t="s">
        <v>206</v>
      </c>
      <c r="D75" s="80" t="e">
        <f t="shared" ref="D75" si="26">D11-D43</f>
        <v>#REF!</v>
      </c>
      <c r="E75" s="80">
        <f t="shared" ref="E75:H75" si="27">E11-E43</f>
        <v>0</v>
      </c>
      <c r="F75" s="80">
        <f t="shared" si="27"/>
        <v>0</v>
      </c>
      <c r="G75" s="80">
        <f t="shared" si="27"/>
        <v>0</v>
      </c>
      <c r="H75" s="80">
        <f t="shared" si="27"/>
        <v>0</v>
      </c>
      <c r="I75" s="80">
        <f t="shared" ref="I75:J75" si="28">I11-I43</f>
        <v>0</v>
      </c>
      <c r="J75" s="80">
        <f t="shared" si="28"/>
        <v>0</v>
      </c>
      <c r="K75" s="80">
        <f t="shared" ref="K75" si="29">K11-K43</f>
        <v>0</v>
      </c>
    </row>
    <row r="76" spans="2:11" x14ac:dyDescent="0.35">
      <c r="B76" s="56" t="s">
        <v>207</v>
      </c>
      <c r="C76" s="56" t="s">
        <v>208</v>
      </c>
      <c r="D76" s="80" t="e">
        <f t="shared" ref="D76" si="30">D12-D44</f>
        <v>#REF!</v>
      </c>
      <c r="E76" s="80">
        <f t="shared" ref="E76:H76" si="31">E12-E44</f>
        <v>11.891330302091092</v>
      </c>
      <c r="F76" s="80">
        <f>F12-F44</f>
        <v>11.899402985092252</v>
      </c>
      <c r="G76" s="80">
        <f t="shared" si="31"/>
        <v>12.050640095360109</v>
      </c>
      <c r="H76" s="80">
        <f t="shared" si="31"/>
        <v>12.423487136053495</v>
      </c>
      <c r="I76" s="80">
        <f t="shared" ref="I76:J76" si="32">I12-I44</f>
        <v>10.796671110574039</v>
      </c>
      <c r="J76" s="80">
        <f t="shared" si="32"/>
        <v>-1.4717178986633144</v>
      </c>
      <c r="K76" s="80">
        <f t="shared" ref="K76" si="33">K12-K44</f>
        <v>-1.3215244155476285</v>
      </c>
    </row>
    <row r="77" spans="2:11" x14ac:dyDescent="0.35">
      <c r="B77" s="56" t="s">
        <v>209</v>
      </c>
      <c r="C77" s="56" t="s">
        <v>210</v>
      </c>
      <c r="D77" s="80" t="e">
        <f t="shared" ref="D77" si="34">D13-D45</f>
        <v>#REF!</v>
      </c>
      <c r="E77" s="80">
        <f t="shared" ref="E77:H77" si="35">E13-E45</f>
        <v>14.319733760919917</v>
      </c>
      <c r="F77" s="80">
        <f t="shared" si="35"/>
        <v>13.531430196204724</v>
      </c>
      <c r="G77" s="80">
        <f t="shared" si="35"/>
        <v>12.762472086182811</v>
      </c>
      <c r="H77" s="80">
        <f t="shared" si="35"/>
        <v>11.967915831594155</v>
      </c>
      <c r="I77" s="80">
        <f t="shared" ref="I77:J77" si="36">I13-I45</f>
        <v>11.147173802502039</v>
      </c>
      <c r="J77" s="80">
        <f t="shared" si="36"/>
        <v>-7.1326515018054124</v>
      </c>
      <c r="K77" s="80">
        <f t="shared" ref="K77" si="37">K13-K45</f>
        <v>-7.235230891781157</v>
      </c>
    </row>
    <row r="78" spans="2:11" x14ac:dyDescent="0.35">
      <c r="B78" s="56" t="s">
        <v>55</v>
      </c>
      <c r="C78" s="56" t="s">
        <v>211</v>
      </c>
      <c r="D78" s="80" t="e">
        <f t="shared" ref="D78" si="38">D14-D46</f>
        <v>#REF!</v>
      </c>
      <c r="E78" s="80">
        <f t="shared" ref="E78:H78" si="39">E14-E46</f>
        <v>2.178230633176554</v>
      </c>
      <c r="F78" s="80">
        <f t="shared" si="39"/>
        <v>2.2108278473433529</v>
      </c>
      <c r="G78" s="80">
        <f t="shared" si="39"/>
        <v>2.243912878711626</v>
      </c>
      <c r="H78" s="80">
        <f t="shared" si="39"/>
        <v>2.2774930274638336</v>
      </c>
      <c r="I78" s="80">
        <f t="shared" ref="I78:J78" si="40">I14-I46</f>
        <v>2.3115757030302575</v>
      </c>
      <c r="J78" s="80">
        <f t="shared" si="40"/>
        <v>2.3464668239817001</v>
      </c>
      <c r="K78" s="80">
        <f t="shared" ref="K78" si="41">K14-K46</f>
        <v>2.3818845944908844</v>
      </c>
    </row>
    <row r="79" spans="2:11" x14ac:dyDescent="0.35">
      <c r="B79" s="56" t="s">
        <v>212</v>
      </c>
      <c r="C79" s="56" t="s">
        <v>213</v>
      </c>
      <c r="D79" s="80" t="e">
        <f t="shared" ref="D79" si="42">D15-D47</f>
        <v>#REF!</v>
      </c>
      <c r="E79" s="80">
        <f t="shared" ref="E79:H79" si="43">E15-E47</f>
        <v>0</v>
      </c>
      <c r="F79" s="80">
        <f t="shared" si="43"/>
        <v>0</v>
      </c>
      <c r="G79" s="80">
        <f t="shared" si="43"/>
        <v>0</v>
      </c>
      <c r="H79" s="80">
        <f t="shared" si="43"/>
        <v>0</v>
      </c>
      <c r="I79" s="80">
        <f t="shared" ref="I79:J79" si="44">I15-I47</f>
        <v>0</v>
      </c>
      <c r="J79" s="80">
        <f t="shared" si="44"/>
        <v>0</v>
      </c>
      <c r="K79" s="80">
        <f t="shared" ref="K79" si="45">K15-K47</f>
        <v>0</v>
      </c>
    </row>
    <row r="80" spans="2:11" x14ac:dyDescent="0.35">
      <c r="B80" s="56" t="s">
        <v>214</v>
      </c>
      <c r="C80" s="56" t="s">
        <v>215</v>
      </c>
      <c r="D80" s="80" t="e">
        <f t="shared" ref="D80" si="46">D16-D48</f>
        <v>#REF!</v>
      </c>
      <c r="E80" s="80">
        <f t="shared" ref="E80:H80" si="47">E16-E48</f>
        <v>0</v>
      </c>
      <c r="F80" s="80">
        <f t="shared" si="47"/>
        <v>0</v>
      </c>
      <c r="G80" s="80">
        <f t="shared" si="47"/>
        <v>0</v>
      </c>
      <c r="H80" s="80">
        <f t="shared" si="47"/>
        <v>0</v>
      </c>
      <c r="I80" s="80">
        <f t="shared" ref="I80:J80" si="48">I16-I48</f>
        <v>0</v>
      </c>
      <c r="J80" s="80">
        <f t="shared" si="48"/>
        <v>0</v>
      </c>
      <c r="K80" s="80">
        <f t="shared" ref="K80" si="49">K16-K48</f>
        <v>0</v>
      </c>
    </row>
    <row r="81" spans="2:11" x14ac:dyDescent="0.35">
      <c r="B81" s="56" t="s">
        <v>216</v>
      </c>
      <c r="C81" s="56" t="s">
        <v>217</v>
      </c>
      <c r="D81" s="80" t="e">
        <f t="shared" ref="D81" si="50">D17-D49</f>
        <v>#REF!</v>
      </c>
      <c r="E81" s="80">
        <f t="shared" ref="E81:H81" si="51">E17-E49</f>
        <v>0</v>
      </c>
      <c r="F81" s="80">
        <f t="shared" si="51"/>
        <v>0</v>
      </c>
      <c r="G81" s="80">
        <f t="shared" si="51"/>
        <v>0</v>
      </c>
      <c r="H81" s="80">
        <f t="shared" si="51"/>
        <v>0</v>
      </c>
      <c r="I81" s="80">
        <f t="shared" ref="I81:J81" si="52">I17-I49</f>
        <v>0</v>
      </c>
      <c r="J81" s="80">
        <f t="shared" si="52"/>
        <v>0</v>
      </c>
      <c r="K81" s="80">
        <f t="shared" ref="K81" si="53">K17-K49</f>
        <v>0</v>
      </c>
    </row>
    <row r="82" spans="2:11" x14ac:dyDescent="0.35">
      <c r="B82" s="56" t="s">
        <v>820</v>
      </c>
      <c r="C82" s="56" t="s">
        <v>219</v>
      </c>
      <c r="D82" s="80" t="e">
        <f t="shared" ref="D82" si="54">D18-D50</f>
        <v>#REF!</v>
      </c>
      <c r="E82" s="80">
        <f t="shared" ref="E82:H82" si="55">E18-E50</f>
        <v>0</v>
      </c>
      <c r="F82" s="80">
        <f t="shared" si="55"/>
        <v>0</v>
      </c>
      <c r="G82" s="80">
        <f t="shared" si="55"/>
        <v>0</v>
      </c>
      <c r="H82" s="80">
        <f t="shared" si="55"/>
        <v>0</v>
      </c>
      <c r="I82" s="80">
        <f t="shared" ref="I82:J82" si="56">I18-I50</f>
        <v>0</v>
      </c>
      <c r="J82" s="80">
        <f t="shared" si="56"/>
        <v>0</v>
      </c>
      <c r="K82" s="80">
        <f t="shared" ref="K82" si="57">K18-K50</f>
        <v>0</v>
      </c>
    </row>
    <row r="83" spans="2:11" x14ac:dyDescent="0.35">
      <c r="B83" s="56" t="s">
        <v>220</v>
      </c>
      <c r="C83" s="56" t="s">
        <v>221</v>
      </c>
      <c r="D83" s="80" t="e">
        <f t="shared" ref="D83" si="58">D19-D51</f>
        <v>#REF!</v>
      </c>
      <c r="E83" s="80">
        <f t="shared" ref="E83:H83" si="59">E19-E51</f>
        <v>83.689154999999573</v>
      </c>
      <c r="F83" s="80">
        <f>F19-F51</f>
        <v>85.3337557750001</v>
      </c>
      <c r="G83" s="80">
        <f t="shared" si="59"/>
        <v>93.709340052875177</v>
      </c>
      <c r="H83" s="80">
        <f t="shared" si="59"/>
        <v>103.34807947564423</v>
      </c>
      <c r="I83" s="80">
        <f t="shared" ref="I83:J83" si="60">I19-I51</f>
        <v>113.00351259552735</v>
      </c>
      <c r="J83" s="80">
        <f t="shared" si="60"/>
        <v>114.52072288100999</v>
      </c>
      <c r="K83" s="80">
        <f t="shared" ref="K83" si="61">K19-K51</f>
        <v>122.70271619339655</v>
      </c>
    </row>
    <row r="84" spans="2:11" x14ac:dyDescent="0.35">
      <c r="B84" s="56" t="s">
        <v>222</v>
      </c>
      <c r="C84" s="56" t="s">
        <v>223</v>
      </c>
      <c r="D84" s="80" t="e">
        <f t="shared" ref="D84" si="62">D20-D52</f>
        <v>#REF!</v>
      </c>
      <c r="E84" s="80">
        <f t="shared" ref="E84:H84" si="63">E20-E52</f>
        <v>0</v>
      </c>
      <c r="F84" s="80">
        <f t="shared" si="63"/>
        <v>0</v>
      </c>
      <c r="G84" s="80">
        <f t="shared" si="63"/>
        <v>0</v>
      </c>
      <c r="H84" s="80">
        <f t="shared" si="63"/>
        <v>0</v>
      </c>
      <c r="I84" s="80">
        <f t="shared" ref="I84:J84" si="64">I20-I52</f>
        <v>0</v>
      </c>
      <c r="J84" s="80">
        <f t="shared" si="64"/>
        <v>0</v>
      </c>
      <c r="K84" s="80">
        <f t="shared" ref="K84" si="65">K20-K52</f>
        <v>0</v>
      </c>
    </row>
    <row r="85" spans="2:11" x14ac:dyDescent="0.35">
      <c r="B85" s="56" t="s">
        <v>224</v>
      </c>
      <c r="C85" s="56" t="s">
        <v>225</v>
      </c>
      <c r="D85" s="80" t="e">
        <f t="shared" ref="D85" si="66">D21-D53</f>
        <v>#REF!</v>
      </c>
      <c r="E85" s="80">
        <f t="shared" ref="E85:H85" si="67">E21-E53</f>
        <v>150.88666977242701</v>
      </c>
      <c r="F85" s="80">
        <f t="shared" si="67"/>
        <v>211.74538409038814</v>
      </c>
      <c r="G85" s="80">
        <f t="shared" si="67"/>
        <v>143.29147053031738</v>
      </c>
      <c r="H85" s="80">
        <f t="shared" si="67"/>
        <v>151.08510031491096</v>
      </c>
      <c r="I85" s="80">
        <f t="shared" ref="I85:J85" si="68">I21-I53</f>
        <v>158.88955707744935</v>
      </c>
      <c r="J85" s="80">
        <f t="shared" si="68"/>
        <v>166.70660737680646</v>
      </c>
      <c r="K85" s="80">
        <f t="shared" ref="K85" si="69">K21-K53</f>
        <v>144.8230745723904</v>
      </c>
    </row>
    <row r="86" spans="2:11" x14ac:dyDescent="0.35">
      <c r="B86" s="56" t="s">
        <v>226</v>
      </c>
      <c r="C86" s="56" t="s">
        <v>227</v>
      </c>
      <c r="D86" s="80" t="e">
        <f t="shared" ref="D86" si="70">D22-D54</f>
        <v>#REF!</v>
      </c>
      <c r="E86" s="80">
        <f t="shared" ref="E86:H86" si="71">E22-E54</f>
        <v>12.239673605347434</v>
      </c>
      <c r="F86" s="80">
        <f t="shared" si="71"/>
        <v>12.377055265269973</v>
      </c>
      <c r="G86" s="80">
        <f t="shared" si="71"/>
        <v>12.504477477154524</v>
      </c>
      <c r="H86" s="80">
        <f t="shared" si="71"/>
        <v>12.631537997925989</v>
      </c>
      <c r="I86" s="80">
        <f t="shared" ref="I86:J86" si="72">I22-I54</f>
        <v>12.753276100708717</v>
      </c>
      <c r="J86" s="80">
        <f t="shared" si="72"/>
        <v>12.878751077186735</v>
      </c>
      <c r="K86" s="80">
        <f t="shared" ref="K86" si="73">K22-K54</f>
        <v>13.010420719090234</v>
      </c>
    </row>
    <row r="87" spans="2:11" x14ac:dyDescent="0.35">
      <c r="B87" s="56" t="s">
        <v>228</v>
      </c>
      <c r="C87" s="56" t="s">
        <v>229</v>
      </c>
      <c r="D87" s="80" t="e">
        <f t="shared" ref="D87" si="74">D23-D55</f>
        <v>#REF!</v>
      </c>
      <c r="E87" s="80">
        <f t="shared" ref="E87:H87" si="75">E23-E55</f>
        <v>-414.39473622615128</v>
      </c>
      <c r="F87" s="80">
        <f t="shared" si="75"/>
        <v>-156.83424315577935</v>
      </c>
      <c r="G87" s="80">
        <f t="shared" si="75"/>
        <v>-155.86518404934748</v>
      </c>
      <c r="H87" s="80">
        <f t="shared" si="75"/>
        <v>-154.9021126375215</v>
      </c>
      <c r="I87" s="80">
        <f t="shared" ref="I87:J87" si="76">I23-I55</f>
        <v>-153.9449919230878</v>
      </c>
      <c r="J87" s="80">
        <f t="shared" si="76"/>
        <v>-152.99378513743403</v>
      </c>
      <c r="K87" s="80">
        <f t="shared" ref="K87" si="77">K23-K55</f>
        <v>-142.04845573913639</v>
      </c>
    </row>
    <row r="88" spans="2:11" x14ac:dyDescent="0.35">
      <c r="B88" s="56" t="s">
        <v>230</v>
      </c>
      <c r="C88" s="56" t="s">
        <v>231</v>
      </c>
      <c r="D88" s="80" t="e">
        <f t="shared" ref="D88" si="78">D24-D56</f>
        <v>#REF!</v>
      </c>
      <c r="E88" s="80">
        <f t="shared" ref="E88:H88" si="79">E24-E56</f>
        <v>0</v>
      </c>
      <c r="F88" s="80">
        <f t="shared" si="79"/>
        <v>0</v>
      </c>
      <c r="G88" s="80">
        <f t="shared" si="79"/>
        <v>0</v>
      </c>
      <c r="H88" s="80">
        <f t="shared" si="79"/>
        <v>0</v>
      </c>
      <c r="I88" s="80">
        <f t="shared" ref="I88:J88" si="80">I24-I56</f>
        <v>0</v>
      </c>
      <c r="J88" s="80">
        <f t="shared" si="80"/>
        <v>0</v>
      </c>
      <c r="K88" s="80">
        <f t="shared" ref="K88" si="81">K24-K56</f>
        <v>0</v>
      </c>
    </row>
    <row r="89" spans="2:11" x14ac:dyDescent="0.35">
      <c r="B89" s="56" t="s">
        <v>1379</v>
      </c>
      <c r="C89" s="56" t="s">
        <v>1378</v>
      </c>
      <c r="D89" s="80" t="e">
        <f t="shared" ref="D89" si="82">D25-D57</f>
        <v>#REF!</v>
      </c>
      <c r="E89" s="80">
        <f t="shared" ref="E89:H89" si="83">E25-E57</f>
        <v>-11</v>
      </c>
      <c r="F89" s="80">
        <f t="shared" si="83"/>
        <v>-11</v>
      </c>
      <c r="G89" s="80">
        <f t="shared" si="83"/>
        <v>-11</v>
      </c>
      <c r="H89" s="80">
        <f t="shared" si="83"/>
        <v>-11</v>
      </c>
      <c r="I89" s="80">
        <f t="shared" ref="I89:J89" si="84">I25-I57</f>
        <v>-11</v>
      </c>
      <c r="J89" s="80">
        <f t="shared" si="84"/>
        <v>-11</v>
      </c>
      <c r="K89" s="80">
        <f t="shared" ref="K89" si="85">K25-K57</f>
        <v>-11</v>
      </c>
    </row>
    <row r="90" spans="2:11" x14ac:dyDescent="0.35">
      <c r="B90" s="56"/>
      <c r="C90" s="56"/>
      <c r="D90" s="80"/>
      <c r="E90" s="80"/>
      <c r="F90" s="80"/>
      <c r="G90" s="80"/>
      <c r="H90" s="80"/>
      <c r="I90" s="80"/>
      <c r="J90" s="80"/>
      <c r="K90" s="80"/>
    </row>
    <row r="91" spans="2:11" x14ac:dyDescent="0.35">
      <c r="B91" s="56"/>
      <c r="C91" s="56"/>
      <c r="D91" s="80"/>
      <c r="E91" s="80"/>
      <c r="F91" s="80"/>
      <c r="G91" s="80"/>
      <c r="H91" s="80"/>
      <c r="I91" s="80"/>
      <c r="J91" s="80"/>
      <c r="K91" s="80"/>
    </row>
    <row r="92" spans="2:11" x14ac:dyDescent="0.35">
      <c r="B92" s="69" t="s">
        <v>1888</v>
      </c>
      <c r="C92" s="56"/>
      <c r="D92" s="80"/>
      <c r="E92" s="80"/>
      <c r="F92" s="80"/>
      <c r="G92" s="80"/>
      <c r="H92" s="80"/>
      <c r="I92" s="80"/>
      <c r="J92" s="80"/>
    </row>
    <row r="93" spans="2:11" x14ac:dyDescent="0.35">
      <c r="B93" s="56" t="s">
        <v>1702</v>
      </c>
      <c r="C93" s="56" t="s">
        <v>1889</v>
      </c>
      <c r="D93" s="79">
        <f t="shared" ref="D93" si="86">D28-D60</f>
        <v>3.8133964253038131E-3</v>
      </c>
      <c r="E93" s="79">
        <f t="shared" ref="E93:F93" si="87">E28-E60</f>
        <v>0</v>
      </c>
      <c r="F93" s="79">
        <f t="shared" si="87"/>
        <v>0</v>
      </c>
      <c r="G93" s="79">
        <f t="shared" ref="G93:H93" si="88">G28-G60</f>
        <v>0</v>
      </c>
      <c r="H93" s="79">
        <f t="shared" si="88"/>
        <v>0</v>
      </c>
      <c r="I93" s="79">
        <f t="shared" ref="I93:J93" si="89">I28-I60</f>
        <v>0</v>
      </c>
      <c r="J93" s="79">
        <f t="shared" si="89"/>
        <v>0</v>
      </c>
      <c r="K93" s="79">
        <f t="shared" ref="K93" si="90">K28-K60</f>
        <v>0</v>
      </c>
    </row>
    <row r="94" spans="2:11" x14ac:dyDescent="0.35">
      <c r="B94" s="56" t="s">
        <v>1703</v>
      </c>
      <c r="C94" s="56"/>
      <c r="D94" s="79">
        <f t="shared" ref="D94" si="91">D29-D61</f>
        <v>4.5730928616282807E-2</v>
      </c>
      <c r="E94" s="79">
        <f t="shared" ref="E94:F94" si="92">E29-E61</f>
        <v>1.0000000000000002E-2</v>
      </c>
      <c r="F94" s="79">
        <f t="shared" si="92"/>
        <v>9.0000000000000011E-3</v>
      </c>
      <c r="G94" s="79">
        <f t="shared" ref="G94:H94" si="93">G29-G61</f>
        <v>0</v>
      </c>
      <c r="H94" s="79">
        <f t="shared" si="93"/>
        <v>0</v>
      </c>
      <c r="I94" s="79">
        <f t="shared" ref="I94:J94" si="94">I29-I61</f>
        <v>0</v>
      </c>
      <c r="J94" s="79">
        <f t="shared" si="94"/>
        <v>0</v>
      </c>
      <c r="K94" s="79">
        <f t="shared" ref="K94" si="95">K29-K61</f>
        <v>0</v>
      </c>
    </row>
    <row r="95" spans="2:11" x14ac:dyDescent="0.35">
      <c r="B95" s="56" t="s">
        <v>1704</v>
      </c>
      <c r="C95" s="56"/>
      <c r="D95" s="79">
        <f t="shared" ref="D95" si="96">D30-D62</f>
        <v>-2.1958593170367191E-2</v>
      </c>
      <c r="E95" s="79">
        <f t="shared" ref="E95:F95" si="97">E30-E62</f>
        <v>0</v>
      </c>
      <c r="F95" s="79">
        <f t="shared" si="97"/>
        <v>0</v>
      </c>
      <c r="G95" s="79">
        <f t="shared" ref="G95:H95" si="98">G30-G62</f>
        <v>0</v>
      </c>
      <c r="H95" s="79">
        <f t="shared" si="98"/>
        <v>0</v>
      </c>
      <c r="I95" s="79">
        <f t="shared" ref="I95:J95" si="99">I30-I62</f>
        <v>0</v>
      </c>
      <c r="J95" s="79">
        <f t="shared" si="99"/>
        <v>0</v>
      </c>
      <c r="K95" s="79">
        <f t="shared" ref="K95" si="100">K30-K62</f>
        <v>0</v>
      </c>
    </row>
    <row r="96" spans="2:11" x14ac:dyDescent="0.35">
      <c r="B96" s="56" t="s">
        <v>1705</v>
      </c>
      <c r="C96" s="56"/>
      <c r="D96" s="79">
        <f t="shared" ref="D96" si="101">D31-D63</f>
        <v>-2.1552457644279377E-2</v>
      </c>
      <c r="E96" s="79">
        <f t="shared" ref="E96:F96" si="102">E31-E63</f>
        <v>0</v>
      </c>
      <c r="F96" s="79">
        <f t="shared" si="102"/>
        <v>0</v>
      </c>
      <c r="G96" s="79">
        <f t="shared" ref="G96:H96" si="103">G31-G63</f>
        <v>0</v>
      </c>
      <c r="H96" s="79">
        <f t="shared" si="103"/>
        <v>0</v>
      </c>
      <c r="I96" s="79">
        <f t="shared" ref="I96:J96" si="104">I31-I63</f>
        <v>0</v>
      </c>
      <c r="J96" s="79">
        <f t="shared" si="104"/>
        <v>0</v>
      </c>
      <c r="K96" s="79">
        <f t="shared" ref="K96" si="105">K31-K63</f>
        <v>0</v>
      </c>
    </row>
    <row r="97" spans="2:11" x14ac:dyDescent="0.35">
      <c r="B97" s="56" t="s">
        <v>1706</v>
      </c>
      <c r="C97" s="56"/>
      <c r="D97" s="79">
        <f t="shared" ref="D97" si="106">D32-D64</f>
        <v>-2.3525238909463786E-2</v>
      </c>
      <c r="E97" s="79">
        <f t="shared" ref="E97:F97" si="107">E32-E64</f>
        <v>0</v>
      </c>
      <c r="F97" s="79">
        <f t="shared" si="107"/>
        <v>0</v>
      </c>
      <c r="G97" s="79">
        <f t="shared" ref="G97:H97" si="108">G32-G64</f>
        <v>0</v>
      </c>
      <c r="H97" s="79">
        <f t="shared" si="108"/>
        <v>0</v>
      </c>
      <c r="I97" s="79">
        <f t="shared" ref="I97:J97" si="109">I32-I64</f>
        <v>0</v>
      </c>
      <c r="J97" s="79">
        <f t="shared" si="109"/>
        <v>0</v>
      </c>
      <c r="K97" s="79">
        <f t="shared" ref="K97" si="110">K32-K64</f>
        <v>0</v>
      </c>
    </row>
    <row r="99" spans="2:11" x14ac:dyDescent="0.35">
      <c r="B99" s="1294" t="s">
        <v>233</v>
      </c>
      <c r="C99" s="1294"/>
      <c r="D99" s="1294"/>
      <c r="E99" s="1294"/>
      <c r="F99" s="1294"/>
      <c r="G99" s="1294"/>
      <c r="H99" s="1294"/>
      <c r="I99" s="1294"/>
      <c r="J99" s="1294"/>
      <c r="K99" s="1294"/>
    </row>
    <row r="100" spans="2:11" x14ac:dyDescent="0.35">
      <c r="B100" t="s">
        <v>178</v>
      </c>
      <c r="C100" t="s">
        <v>179</v>
      </c>
      <c r="E100" t="s">
        <v>764</v>
      </c>
      <c r="F100" t="s">
        <v>765</v>
      </c>
      <c r="G100" t="s">
        <v>1151</v>
      </c>
      <c r="H100" t="s">
        <v>1152</v>
      </c>
      <c r="I100" t="s">
        <v>1153</v>
      </c>
      <c r="J100" t="s">
        <v>1154</v>
      </c>
      <c r="K100" t="s">
        <v>1155</v>
      </c>
    </row>
    <row r="101" spans="2:11" x14ac:dyDescent="0.35">
      <c r="B101" t="s">
        <v>192</v>
      </c>
      <c r="C101" t="s">
        <v>193</v>
      </c>
      <c r="E101" s="82">
        <f t="shared" ref="E101:G101" si="111">(E4/E36-1)</f>
        <v>-4.6137646745913474E-2</v>
      </c>
      <c r="F101" s="82">
        <f t="shared" si="111"/>
        <v>-4.6721568357023902E-2</v>
      </c>
      <c r="G101" s="82">
        <f t="shared" si="111"/>
        <v>-4.686304149670284E-2</v>
      </c>
      <c r="H101" s="82">
        <f t="shared" ref="H101:I122" si="112">(H4/H36-1)</f>
        <v>-4.7314334529650059E-2</v>
      </c>
      <c r="I101" s="82">
        <f t="shared" si="112"/>
        <v>-4.7342776689978772E-2</v>
      </c>
      <c r="J101" s="82">
        <f t="shared" ref="J101:K101" si="113">(J4/J36-1)</f>
        <v>-4.7592183549384326E-2</v>
      </c>
      <c r="K101" s="82">
        <f t="shared" si="113"/>
        <v>-4.7730281556670251E-2</v>
      </c>
    </row>
    <row r="102" spans="2:11" x14ac:dyDescent="0.35">
      <c r="B102" t="s">
        <v>134</v>
      </c>
      <c r="C102" t="s">
        <v>194</v>
      </c>
      <c r="E102" s="82">
        <f t="shared" ref="E102:G102" si="114">(E5/E37-1)</f>
        <v>0</v>
      </c>
      <c r="F102" s="82">
        <f t="shared" si="114"/>
        <v>0</v>
      </c>
      <c r="G102" s="82">
        <f t="shared" si="114"/>
        <v>0</v>
      </c>
      <c r="H102" s="82">
        <f t="shared" si="112"/>
        <v>0</v>
      </c>
      <c r="I102" s="82">
        <f t="shared" si="112"/>
        <v>0</v>
      </c>
      <c r="J102" s="82">
        <f t="shared" ref="J102:K102" si="115">(J5/J37-1)</f>
        <v>0</v>
      </c>
      <c r="K102" s="82">
        <f t="shared" si="115"/>
        <v>0</v>
      </c>
    </row>
    <row r="103" spans="2:11" x14ac:dyDescent="0.35">
      <c r="B103" t="s">
        <v>195</v>
      </c>
      <c r="C103" t="s">
        <v>196</v>
      </c>
      <c r="E103" s="82">
        <f t="shared" ref="E103:G103" si="116">(E6/E38-1)</f>
        <v>1.558977426664665E-2</v>
      </c>
      <c r="F103" s="82">
        <f t="shared" si="116"/>
        <v>1.8606566546621073E-2</v>
      </c>
      <c r="G103" s="82">
        <f t="shared" si="116"/>
        <v>3.1525330725586054E-2</v>
      </c>
      <c r="H103" s="82">
        <f t="shared" si="112"/>
        <v>3.3962914587136961E-2</v>
      </c>
      <c r="I103" s="82">
        <f t="shared" si="112"/>
        <v>3.6903708325880968E-2</v>
      </c>
      <c r="J103" s="82">
        <f t="shared" ref="J103:K103" si="117">(J6/J38-1)</f>
        <v>3.6859373758051817E-2</v>
      </c>
      <c r="K103" s="82">
        <f t="shared" si="117"/>
        <v>3.6709150927475287E-2</v>
      </c>
    </row>
    <row r="104" spans="2:11" x14ac:dyDescent="0.35">
      <c r="B104" t="s">
        <v>197</v>
      </c>
      <c r="C104" t="s">
        <v>198</v>
      </c>
      <c r="E104" s="82">
        <f t="shared" ref="E104:G104" si="118">(E7/E39-1)</f>
        <v>9.5565189082136293E-4</v>
      </c>
      <c r="F104" s="82">
        <f t="shared" si="118"/>
        <v>9.5565189082136293E-4</v>
      </c>
      <c r="G104" s="82">
        <f t="shared" si="118"/>
        <v>9.5565189082136293E-4</v>
      </c>
      <c r="H104" s="82">
        <f t="shared" si="112"/>
        <v>9.5565189082136293E-4</v>
      </c>
      <c r="I104" s="82">
        <f t="shared" si="112"/>
        <v>9.5565189082136293E-4</v>
      </c>
      <c r="J104" s="82">
        <f t="shared" ref="J104:K104" si="119">(J7/J39-1)</f>
        <v>9.5565189082136293E-4</v>
      </c>
      <c r="K104" s="82">
        <f t="shared" si="119"/>
        <v>9.5565189082136293E-4</v>
      </c>
    </row>
    <row r="105" spans="2:11" x14ac:dyDescent="0.35">
      <c r="B105" t="s">
        <v>199</v>
      </c>
      <c r="C105" t="s">
        <v>200</v>
      </c>
      <c r="E105" s="82">
        <f t="shared" ref="E105:G105" si="120">(E8/E40-1)</f>
        <v>0.2105816723208116</v>
      </c>
      <c r="F105" s="82">
        <f t="shared" si="120"/>
        <v>0.20156339446100402</v>
      </c>
      <c r="G105" s="82">
        <f t="shared" si="120"/>
        <v>0.20593336560180697</v>
      </c>
      <c r="H105" s="82">
        <f t="shared" si="112"/>
        <v>0.20593336560180697</v>
      </c>
      <c r="I105" s="82">
        <f t="shared" si="112"/>
        <v>0.20593336560180697</v>
      </c>
      <c r="J105" s="82">
        <f t="shared" ref="J105:K105" si="121">(J8/J40-1)</f>
        <v>0.20593336560180697</v>
      </c>
      <c r="K105" s="82">
        <f t="shared" si="121"/>
        <v>0.20593336560180697</v>
      </c>
    </row>
    <row r="106" spans="2:11" x14ac:dyDescent="0.35">
      <c r="B106" t="s">
        <v>201</v>
      </c>
      <c r="C106" t="s">
        <v>202</v>
      </c>
      <c r="E106" s="82">
        <f t="shared" ref="E106:G106" si="122">(E9/E41-1)</f>
        <v>0</v>
      </c>
      <c r="F106" s="82">
        <f t="shared" si="122"/>
        <v>0</v>
      </c>
      <c r="G106" s="82" t="e">
        <f t="shared" si="122"/>
        <v>#DIV/0!</v>
      </c>
      <c r="H106" s="82" t="e">
        <f t="shared" si="112"/>
        <v>#DIV/0!</v>
      </c>
      <c r="I106" s="82" t="e">
        <f t="shared" si="112"/>
        <v>#DIV/0!</v>
      </c>
      <c r="J106" s="82" t="e">
        <f t="shared" ref="J106:K106" si="123">(J9/J41-1)</f>
        <v>#DIV/0!</v>
      </c>
      <c r="K106" s="82" t="e">
        <f t="shared" si="123"/>
        <v>#DIV/0!</v>
      </c>
    </row>
    <row r="107" spans="2:11" x14ac:dyDescent="0.35">
      <c r="B107" t="s">
        <v>203</v>
      </c>
      <c r="C107" t="s">
        <v>204</v>
      </c>
      <c r="E107" s="82" t="e">
        <f t="shared" ref="E107:G107" si="124">(E10/E42-1)</f>
        <v>#DIV/0!</v>
      </c>
      <c r="F107" s="82" t="e">
        <f t="shared" si="124"/>
        <v>#DIV/0!</v>
      </c>
      <c r="G107" s="82" t="e">
        <f t="shared" si="124"/>
        <v>#DIV/0!</v>
      </c>
      <c r="H107" s="82" t="e">
        <f t="shared" si="112"/>
        <v>#DIV/0!</v>
      </c>
      <c r="I107" s="82" t="e">
        <f t="shared" si="112"/>
        <v>#DIV/0!</v>
      </c>
      <c r="J107" s="82" t="e">
        <f t="shared" ref="J107:K107" si="125">(J10/J42-1)</f>
        <v>#DIV/0!</v>
      </c>
      <c r="K107" s="82" t="e">
        <f t="shared" si="125"/>
        <v>#DIV/0!</v>
      </c>
    </row>
    <row r="108" spans="2:11" x14ac:dyDescent="0.35">
      <c r="B108" t="s">
        <v>205</v>
      </c>
      <c r="C108" t="s">
        <v>206</v>
      </c>
      <c r="E108" s="82">
        <f t="shared" ref="E108:G108" si="126">(E11/E43-1)</f>
        <v>0</v>
      </c>
      <c r="F108" s="82">
        <f t="shared" si="126"/>
        <v>0</v>
      </c>
      <c r="G108" s="82">
        <f t="shared" si="126"/>
        <v>0</v>
      </c>
      <c r="H108" s="82">
        <f t="shared" si="112"/>
        <v>0</v>
      </c>
      <c r="I108" s="82">
        <f t="shared" si="112"/>
        <v>0</v>
      </c>
      <c r="J108" s="82">
        <f t="shared" ref="J108:K108" si="127">(J11/J43-1)</f>
        <v>0</v>
      </c>
      <c r="K108" s="82">
        <f t="shared" si="127"/>
        <v>0</v>
      </c>
    </row>
    <row r="109" spans="2:11" x14ac:dyDescent="0.35">
      <c r="B109" t="s">
        <v>207</v>
      </c>
      <c r="C109" t="s">
        <v>208</v>
      </c>
      <c r="E109" s="82">
        <f t="shared" ref="E109:G109" si="128">(E12/E44-1)</f>
        <v>1.7606739482826761E-2</v>
      </c>
      <c r="F109" s="82">
        <f t="shared" si="128"/>
        <v>1.7370467561377279E-2</v>
      </c>
      <c r="G109" s="82">
        <f t="shared" si="128"/>
        <v>1.7383775205972229E-2</v>
      </c>
      <c r="H109" s="82">
        <f t="shared" si="112"/>
        <v>1.7609732863654193E-2</v>
      </c>
      <c r="I109" s="82">
        <f t="shared" si="112"/>
        <v>1.5074293540945582E-2</v>
      </c>
      <c r="J109" s="82">
        <f t="shared" ref="J109:K109" si="129">(J12/J44-1)</f>
        <v>-2.0254579995713229E-3</v>
      </c>
      <c r="K109" s="82">
        <f t="shared" si="129"/>
        <v>-1.792553352180204E-3</v>
      </c>
    </row>
    <row r="110" spans="2:11" x14ac:dyDescent="0.35">
      <c r="B110" t="s">
        <v>209</v>
      </c>
      <c r="C110" t="s">
        <v>210</v>
      </c>
      <c r="E110" s="82">
        <f t="shared" ref="E110:G110" si="130">(E13/E45-1)</f>
        <v>1.452837203574231E-2</v>
      </c>
      <c r="F110" s="82">
        <f t="shared" si="130"/>
        <v>1.3522810090172976E-2</v>
      </c>
      <c r="G110" s="82">
        <f t="shared" si="130"/>
        <v>1.256317157854725E-2</v>
      </c>
      <c r="H110" s="82">
        <f t="shared" si="112"/>
        <v>1.1604441685912681E-2</v>
      </c>
      <c r="I110" s="82">
        <f t="shared" si="112"/>
        <v>1.0646619551957004E-2</v>
      </c>
      <c r="J110" s="82">
        <f t="shared" ref="J110:K110" si="131">(J13/J45-1)</f>
        <v>-6.7122161992959617E-3</v>
      </c>
      <c r="K110" s="82">
        <f t="shared" si="131"/>
        <v>-6.7086524804783609E-3</v>
      </c>
    </row>
    <row r="111" spans="2:11" x14ac:dyDescent="0.35">
      <c r="B111" t="s">
        <v>55</v>
      </c>
      <c r="C111" t="s">
        <v>211</v>
      </c>
      <c r="E111" s="82">
        <f t="shared" ref="E111:G111" si="132">(E14/E46-1)</f>
        <v>1.8228238941553343E-3</v>
      </c>
      <c r="F111" s="82">
        <f t="shared" si="132"/>
        <v>1.8228238941553343E-3</v>
      </c>
      <c r="G111" s="82">
        <f t="shared" si="132"/>
        <v>1.8228238941553343E-3</v>
      </c>
      <c r="H111" s="82">
        <f t="shared" si="112"/>
        <v>1.8228238941553343E-3</v>
      </c>
      <c r="I111" s="82">
        <f t="shared" si="112"/>
        <v>1.8228238941551123E-3</v>
      </c>
      <c r="J111" s="82">
        <f t="shared" ref="J111:K111" si="133">(J14/J46-1)</f>
        <v>1.8228238941551123E-3</v>
      </c>
      <c r="K111" s="82">
        <f t="shared" si="133"/>
        <v>1.8228238941553343E-3</v>
      </c>
    </row>
    <row r="112" spans="2:11" x14ac:dyDescent="0.35">
      <c r="B112" t="s">
        <v>212</v>
      </c>
      <c r="C112" t="s">
        <v>213</v>
      </c>
      <c r="E112" s="82" t="e">
        <f t="shared" ref="E112:G112" si="134">(E15/E47-1)</f>
        <v>#DIV/0!</v>
      </c>
      <c r="F112" s="82" t="e">
        <f t="shared" si="134"/>
        <v>#DIV/0!</v>
      </c>
      <c r="G112" s="82" t="e">
        <f t="shared" si="134"/>
        <v>#DIV/0!</v>
      </c>
      <c r="H112" s="82" t="e">
        <f t="shared" si="112"/>
        <v>#DIV/0!</v>
      </c>
      <c r="I112" s="82" t="e">
        <f t="shared" si="112"/>
        <v>#DIV/0!</v>
      </c>
      <c r="J112" s="82" t="e">
        <f t="shared" ref="J112:K112" si="135">(J15/J47-1)</f>
        <v>#DIV/0!</v>
      </c>
      <c r="K112" s="82" t="e">
        <f t="shared" si="135"/>
        <v>#DIV/0!</v>
      </c>
    </row>
    <row r="113" spans="2:11" x14ac:dyDescent="0.35">
      <c r="B113" t="s">
        <v>214</v>
      </c>
      <c r="C113" t="s">
        <v>215</v>
      </c>
      <c r="E113" s="82" t="e">
        <f t="shared" ref="E113:G113" si="136">(E16/E48-1)</f>
        <v>#DIV/0!</v>
      </c>
      <c r="F113" s="82" t="e">
        <f t="shared" si="136"/>
        <v>#DIV/0!</v>
      </c>
      <c r="G113" s="82" t="e">
        <f t="shared" si="136"/>
        <v>#DIV/0!</v>
      </c>
      <c r="H113" s="82" t="e">
        <f t="shared" si="112"/>
        <v>#DIV/0!</v>
      </c>
      <c r="I113" s="82" t="e">
        <f t="shared" si="112"/>
        <v>#DIV/0!</v>
      </c>
      <c r="J113" s="82" t="e">
        <f t="shared" ref="J113:K113" si="137">(J16/J48-1)</f>
        <v>#DIV/0!</v>
      </c>
      <c r="K113" s="82" t="e">
        <f t="shared" si="137"/>
        <v>#DIV/0!</v>
      </c>
    </row>
    <row r="114" spans="2:11" x14ac:dyDescent="0.35">
      <c r="B114" t="s">
        <v>216</v>
      </c>
      <c r="C114" t="s">
        <v>217</v>
      </c>
      <c r="E114" s="82">
        <f t="shared" ref="E114:G114" si="138">(E17/E49-1)</f>
        <v>0</v>
      </c>
      <c r="F114" s="82">
        <f t="shared" si="138"/>
        <v>0</v>
      </c>
      <c r="G114" s="82" t="e">
        <f t="shared" si="138"/>
        <v>#DIV/0!</v>
      </c>
      <c r="H114" s="82" t="e">
        <f t="shared" si="112"/>
        <v>#DIV/0!</v>
      </c>
      <c r="I114" s="82" t="e">
        <f t="shared" si="112"/>
        <v>#DIV/0!</v>
      </c>
      <c r="J114" s="82" t="e">
        <f t="shared" ref="J114:K114" si="139">(J17/J49-1)</f>
        <v>#DIV/0!</v>
      </c>
      <c r="K114" s="82" t="e">
        <f t="shared" si="139"/>
        <v>#DIV/0!</v>
      </c>
    </row>
    <row r="115" spans="2:11" x14ac:dyDescent="0.35">
      <c r="B115" t="s">
        <v>218</v>
      </c>
      <c r="C115" t="s">
        <v>219</v>
      </c>
      <c r="E115" s="82">
        <f t="shared" ref="E115:G115" si="140">(E18/E50-1)</f>
        <v>0</v>
      </c>
      <c r="F115" s="82">
        <f t="shared" si="140"/>
        <v>0</v>
      </c>
      <c r="G115" s="82" t="e">
        <f t="shared" si="140"/>
        <v>#DIV/0!</v>
      </c>
      <c r="H115" s="82" t="e">
        <f t="shared" si="112"/>
        <v>#DIV/0!</v>
      </c>
      <c r="I115" s="82" t="e">
        <f t="shared" si="112"/>
        <v>#DIV/0!</v>
      </c>
      <c r="J115" s="82" t="e">
        <f t="shared" ref="J115:K115" si="141">(J18/J50-1)</f>
        <v>#DIV/0!</v>
      </c>
      <c r="K115" s="82" t="e">
        <f t="shared" si="141"/>
        <v>#DIV/0!</v>
      </c>
    </row>
    <row r="116" spans="2:11" x14ac:dyDescent="0.35">
      <c r="B116" t="s">
        <v>220</v>
      </c>
      <c r="C116" t="s">
        <v>221</v>
      </c>
      <c r="E116" s="82">
        <f t="shared" ref="E116:G116" si="142">(E19/E51-1)</f>
        <v>3.6775158654619222E-2</v>
      </c>
      <c r="F116" s="82">
        <f t="shared" si="142"/>
        <v>3.7655678959420014E-2</v>
      </c>
      <c r="G116" s="82">
        <f t="shared" si="142"/>
        <v>4.0541958838042014E-2</v>
      </c>
      <c r="H116" s="82">
        <f t="shared" si="112"/>
        <v>4.4596792155612519E-2</v>
      </c>
      <c r="I116" s="82">
        <f t="shared" si="112"/>
        <v>4.8601817796501745E-2</v>
      </c>
      <c r="J116" s="82">
        <f t="shared" ref="J116:K116" si="143">(J19/J51-1)</f>
        <v>4.9091779248254364E-2</v>
      </c>
      <c r="K116" s="82">
        <f t="shared" si="143"/>
        <v>5.1526318210426858E-2</v>
      </c>
    </row>
    <row r="117" spans="2:11" x14ac:dyDescent="0.35">
      <c r="B117" t="s">
        <v>222</v>
      </c>
      <c r="C117" t="s">
        <v>223</v>
      </c>
      <c r="E117" s="82">
        <f t="shared" ref="E117:G117" si="144">(E20/E52-1)</f>
        <v>0</v>
      </c>
      <c r="F117" s="82">
        <f t="shared" si="144"/>
        <v>0</v>
      </c>
      <c r="G117" s="82">
        <f t="shared" si="144"/>
        <v>0</v>
      </c>
      <c r="H117" s="82">
        <f t="shared" si="112"/>
        <v>0</v>
      </c>
      <c r="I117" s="82">
        <f t="shared" si="112"/>
        <v>0</v>
      </c>
      <c r="J117" s="82">
        <f t="shared" ref="J117:K117" si="145">(J20/J52-1)</f>
        <v>0</v>
      </c>
      <c r="K117" s="82">
        <f t="shared" si="145"/>
        <v>0</v>
      </c>
    </row>
    <row r="118" spans="2:11" x14ac:dyDescent="0.35">
      <c r="B118" t="s">
        <v>224</v>
      </c>
      <c r="C118" t="s">
        <v>225</v>
      </c>
      <c r="E118" s="82">
        <f t="shared" ref="E118:G118" si="146">(E21/E53-1)</f>
        <v>3.1877073944090117E-2</v>
      </c>
      <c r="F118" s="82">
        <f t="shared" si="146"/>
        <v>4.4510653849496151E-2</v>
      </c>
      <c r="G118" s="82">
        <f t="shared" si="146"/>
        <v>2.9638498647581279E-2</v>
      </c>
      <c r="H118" s="82">
        <f t="shared" si="112"/>
        <v>3.1038921289388455E-2</v>
      </c>
      <c r="I118" s="82">
        <f t="shared" si="112"/>
        <v>3.242021105613957E-2</v>
      </c>
      <c r="J118" s="82">
        <f t="shared" ref="J118:K118" si="147">(J21/J53-1)</f>
        <v>3.3782779515759032E-2</v>
      </c>
      <c r="K118" s="82">
        <f t="shared" si="147"/>
        <v>2.8381611019200115E-2</v>
      </c>
    </row>
    <row r="119" spans="2:11" x14ac:dyDescent="0.35">
      <c r="B119" t="s">
        <v>226</v>
      </c>
      <c r="C119" t="s">
        <v>227</v>
      </c>
      <c r="E119" s="82">
        <f t="shared" ref="E119:G119" si="148">(E22/E54-1)</f>
        <v>4.7108675287506063E-3</v>
      </c>
      <c r="F119" s="82">
        <f t="shared" si="148"/>
        <v>4.7152806405250658E-3</v>
      </c>
      <c r="G119" s="82">
        <f t="shared" si="148"/>
        <v>4.7196671634874843E-3</v>
      </c>
      <c r="H119" s="82">
        <f t="shared" si="112"/>
        <v>4.7220889685777312E-3</v>
      </c>
      <c r="I119" s="82">
        <f t="shared" si="112"/>
        <v>4.7263900392993108E-3</v>
      </c>
      <c r="J119" s="82">
        <f t="shared" ref="J119:K119" si="149">(J22/J54-1)</f>
        <v>4.7286228365557292E-3</v>
      </c>
      <c r="K119" s="82">
        <f t="shared" si="149"/>
        <v>4.7306009121996784E-3</v>
      </c>
    </row>
    <row r="120" spans="2:11" x14ac:dyDescent="0.35">
      <c r="B120" t="s">
        <v>228</v>
      </c>
      <c r="C120" t="s">
        <v>229</v>
      </c>
      <c r="E120" s="82">
        <f t="shared" ref="E120:G120" si="150">(E23/E55-1)</f>
        <v>-0.74721356421887664</v>
      </c>
      <c r="F120" s="82">
        <f t="shared" si="150"/>
        <v>-0.28455301075018269</v>
      </c>
      <c r="G120" s="82">
        <f t="shared" si="150"/>
        <v>-0.2845530107501828</v>
      </c>
      <c r="H120" s="82">
        <f t="shared" si="112"/>
        <v>-0.28455301075018291</v>
      </c>
      <c r="I120" s="82">
        <f t="shared" si="112"/>
        <v>-0.28455301075018291</v>
      </c>
      <c r="J120" s="82">
        <f t="shared" ref="J120:K120" si="151">(J23/J55-1)</f>
        <v>-0.28455301075018291</v>
      </c>
      <c r="K120" s="82">
        <f t="shared" si="151"/>
        <v>-0.26583838393158632</v>
      </c>
    </row>
    <row r="121" spans="2:11" x14ac:dyDescent="0.35">
      <c r="B121" t="s">
        <v>230</v>
      </c>
      <c r="C121" t="s">
        <v>231</v>
      </c>
      <c r="E121" s="82">
        <f t="shared" ref="E121:G121" si="152">(E24/E56-1)</f>
        <v>0</v>
      </c>
      <c r="F121" s="82">
        <f t="shared" si="152"/>
        <v>0</v>
      </c>
      <c r="G121" s="82">
        <f t="shared" si="152"/>
        <v>0</v>
      </c>
      <c r="H121" s="82">
        <f t="shared" si="112"/>
        <v>0</v>
      </c>
      <c r="I121" s="82">
        <f t="shared" si="112"/>
        <v>0</v>
      </c>
      <c r="J121" s="82">
        <f t="shared" ref="J121:K121" si="153">(J24/J56-1)</f>
        <v>0</v>
      </c>
      <c r="K121" s="82">
        <f t="shared" si="153"/>
        <v>0</v>
      </c>
    </row>
    <row r="122" spans="2:11" x14ac:dyDescent="0.35">
      <c r="B122" s="56" t="s">
        <v>1379</v>
      </c>
      <c r="C122" s="56" t="s">
        <v>1378</v>
      </c>
      <c r="D122" s="56"/>
      <c r="E122" s="82">
        <f t="shared" ref="E122:G122" si="154">(E25/E57-1)</f>
        <v>-4.0846548429524479</v>
      </c>
      <c r="F122" s="82">
        <f t="shared" si="154"/>
        <v>-4.047778505560176</v>
      </c>
      <c r="G122" s="82">
        <f t="shared" si="154"/>
        <v>-4.047778505560176</v>
      </c>
      <c r="H122" s="82">
        <f t="shared" si="112"/>
        <v>-4.047778505560176</v>
      </c>
      <c r="I122" s="82" t="e">
        <f t="shared" si="112"/>
        <v>#DIV/0!</v>
      </c>
      <c r="J122" s="82" t="e">
        <f t="shared" ref="J122:K122" si="155">(J25/J57-1)</f>
        <v>#DIV/0!</v>
      </c>
      <c r="K122" s="82" t="e">
        <f t="shared" si="155"/>
        <v>#DIV/0!</v>
      </c>
    </row>
    <row r="123" spans="2:11" x14ac:dyDescent="0.35">
      <c r="B123" s="56"/>
    </row>
    <row r="124" spans="2:11" x14ac:dyDescent="0.35">
      <c r="B124" s="69" t="s">
        <v>1888</v>
      </c>
    </row>
    <row r="125" spans="2:11" x14ac:dyDescent="0.35">
      <c r="B125" s="56" t="s">
        <v>1702</v>
      </c>
      <c r="E125" s="82">
        <f t="shared" ref="E125:G125" si="156">(E28/E60-1)</f>
        <v>0</v>
      </c>
      <c r="F125" s="82">
        <f t="shared" si="156"/>
        <v>0</v>
      </c>
      <c r="G125" s="82">
        <f t="shared" si="156"/>
        <v>0</v>
      </c>
      <c r="H125" s="82">
        <f t="shared" ref="H125:I129" si="157">(H28/H60-1)</f>
        <v>0</v>
      </c>
      <c r="I125" s="82">
        <f t="shared" si="157"/>
        <v>0</v>
      </c>
      <c r="J125" s="82">
        <f t="shared" ref="J125:K125" si="158">(J28/J60-1)</f>
        <v>0</v>
      </c>
      <c r="K125" s="82">
        <f t="shared" si="158"/>
        <v>0</v>
      </c>
    </row>
    <row r="126" spans="2:11" x14ac:dyDescent="0.35">
      <c r="B126" s="56" t="s">
        <v>1703</v>
      </c>
      <c r="E126" s="82">
        <f t="shared" ref="E126:G126" si="159">(E29/E61-1)</f>
        <v>0.67890189532221279</v>
      </c>
      <c r="F126" s="82">
        <f t="shared" si="159"/>
        <v>0.59525370037683301</v>
      </c>
      <c r="G126" s="82">
        <f t="shared" si="159"/>
        <v>0</v>
      </c>
      <c r="H126" s="82">
        <f t="shared" si="157"/>
        <v>0</v>
      </c>
      <c r="I126" s="82">
        <f t="shared" si="157"/>
        <v>0</v>
      </c>
      <c r="J126" s="82">
        <f t="shared" ref="J126:K126" si="160">(J29/J61-1)</f>
        <v>0</v>
      </c>
      <c r="K126" s="82">
        <f t="shared" si="160"/>
        <v>0</v>
      </c>
    </row>
    <row r="127" spans="2:11" x14ac:dyDescent="0.35">
      <c r="B127" s="56" t="s">
        <v>1704</v>
      </c>
      <c r="E127" s="82">
        <f t="shared" ref="E127:G127" si="161">(E30/E62-1)</f>
        <v>0</v>
      </c>
      <c r="F127" s="82">
        <f t="shared" si="161"/>
        <v>0</v>
      </c>
      <c r="G127" s="82">
        <f t="shared" si="161"/>
        <v>0</v>
      </c>
      <c r="H127" s="82">
        <f t="shared" si="157"/>
        <v>0</v>
      </c>
      <c r="I127" s="82">
        <f t="shared" si="157"/>
        <v>0</v>
      </c>
      <c r="J127" s="82">
        <f t="shared" ref="J127:K127" si="162">(J30/J62-1)</f>
        <v>0</v>
      </c>
      <c r="K127" s="82">
        <f t="shared" si="162"/>
        <v>0</v>
      </c>
    </row>
    <row r="128" spans="2:11" x14ac:dyDescent="0.35">
      <c r="B128" s="56" t="s">
        <v>1705</v>
      </c>
      <c r="E128" s="82">
        <f t="shared" ref="E128:G128" si="163">(E31/E63-1)</f>
        <v>0</v>
      </c>
      <c r="F128" s="82">
        <f t="shared" si="163"/>
        <v>0</v>
      </c>
      <c r="G128" s="82">
        <f t="shared" si="163"/>
        <v>0</v>
      </c>
      <c r="H128" s="82">
        <f t="shared" si="157"/>
        <v>0</v>
      </c>
      <c r="I128" s="82">
        <f t="shared" si="157"/>
        <v>0</v>
      </c>
      <c r="J128" s="82">
        <f t="shared" ref="J128:K128" si="164">(J31/J63-1)</f>
        <v>0</v>
      </c>
      <c r="K128" s="82">
        <f t="shared" si="164"/>
        <v>0</v>
      </c>
    </row>
    <row r="129" spans="2:11" x14ac:dyDescent="0.35">
      <c r="B129" s="56" t="s">
        <v>1706</v>
      </c>
      <c r="E129" s="82">
        <f t="shared" ref="E129:G129" si="165">(E32/E64-1)</f>
        <v>0</v>
      </c>
      <c r="F129" s="82">
        <f t="shared" si="165"/>
        <v>0</v>
      </c>
      <c r="G129" s="82">
        <f t="shared" si="165"/>
        <v>0</v>
      </c>
      <c r="H129" s="82">
        <f t="shared" si="157"/>
        <v>0</v>
      </c>
      <c r="I129" s="82">
        <f t="shared" si="157"/>
        <v>0</v>
      </c>
      <c r="J129" s="82">
        <f t="shared" ref="J129:K129" si="166">(J32/J64-1)</f>
        <v>0</v>
      </c>
      <c r="K129" s="82">
        <f t="shared" si="166"/>
        <v>0</v>
      </c>
    </row>
  </sheetData>
  <mergeCells count="4">
    <mergeCell ref="B2:K2"/>
    <mergeCell ref="B34:K34"/>
    <mergeCell ref="B66:K66"/>
    <mergeCell ref="B99:K99"/>
  </mergeCells>
  <conditionalFormatting sqref="E68:K91 D68:D97 E92:J97 K93:K97 E101:K122 E125:K129">
    <cfRule type="cellIs" dxfId="1" priority="3" operator="lessThan">
      <formula>0</formula>
    </cfRule>
    <cfRule type="cellIs" dxfId="0" priority="4" operator="greaterThan">
      <formula>0</formula>
    </cfRule>
  </conditionalFormatting>
  <pageMargins left="0.7" right="0.7" top="0.75" bottom="0.75" header="0.3" footer="0.3"/>
  <pageSetup orientation="portrait"/>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N96"/>
  <sheetViews>
    <sheetView zoomScale="115" zoomScaleNormal="115" workbookViewId="0">
      <pane xSplit="2" ySplit="7" topLeftCell="AB25" activePane="bottomRight" state="frozen"/>
      <selection pane="topRight" activeCell="C1" sqref="C1"/>
      <selection pane="bottomLeft" activeCell="A8" sqref="A8"/>
      <selection pane="bottomRight"/>
    </sheetView>
  </sheetViews>
  <sheetFormatPr defaultColWidth="10.90625" defaultRowHeight="14.5" x14ac:dyDescent="0.35"/>
  <cols>
    <col min="1" max="1" width="9" customWidth="1"/>
    <col min="2" max="2" width="65" customWidth="1"/>
    <col min="3" max="31" width="11.54296875" customWidth="1"/>
  </cols>
  <sheetData>
    <row r="2" spans="1:38" ht="21" customHeight="1" x14ac:dyDescent="0.5">
      <c r="A2" s="1303" t="s">
        <v>1804</v>
      </c>
      <c r="B2" s="1303"/>
      <c r="C2" s="1303"/>
      <c r="D2" s="1303"/>
      <c r="E2" s="1303"/>
      <c r="F2" s="1303"/>
      <c r="G2" s="1303"/>
      <c r="H2" s="1303"/>
      <c r="I2" s="1303"/>
      <c r="J2" s="1303"/>
      <c r="K2" s="103"/>
      <c r="L2" s="183"/>
      <c r="M2" s="194"/>
      <c r="N2" s="172"/>
      <c r="O2" s="183"/>
      <c r="P2" s="194"/>
      <c r="Q2" s="172"/>
      <c r="R2" s="183"/>
      <c r="S2" s="194"/>
      <c r="T2" s="172"/>
      <c r="U2" s="183"/>
      <c r="V2" s="194"/>
      <c r="W2" s="172"/>
      <c r="X2" s="183"/>
      <c r="Y2" s="194"/>
      <c r="Z2" s="172"/>
      <c r="AA2" s="183"/>
      <c r="AB2" s="194"/>
      <c r="AC2" s="172"/>
      <c r="AD2" s="183"/>
      <c r="AE2" s="194"/>
      <c r="AF2" s="204"/>
      <c r="AG2" s="90"/>
      <c r="AH2" s="115"/>
      <c r="AI2" s="202"/>
      <c r="AJ2" s="90"/>
      <c r="AK2" s="104"/>
      <c r="AL2" s="1231"/>
    </row>
    <row r="3" spans="1:38" x14ac:dyDescent="0.35">
      <c r="A3" s="69" t="s">
        <v>879</v>
      </c>
      <c r="B3" s="69"/>
      <c r="C3" s="69"/>
      <c r="D3" s="69"/>
      <c r="E3" s="69"/>
      <c r="F3" s="69"/>
      <c r="G3" s="69"/>
      <c r="H3" s="69"/>
      <c r="I3" s="69"/>
      <c r="J3" s="69"/>
      <c r="K3" s="69"/>
      <c r="L3" s="184"/>
      <c r="M3" s="195"/>
      <c r="N3" s="204"/>
      <c r="O3" s="184"/>
      <c r="P3" s="195"/>
      <c r="Q3" s="204"/>
      <c r="R3" s="184"/>
      <c r="S3" s="195"/>
      <c r="T3" s="204"/>
      <c r="U3" s="184"/>
      <c r="V3" s="195"/>
      <c r="W3" s="204"/>
      <c r="X3" s="184"/>
      <c r="Y3" s="195"/>
      <c r="Z3" s="204"/>
      <c r="AA3" s="184"/>
      <c r="AB3" s="195"/>
      <c r="AC3" s="204"/>
      <c r="AD3" s="184"/>
      <c r="AE3" s="195"/>
      <c r="AF3" s="204"/>
      <c r="AG3" s="90"/>
      <c r="AH3" s="115"/>
      <c r="AI3" s="202"/>
      <c r="AJ3" s="90"/>
      <c r="AK3" s="104"/>
      <c r="AL3" s="1231"/>
    </row>
    <row r="4" spans="1:38" ht="15" customHeight="1" x14ac:dyDescent="0.35">
      <c r="A4" s="1304"/>
      <c r="B4" s="1304"/>
      <c r="C4" s="1304"/>
      <c r="D4" s="70"/>
      <c r="E4" s="70"/>
      <c r="F4" s="70"/>
      <c r="G4" s="70"/>
      <c r="H4" s="70"/>
      <c r="I4" s="70"/>
      <c r="J4" s="70"/>
      <c r="K4" s="70"/>
      <c r="L4" s="185"/>
      <c r="M4" s="198"/>
      <c r="N4" s="174"/>
      <c r="O4" s="185"/>
      <c r="P4" s="198"/>
      <c r="Q4" s="174"/>
      <c r="R4" s="185"/>
      <c r="S4" s="198"/>
      <c r="T4" s="174"/>
      <c r="U4" s="185"/>
      <c r="V4" s="198"/>
      <c r="W4" s="174"/>
      <c r="X4" s="185"/>
      <c r="Y4" s="198"/>
      <c r="Z4" s="174"/>
      <c r="AA4" s="185"/>
      <c r="AB4" s="198"/>
      <c r="AC4" s="174"/>
      <c r="AD4" s="185"/>
      <c r="AE4" s="198"/>
      <c r="AF4" s="203"/>
      <c r="AG4" s="90"/>
      <c r="AH4" s="115"/>
      <c r="AI4" s="202"/>
      <c r="AJ4" s="90"/>
      <c r="AK4" s="104"/>
      <c r="AL4" s="1231"/>
    </row>
    <row r="5" spans="1:38" x14ac:dyDescent="0.35">
      <c r="A5" s="1305" t="s">
        <v>813</v>
      </c>
      <c r="B5" s="1308"/>
      <c r="C5" s="1311" t="s">
        <v>891</v>
      </c>
      <c r="D5" s="1311" t="s">
        <v>891</v>
      </c>
      <c r="E5" s="1311" t="s">
        <v>891</v>
      </c>
      <c r="F5" s="1311" t="s">
        <v>891</v>
      </c>
      <c r="G5" s="1311" t="s">
        <v>891</v>
      </c>
      <c r="H5" s="1311" t="s">
        <v>891</v>
      </c>
      <c r="I5" s="1311" t="s">
        <v>891</v>
      </c>
      <c r="J5" s="1312" t="s">
        <v>891</v>
      </c>
      <c r="K5" s="138"/>
      <c r="L5" s="186"/>
      <c r="M5" s="213"/>
      <c r="N5" s="175"/>
      <c r="O5" s="186"/>
      <c r="P5" s="213"/>
      <c r="Q5" s="175"/>
      <c r="R5" s="186"/>
      <c r="S5" s="213"/>
      <c r="T5" s="175"/>
      <c r="U5" s="186"/>
      <c r="V5" s="213"/>
      <c r="W5" s="175"/>
      <c r="X5" s="186"/>
      <c r="Y5" s="213"/>
      <c r="Z5" s="175"/>
      <c r="AA5" s="186"/>
      <c r="AB5" s="213"/>
      <c r="AC5" s="175"/>
      <c r="AD5" s="186"/>
      <c r="AE5" s="213"/>
      <c r="AF5" s="203"/>
      <c r="AG5" s="90"/>
      <c r="AH5" s="115"/>
      <c r="AI5" s="202"/>
      <c r="AJ5" s="90"/>
      <c r="AK5" s="104"/>
      <c r="AL5" s="1231"/>
    </row>
    <row r="6" spans="1:38" x14ac:dyDescent="0.35">
      <c r="A6" s="1306" t="s">
        <v>813</v>
      </c>
      <c r="B6" s="1309"/>
      <c r="C6" s="1313">
        <v>2022</v>
      </c>
      <c r="D6" s="1314"/>
      <c r="E6" s="1314"/>
      <c r="F6" s="1314"/>
      <c r="G6" s="1314"/>
      <c r="H6" s="1315"/>
      <c r="I6" s="1313">
        <v>2023</v>
      </c>
      <c r="J6" s="1314">
        <v>2023</v>
      </c>
      <c r="K6" s="1315">
        <v>2023</v>
      </c>
      <c r="L6" s="187"/>
      <c r="M6" s="87"/>
      <c r="N6" s="176"/>
      <c r="O6" s="187"/>
      <c r="P6" s="87"/>
      <c r="Q6" s="176"/>
      <c r="R6" s="187"/>
      <c r="S6" s="87"/>
      <c r="T6" s="176"/>
      <c r="U6" s="187"/>
      <c r="V6" s="87"/>
      <c r="W6" s="176"/>
      <c r="X6" s="187"/>
      <c r="Y6" s="87"/>
      <c r="Z6" s="176"/>
      <c r="AA6" s="187"/>
      <c r="AB6" s="87"/>
      <c r="AC6" s="176"/>
      <c r="AD6" s="187"/>
      <c r="AE6" s="87"/>
      <c r="AF6" s="203"/>
      <c r="AG6" s="90"/>
      <c r="AH6" s="115"/>
      <c r="AI6" s="202"/>
      <c r="AJ6" s="90"/>
      <c r="AK6" s="104"/>
      <c r="AL6" s="1231"/>
    </row>
    <row r="7" spans="1:38" ht="32.5" customHeight="1" x14ac:dyDescent="0.35">
      <c r="A7" s="1307" t="s">
        <v>813</v>
      </c>
      <c r="B7" s="1310"/>
      <c r="C7" s="141" t="s">
        <v>1746</v>
      </c>
      <c r="D7" s="141" t="s">
        <v>1823</v>
      </c>
      <c r="E7" s="141" t="s">
        <v>1824</v>
      </c>
      <c r="F7" s="141" t="s">
        <v>1828</v>
      </c>
      <c r="G7" s="141" t="s">
        <v>1829</v>
      </c>
      <c r="H7" s="141" t="s">
        <v>1830</v>
      </c>
      <c r="I7" s="141" t="s">
        <v>234</v>
      </c>
      <c r="J7" s="141" t="s">
        <v>235</v>
      </c>
      <c r="K7" s="141" t="s">
        <v>1878</v>
      </c>
      <c r="L7" s="106" t="s">
        <v>1886</v>
      </c>
      <c r="M7" s="119" t="s">
        <v>1887</v>
      </c>
      <c r="N7" s="125" t="s">
        <v>1892</v>
      </c>
      <c r="O7" s="106" t="s">
        <v>1893</v>
      </c>
      <c r="P7" s="119" t="s">
        <v>1823</v>
      </c>
      <c r="Q7" s="125" t="s">
        <v>1824</v>
      </c>
      <c r="R7" s="106" t="s">
        <v>1828</v>
      </c>
      <c r="S7" s="119" t="s">
        <v>1926</v>
      </c>
      <c r="T7" s="125" t="s">
        <v>1920</v>
      </c>
      <c r="U7" s="106" t="s">
        <v>234</v>
      </c>
      <c r="V7" s="119" t="s">
        <v>235</v>
      </c>
      <c r="W7" s="125" t="s">
        <v>1878</v>
      </c>
      <c r="X7" s="106" t="s">
        <v>1958</v>
      </c>
      <c r="Y7" s="119" t="s">
        <v>907</v>
      </c>
      <c r="Z7" s="125" t="s">
        <v>1892</v>
      </c>
      <c r="AA7" s="106" t="s">
        <v>1893</v>
      </c>
      <c r="AB7" s="119" t="s">
        <v>1823</v>
      </c>
      <c r="AC7" s="125" t="s">
        <v>1824</v>
      </c>
      <c r="AD7" s="186" t="s">
        <v>1959</v>
      </c>
      <c r="AE7" s="213" t="s">
        <v>1990</v>
      </c>
      <c r="AF7" s="203" t="s">
        <v>1991</v>
      </c>
      <c r="AG7" s="90" t="s">
        <v>1982</v>
      </c>
      <c r="AH7" s="115" t="s">
        <v>1983</v>
      </c>
      <c r="AI7" s="203" t="s">
        <v>1992</v>
      </c>
      <c r="AJ7" s="90" t="s">
        <v>1993</v>
      </c>
      <c r="AK7" s="104" t="s">
        <v>2325</v>
      </c>
      <c r="AL7" s="1231" t="s">
        <v>2326</v>
      </c>
    </row>
    <row r="8" spans="1:38" x14ac:dyDescent="0.35">
      <c r="A8" s="134">
        <v>1</v>
      </c>
      <c r="B8" s="47" t="s">
        <v>239</v>
      </c>
      <c r="C8" s="142">
        <v>21852.3</v>
      </c>
      <c r="D8" s="142">
        <v>21975.8</v>
      </c>
      <c r="E8" s="143">
        <v>22080.400000000001</v>
      </c>
      <c r="F8" s="143">
        <v>22201.9</v>
      </c>
      <c r="G8" s="143">
        <v>22240.1</v>
      </c>
      <c r="H8" s="143">
        <v>22281.9</v>
      </c>
      <c r="I8" s="142">
        <v>22525.3</v>
      </c>
      <c r="J8" s="143">
        <v>22648.400000000001</v>
      </c>
      <c r="K8" s="142">
        <v>22757.9</v>
      </c>
      <c r="L8" s="112">
        <v>22806.1</v>
      </c>
      <c r="M8" s="120">
        <v>22876.6</v>
      </c>
      <c r="N8" s="157">
        <v>22921.4</v>
      </c>
      <c r="O8" s="84">
        <v>22986.400000000001</v>
      </c>
      <c r="P8" s="120">
        <v>23094.5</v>
      </c>
      <c r="Q8" s="157">
        <v>23176.2</v>
      </c>
      <c r="R8" s="112">
        <v>23189.4</v>
      </c>
      <c r="S8" s="120">
        <v>23241.5</v>
      </c>
      <c r="T8" s="196">
        <v>23311.599999999999</v>
      </c>
      <c r="U8" s="84">
        <v>24226.7</v>
      </c>
      <c r="V8" s="120">
        <v>24330.9</v>
      </c>
      <c r="W8" s="196">
        <v>24474.9</v>
      </c>
      <c r="X8" s="112">
        <v>24511.1</v>
      </c>
      <c r="Y8" s="120">
        <v>24584.2</v>
      </c>
      <c r="Z8" s="196">
        <v>24626.7</v>
      </c>
      <c r="AA8" s="112">
        <v>24669.3</v>
      </c>
      <c r="AB8" s="120">
        <v>24701.3</v>
      </c>
      <c r="AC8" s="126">
        <v>24779.7</v>
      </c>
      <c r="AD8" s="113">
        <v>24950.6</v>
      </c>
      <c r="AE8" s="121">
        <v>25037.1</v>
      </c>
      <c r="AF8" s="204">
        <v>25139.1</v>
      </c>
      <c r="AG8" s="184">
        <v>25274.9</v>
      </c>
      <c r="AH8" s="195">
        <v>25456</v>
      </c>
      <c r="AI8" s="204">
        <v>25619.3</v>
      </c>
      <c r="AJ8" s="90">
        <v>25823.5</v>
      </c>
      <c r="AK8" s="104">
        <v>25722.7</v>
      </c>
      <c r="AL8" s="1231">
        <v>25794.1</v>
      </c>
    </row>
    <row r="9" spans="1:38" x14ac:dyDescent="0.35">
      <c r="A9" s="135">
        <v>2</v>
      </c>
      <c r="B9" s="168" t="s">
        <v>1747</v>
      </c>
      <c r="C9" s="144">
        <v>13654.1</v>
      </c>
      <c r="D9" s="144">
        <v>13754.9</v>
      </c>
      <c r="E9" s="145">
        <v>13856.1</v>
      </c>
      <c r="F9" s="145">
        <v>13828.8</v>
      </c>
      <c r="G9" s="145">
        <v>13822.8</v>
      </c>
      <c r="H9" s="145">
        <v>13832.7</v>
      </c>
      <c r="I9" s="144">
        <v>13885.2</v>
      </c>
      <c r="J9" s="145">
        <v>13968.7</v>
      </c>
      <c r="K9" s="144">
        <v>14041.7</v>
      </c>
      <c r="L9" s="113">
        <v>14092.7</v>
      </c>
      <c r="M9" s="121">
        <v>14151.1</v>
      </c>
      <c r="N9" s="159">
        <v>14218.6</v>
      </c>
      <c r="O9" s="85">
        <v>14296.4</v>
      </c>
      <c r="P9" s="121">
        <v>14372.7</v>
      </c>
      <c r="Q9" s="159">
        <v>14437.1</v>
      </c>
      <c r="R9" s="113">
        <v>14416.2</v>
      </c>
      <c r="S9" s="121">
        <v>14436.6</v>
      </c>
      <c r="T9" s="197">
        <v>14491.6</v>
      </c>
      <c r="U9" s="85">
        <v>14686.6</v>
      </c>
      <c r="V9" s="121">
        <v>14836.5</v>
      </c>
      <c r="W9" s="197">
        <v>14948.1</v>
      </c>
      <c r="X9" s="113">
        <v>14914.1</v>
      </c>
      <c r="Y9" s="121">
        <v>14955.1</v>
      </c>
      <c r="Z9" s="197">
        <v>14967.6</v>
      </c>
      <c r="AA9" s="113">
        <v>14987</v>
      </c>
      <c r="AB9" s="121">
        <v>15038.4</v>
      </c>
      <c r="AC9" s="127">
        <v>15082.8</v>
      </c>
      <c r="AD9" s="113">
        <v>15184.8</v>
      </c>
      <c r="AE9" s="121">
        <v>15283.5</v>
      </c>
      <c r="AF9" s="204">
        <v>15354.2</v>
      </c>
      <c r="AG9" s="184">
        <v>15400.3</v>
      </c>
      <c r="AH9" s="195">
        <v>15473.1</v>
      </c>
      <c r="AI9" s="204">
        <v>15554.5</v>
      </c>
      <c r="AJ9" s="90">
        <v>15621.9</v>
      </c>
      <c r="AK9" s="104">
        <v>15677.7</v>
      </c>
      <c r="AL9" s="1231">
        <v>15705.8</v>
      </c>
    </row>
    <row r="10" spans="1:38" x14ac:dyDescent="0.35">
      <c r="A10" s="135">
        <v>3</v>
      </c>
      <c r="B10" s="169" t="s">
        <v>1748</v>
      </c>
      <c r="C10" s="144">
        <v>11271.8</v>
      </c>
      <c r="D10" s="144">
        <v>11360.7</v>
      </c>
      <c r="E10" s="145">
        <v>11450.6</v>
      </c>
      <c r="F10" s="145">
        <v>11420.4</v>
      </c>
      <c r="G10" s="145">
        <v>11408.7</v>
      </c>
      <c r="H10" s="145">
        <v>11412.7</v>
      </c>
      <c r="I10" s="144">
        <v>11494.7</v>
      </c>
      <c r="J10" s="145">
        <v>11568.5</v>
      </c>
      <c r="K10" s="144">
        <v>11633.1</v>
      </c>
      <c r="L10" s="113">
        <v>11680.1</v>
      </c>
      <c r="M10" s="121">
        <v>11730.8</v>
      </c>
      <c r="N10" s="159">
        <v>11788.9</v>
      </c>
      <c r="O10" s="85">
        <v>11855.6</v>
      </c>
      <c r="P10" s="121">
        <v>11921.2</v>
      </c>
      <c r="Q10" s="159">
        <v>11975.7</v>
      </c>
      <c r="R10" s="113">
        <v>11950.9</v>
      </c>
      <c r="S10" s="121">
        <v>11965.4</v>
      </c>
      <c r="T10" s="197">
        <v>12011.8</v>
      </c>
      <c r="U10" s="85">
        <v>12129</v>
      </c>
      <c r="V10" s="121">
        <v>12263.3</v>
      </c>
      <c r="W10" s="197">
        <v>12360.5</v>
      </c>
      <c r="X10" s="113">
        <v>12321.5</v>
      </c>
      <c r="Y10" s="121">
        <v>12352.2</v>
      </c>
      <c r="Z10" s="197">
        <v>12355.3</v>
      </c>
      <c r="AA10" s="113">
        <v>12365.5</v>
      </c>
      <c r="AB10" s="121">
        <v>12406.1</v>
      </c>
      <c r="AC10" s="127">
        <v>12440.6</v>
      </c>
      <c r="AD10" s="113">
        <v>12528.7</v>
      </c>
      <c r="AE10" s="121">
        <v>12614.8</v>
      </c>
      <c r="AF10" s="204">
        <v>12675.1</v>
      </c>
      <c r="AG10" s="184">
        <v>12705.8</v>
      </c>
      <c r="AH10" s="195">
        <v>12764.2</v>
      </c>
      <c r="AI10" s="204">
        <v>12831</v>
      </c>
      <c r="AJ10" s="90">
        <v>12884.9</v>
      </c>
      <c r="AK10" s="104">
        <v>12928.1</v>
      </c>
      <c r="AL10" s="1231">
        <v>12945.3</v>
      </c>
    </row>
    <row r="11" spans="1:38" x14ac:dyDescent="0.35">
      <c r="A11" s="135">
        <v>4</v>
      </c>
      <c r="B11" s="173" t="s">
        <v>1749</v>
      </c>
      <c r="C11" s="146">
        <v>9656.4</v>
      </c>
      <c r="D11" s="146">
        <v>9735.9</v>
      </c>
      <c r="E11" s="147">
        <v>9819.5</v>
      </c>
      <c r="F11" s="147">
        <v>9785.7999999999993</v>
      </c>
      <c r="G11" s="147">
        <v>9763.9</v>
      </c>
      <c r="H11" s="147">
        <v>9762.2999999999993</v>
      </c>
      <c r="I11" s="146">
        <v>9818.2999999999993</v>
      </c>
      <c r="J11" s="147">
        <v>9882.7999999999993</v>
      </c>
      <c r="K11" s="146">
        <v>9937.7000000000007</v>
      </c>
      <c r="L11" s="114">
        <v>9976.9</v>
      </c>
      <c r="M11" s="122">
        <v>10019.799999999999</v>
      </c>
      <c r="N11" s="160">
        <v>10070.4</v>
      </c>
      <c r="O11" s="86">
        <v>10117.4</v>
      </c>
      <c r="P11" s="122">
        <v>10167.9</v>
      </c>
      <c r="Q11" s="160">
        <v>10207.1</v>
      </c>
      <c r="R11" s="114">
        <v>10171.700000000001</v>
      </c>
      <c r="S11" s="122">
        <v>10179.4</v>
      </c>
      <c r="T11" s="205">
        <v>10214.799999999999</v>
      </c>
      <c r="U11" s="86">
        <v>10325.4</v>
      </c>
      <c r="V11" s="122">
        <v>10447.5</v>
      </c>
      <c r="W11" s="205">
        <v>10531.2</v>
      </c>
      <c r="X11" s="114">
        <v>10485.8</v>
      </c>
      <c r="Y11" s="122">
        <v>10509.4</v>
      </c>
      <c r="Z11" s="205">
        <v>10504</v>
      </c>
      <c r="AA11" s="114">
        <v>10506.5</v>
      </c>
      <c r="AB11" s="122">
        <v>10539.4</v>
      </c>
      <c r="AC11" s="128">
        <v>10566.5</v>
      </c>
      <c r="AD11" s="114">
        <v>10642.4</v>
      </c>
      <c r="AE11" s="122">
        <v>10721</v>
      </c>
      <c r="AF11" s="203">
        <v>10772.2</v>
      </c>
      <c r="AG11" s="90">
        <v>10794</v>
      </c>
      <c r="AH11" s="115">
        <v>10846.4</v>
      </c>
      <c r="AI11" s="203">
        <v>10906.7</v>
      </c>
      <c r="AJ11" s="90">
        <v>10949.6</v>
      </c>
      <c r="AK11" s="104">
        <v>10986.5</v>
      </c>
      <c r="AL11" s="1231">
        <v>10992.9</v>
      </c>
    </row>
    <row r="12" spans="1:38" x14ac:dyDescent="0.35">
      <c r="A12" s="135">
        <v>5</v>
      </c>
      <c r="B12" s="170" t="s">
        <v>1750</v>
      </c>
      <c r="C12" s="146">
        <v>1767.7</v>
      </c>
      <c r="D12" s="146">
        <v>1780.1</v>
      </c>
      <c r="E12" s="147">
        <v>1797.4</v>
      </c>
      <c r="F12" s="147">
        <v>1795.8</v>
      </c>
      <c r="G12" s="147">
        <v>1793.7</v>
      </c>
      <c r="H12" s="147">
        <v>1789.6</v>
      </c>
      <c r="I12" s="146">
        <v>1804.5</v>
      </c>
      <c r="J12" s="147">
        <v>1806.7</v>
      </c>
      <c r="K12" s="146">
        <v>1818.5</v>
      </c>
      <c r="L12" s="114">
        <v>1828.4</v>
      </c>
      <c r="M12" s="122">
        <v>1836.7</v>
      </c>
      <c r="N12" s="160">
        <v>1847.2</v>
      </c>
      <c r="O12" s="86">
        <v>1859</v>
      </c>
      <c r="P12" s="122">
        <v>1867.1</v>
      </c>
      <c r="Q12" s="160">
        <v>1876.1</v>
      </c>
      <c r="R12" s="114">
        <v>1875.9</v>
      </c>
      <c r="S12" s="122">
        <v>1879.8</v>
      </c>
      <c r="T12" s="205">
        <v>1881.1</v>
      </c>
      <c r="U12" s="86">
        <v>1904</v>
      </c>
      <c r="V12" s="122">
        <v>1929.1</v>
      </c>
      <c r="W12" s="205">
        <v>1951.7</v>
      </c>
      <c r="X12" s="114">
        <v>1920.1</v>
      </c>
      <c r="Y12" s="122">
        <v>1907.4</v>
      </c>
      <c r="Z12" s="205">
        <v>1904.4</v>
      </c>
      <c r="AA12" s="114">
        <v>1910.1</v>
      </c>
      <c r="AB12" s="122">
        <v>1920.6</v>
      </c>
      <c r="AC12" s="128">
        <v>1929.1</v>
      </c>
      <c r="AD12" s="114">
        <v>1926.8</v>
      </c>
      <c r="AE12" s="122">
        <v>1937.7</v>
      </c>
      <c r="AF12" s="203">
        <v>1945.4</v>
      </c>
      <c r="AG12" s="90">
        <v>1949.2</v>
      </c>
      <c r="AH12" s="115">
        <v>1961.7</v>
      </c>
      <c r="AI12" s="203">
        <v>1975.1</v>
      </c>
      <c r="AJ12" s="90">
        <v>1973.4</v>
      </c>
      <c r="AK12" s="104">
        <v>1980</v>
      </c>
      <c r="AL12" s="1231">
        <v>1984.5</v>
      </c>
    </row>
    <row r="13" spans="1:38" x14ac:dyDescent="0.35">
      <c r="A13" s="135">
        <v>6</v>
      </c>
      <c r="B13" s="182" t="s">
        <v>1751</v>
      </c>
      <c r="C13" s="146">
        <v>1046.3</v>
      </c>
      <c r="D13" s="146">
        <v>1054.4000000000001</v>
      </c>
      <c r="E13" s="147">
        <v>1064.8</v>
      </c>
      <c r="F13" s="147">
        <v>1061.4000000000001</v>
      </c>
      <c r="G13" s="147">
        <v>1055.5</v>
      </c>
      <c r="H13" s="147">
        <v>1046.9000000000001</v>
      </c>
      <c r="I13" s="146">
        <v>1066</v>
      </c>
      <c r="J13" s="147">
        <v>1064.3</v>
      </c>
      <c r="K13" s="146">
        <v>1071.2</v>
      </c>
      <c r="L13" s="114">
        <v>1077.3</v>
      </c>
      <c r="M13" s="122">
        <v>1079.5</v>
      </c>
      <c r="N13" s="160">
        <v>1088.5999999999999</v>
      </c>
      <c r="O13" s="86">
        <v>1096.9000000000001</v>
      </c>
      <c r="P13" s="122">
        <v>1102.2</v>
      </c>
      <c r="Q13" s="160">
        <v>1108.5999999999999</v>
      </c>
      <c r="R13" s="114">
        <v>1103.3</v>
      </c>
      <c r="S13" s="122">
        <v>1103.3</v>
      </c>
      <c r="T13" s="205">
        <v>1101</v>
      </c>
      <c r="U13" s="86">
        <v>1108.9000000000001</v>
      </c>
      <c r="V13" s="122">
        <v>1124</v>
      </c>
      <c r="W13" s="205">
        <v>1136.7</v>
      </c>
      <c r="X13" s="114">
        <v>1112.5</v>
      </c>
      <c r="Y13" s="122">
        <v>1106.2</v>
      </c>
      <c r="Z13" s="205">
        <v>1102.7</v>
      </c>
      <c r="AA13" s="114">
        <v>1108.0999999999999</v>
      </c>
      <c r="AB13" s="122">
        <v>1112.9000000000001</v>
      </c>
      <c r="AC13" s="128">
        <v>1115.4000000000001</v>
      </c>
      <c r="AD13" s="114">
        <v>1107.2</v>
      </c>
      <c r="AE13" s="122">
        <v>1113.0999999999999</v>
      </c>
      <c r="AF13" s="203">
        <v>1117</v>
      </c>
      <c r="AG13" s="90">
        <v>1119.4000000000001</v>
      </c>
      <c r="AH13" s="115">
        <v>1131.2</v>
      </c>
      <c r="AI13" s="203">
        <v>1144.3</v>
      </c>
      <c r="AJ13" s="90">
        <v>1138.0999999999999</v>
      </c>
      <c r="AK13" s="104">
        <v>1144</v>
      </c>
      <c r="AL13" s="1231">
        <v>1143.5</v>
      </c>
    </row>
    <row r="14" spans="1:38" x14ac:dyDescent="0.35">
      <c r="A14" s="135">
        <v>7</v>
      </c>
      <c r="B14" s="170" t="s">
        <v>1752</v>
      </c>
      <c r="C14" s="146">
        <v>7888.7</v>
      </c>
      <c r="D14" s="146">
        <v>7955.8</v>
      </c>
      <c r="E14" s="147">
        <v>8022.1</v>
      </c>
      <c r="F14" s="147">
        <v>7990</v>
      </c>
      <c r="G14" s="147">
        <v>7970.1</v>
      </c>
      <c r="H14" s="147">
        <v>7972.7</v>
      </c>
      <c r="I14" s="146">
        <v>8013.8</v>
      </c>
      <c r="J14" s="147">
        <v>8076.2</v>
      </c>
      <c r="K14" s="146">
        <v>8119.2</v>
      </c>
      <c r="L14" s="114">
        <v>8148.5</v>
      </c>
      <c r="M14" s="122">
        <v>8183.1</v>
      </c>
      <c r="N14" s="160">
        <v>8223.2000000000007</v>
      </c>
      <c r="O14" s="86">
        <v>8258.4</v>
      </c>
      <c r="P14" s="122">
        <v>8300.7999999999993</v>
      </c>
      <c r="Q14" s="160">
        <v>8331</v>
      </c>
      <c r="R14" s="114">
        <v>8295.7000000000007</v>
      </c>
      <c r="S14" s="122">
        <v>8299.6</v>
      </c>
      <c r="T14" s="205">
        <v>8333.7000000000007</v>
      </c>
      <c r="U14" s="86">
        <v>8421.4</v>
      </c>
      <c r="V14" s="122">
        <v>8518.5</v>
      </c>
      <c r="W14" s="205">
        <v>8579.5</v>
      </c>
      <c r="X14" s="114">
        <v>8565.7000000000007</v>
      </c>
      <c r="Y14" s="122">
        <v>8601.9</v>
      </c>
      <c r="Z14" s="205">
        <v>8599.6</v>
      </c>
      <c r="AA14" s="114">
        <v>8596.5</v>
      </c>
      <c r="AB14" s="122">
        <v>8618.7999999999993</v>
      </c>
      <c r="AC14" s="128">
        <v>8637.4</v>
      </c>
      <c r="AD14" s="114">
        <v>8715.5</v>
      </c>
      <c r="AE14" s="122">
        <v>8783.2999999999993</v>
      </c>
      <c r="AF14" s="203">
        <v>8826.7999999999993</v>
      </c>
      <c r="AG14" s="90">
        <v>8844.9</v>
      </c>
      <c r="AH14" s="115">
        <v>8884.7000000000007</v>
      </c>
      <c r="AI14" s="203">
        <v>8931.6</v>
      </c>
      <c r="AJ14" s="90">
        <v>8976.2999999999993</v>
      </c>
      <c r="AK14" s="104">
        <v>9006.5</v>
      </c>
      <c r="AL14" s="1231">
        <v>9008.4</v>
      </c>
    </row>
    <row r="15" spans="1:38" x14ac:dyDescent="0.35">
      <c r="A15" s="135">
        <v>8</v>
      </c>
      <c r="B15" s="188" t="s">
        <v>1753</v>
      </c>
      <c r="C15" s="146">
        <v>1734</v>
      </c>
      <c r="D15" s="146">
        <v>1748.4</v>
      </c>
      <c r="E15" s="147">
        <v>1762.3</v>
      </c>
      <c r="F15" s="147">
        <v>1757.7</v>
      </c>
      <c r="G15" s="147">
        <v>1749.7</v>
      </c>
      <c r="H15" s="147">
        <v>1745.6</v>
      </c>
      <c r="I15" s="146">
        <v>1778.8</v>
      </c>
      <c r="J15" s="147">
        <v>1795.8</v>
      </c>
      <c r="K15" s="146">
        <v>1796</v>
      </c>
      <c r="L15" s="114">
        <v>1797.8</v>
      </c>
      <c r="M15" s="122">
        <v>1793.1</v>
      </c>
      <c r="N15" s="160">
        <v>1804.5</v>
      </c>
      <c r="O15" s="86">
        <v>1816.7</v>
      </c>
      <c r="P15" s="122">
        <v>1828</v>
      </c>
      <c r="Q15" s="160">
        <v>1837.3</v>
      </c>
      <c r="R15" s="114">
        <v>1825.7</v>
      </c>
      <c r="S15" s="122">
        <v>1822.5</v>
      </c>
      <c r="T15" s="205">
        <v>1833.5</v>
      </c>
      <c r="U15" s="86">
        <v>1842.8</v>
      </c>
      <c r="V15" s="122">
        <v>1865</v>
      </c>
      <c r="W15" s="205">
        <v>1867.7</v>
      </c>
      <c r="X15" s="114">
        <v>1863.4</v>
      </c>
      <c r="Y15" s="122">
        <v>1873.4</v>
      </c>
      <c r="Z15" s="205">
        <v>1874.4</v>
      </c>
      <c r="AA15" s="114">
        <v>1866</v>
      </c>
      <c r="AB15" s="122">
        <v>1870.2</v>
      </c>
      <c r="AC15" s="128">
        <v>1867.4</v>
      </c>
      <c r="AD15" s="114">
        <v>1882.5</v>
      </c>
      <c r="AE15" s="122">
        <v>1880.7</v>
      </c>
      <c r="AF15" s="203">
        <v>1892.2</v>
      </c>
      <c r="AG15" s="90">
        <v>1894.4</v>
      </c>
      <c r="AH15" s="115">
        <v>1910.4</v>
      </c>
      <c r="AI15" s="203">
        <v>1915.6</v>
      </c>
      <c r="AJ15" s="90">
        <v>1928.2</v>
      </c>
      <c r="AK15" s="104">
        <v>1930.7</v>
      </c>
      <c r="AL15" s="1231">
        <v>1928</v>
      </c>
    </row>
    <row r="16" spans="1:38" x14ac:dyDescent="0.35">
      <c r="A16" s="135">
        <v>9</v>
      </c>
      <c r="B16" s="188" t="s">
        <v>1754</v>
      </c>
      <c r="C16" s="146">
        <v>6154.8</v>
      </c>
      <c r="D16" s="146">
        <v>6207.4</v>
      </c>
      <c r="E16" s="147">
        <v>6259.8</v>
      </c>
      <c r="F16" s="147">
        <v>6232.2</v>
      </c>
      <c r="G16" s="147">
        <v>6220.4</v>
      </c>
      <c r="H16" s="147">
        <v>6227.2</v>
      </c>
      <c r="I16" s="146">
        <v>6235</v>
      </c>
      <c r="J16" s="147">
        <v>6280.4</v>
      </c>
      <c r="K16" s="146">
        <v>6323.1</v>
      </c>
      <c r="L16" s="114">
        <v>6350.7</v>
      </c>
      <c r="M16" s="122">
        <v>6390</v>
      </c>
      <c r="N16" s="160">
        <v>6418.7</v>
      </c>
      <c r="O16" s="86">
        <v>6441.7</v>
      </c>
      <c r="P16" s="122">
        <v>6472.8</v>
      </c>
      <c r="Q16" s="160">
        <v>6493.8</v>
      </c>
      <c r="R16" s="114">
        <v>6470.1</v>
      </c>
      <c r="S16" s="122">
        <v>6477.1</v>
      </c>
      <c r="T16" s="205">
        <v>6500.2</v>
      </c>
      <c r="U16" s="86">
        <v>6578.6</v>
      </c>
      <c r="V16" s="122">
        <v>6653.4</v>
      </c>
      <c r="W16" s="205">
        <v>6711.8</v>
      </c>
      <c r="X16" s="114">
        <v>6702.3</v>
      </c>
      <c r="Y16" s="122">
        <v>6728.5</v>
      </c>
      <c r="Z16" s="205">
        <v>6725.2</v>
      </c>
      <c r="AA16" s="114">
        <v>6730.5</v>
      </c>
      <c r="AB16" s="122">
        <v>6748.6</v>
      </c>
      <c r="AC16" s="128">
        <v>6770.1</v>
      </c>
      <c r="AD16" s="114">
        <v>6833.1</v>
      </c>
      <c r="AE16" s="122">
        <v>6902.6</v>
      </c>
      <c r="AF16" s="203">
        <v>6934.6</v>
      </c>
      <c r="AG16" s="90">
        <v>6950.5</v>
      </c>
      <c r="AH16" s="115">
        <v>6974.4</v>
      </c>
      <c r="AI16" s="203">
        <v>7016</v>
      </c>
      <c r="AJ16" s="90">
        <v>7048.1</v>
      </c>
      <c r="AK16" s="104">
        <v>7075.8</v>
      </c>
      <c r="AL16" s="1231">
        <v>7080.4</v>
      </c>
    </row>
    <row r="17" spans="1:40" ht="16.399999999999999" customHeight="1" x14ac:dyDescent="0.35">
      <c r="A17" s="135">
        <v>10</v>
      </c>
      <c r="B17" s="173" t="s">
        <v>1755</v>
      </c>
      <c r="C17" s="146">
        <v>1615.4</v>
      </c>
      <c r="D17" s="146">
        <v>1624.8</v>
      </c>
      <c r="E17" s="147">
        <v>1631.1</v>
      </c>
      <c r="F17" s="147">
        <v>1634.6</v>
      </c>
      <c r="G17" s="147">
        <v>1644.8</v>
      </c>
      <c r="H17" s="147">
        <v>1650.4</v>
      </c>
      <c r="I17" s="146">
        <v>1676.4</v>
      </c>
      <c r="J17" s="147">
        <v>1685.7</v>
      </c>
      <c r="K17" s="146">
        <v>1695.5</v>
      </c>
      <c r="L17" s="114">
        <v>1703.2</v>
      </c>
      <c r="M17" s="122">
        <v>1711</v>
      </c>
      <c r="N17" s="160">
        <v>1718.6</v>
      </c>
      <c r="O17" s="86">
        <v>1738.2</v>
      </c>
      <c r="P17" s="122">
        <v>1753.3</v>
      </c>
      <c r="Q17" s="160">
        <v>1768.6</v>
      </c>
      <c r="R17" s="114">
        <v>1779.3</v>
      </c>
      <c r="S17" s="122">
        <v>1786</v>
      </c>
      <c r="T17" s="205">
        <v>1797</v>
      </c>
      <c r="U17" s="86">
        <v>1803.6</v>
      </c>
      <c r="V17" s="122">
        <v>1815.8</v>
      </c>
      <c r="W17" s="205">
        <v>1829.3</v>
      </c>
      <c r="X17" s="114">
        <v>1835.7</v>
      </c>
      <c r="Y17" s="122">
        <v>1842.9</v>
      </c>
      <c r="Z17" s="205">
        <v>1851.3</v>
      </c>
      <c r="AA17" s="114">
        <v>1859</v>
      </c>
      <c r="AB17" s="122">
        <v>1866.6</v>
      </c>
      <c r="AC17" s="128">
        <v>1874.1</v>
      </c>
      <c r="AD17" s="114">
        <v>1886.3</v>
      </c>
      <c r="AE17" s="122">
        <v>1893.8</v>
      </c>
      <c r="AF17" s="203">
        <v>1902.9</v>
      </c>
      <c r="AG17" s="90">
        <v>1911.8</v>
      </c>
      <c r="AH17" s="115">
        <v>1917.8</v>
      </c>
      <c r="AI17" s="203">
        <v>1924.2</v>
      </c>
      <c r="AJ17" s="90">
        <v>1935.3</v>
      </c>
      <c r="AK17" s="104">
        <v>1941.6</v>
      </c>
      <c r="AL17" s="1231">
        <v>1952.5</v>
      </c>
    </row>
    <row r="18" spans="1:40" ht="16.399999999999999" customHeight="1" x14ac:dyDescent="0.35">
      <c r="A18" s="135">
        <v>11</v>
      </c>
      <c r="B18" s="169" t="s">
        <v>1756</v>
      </c>
      <c r="C18" s="144">
        <v>2382.3000000000002</v>
      </c>
      <c r="D18" s="144">
        <v>2394.1</v>
      </c>
      <c r="E18" s="145">
        <v>2405.5</v>
      </c>
      <c r="F18" s="145">
        <v>2408.5</v>
      </c>
      <c r="G18" s="145">
        <v>2414.1</v>
      </c>
      <c r="H18" s="145">
        <v>2420</v>
      </c>
      <c r="I18" s="144">
        <v>2390.6</v>
      </c>
      <c r="J18" s="145">
        <v>2400.1999999999998</v>
      </c>
      <c r="K18" s="144">
        <v>2408.6</v>
      </c>
      <c r="L18" s="113">
        <v>2412.6</v>
      </c>
      <c r="M18" s="121">
        <v>2420.3000000000002</v>
      </c>
      <c r="N18" s="159">
        <v>2429.6</v>
      </c>
      <c r="O18" s="85">
        <v>2440.8000000000002</v>
      </c>
      <c r="P18" s="121">
        <v>2451.5</v>
      </c>
      <c r="Q18" s="159">
        <v>2461.4</v>
      </c>
      <c r="R18" s="113">
        <v>2465.3000000000002</v>
      </c>
      <c r="S18" s="121">
        <v>2471.1999999999998</v>
      </c>
      <c r="T18" s="197">
        <v>2479.8000000000002</v>
      </c>
      <c r="U18" s="85">
        <v>2557.6</v>
      </c>
      <c r="V18" s="121">
        <v>2573.1999999999998</v>
      </c>
      <c r="W18" s="197">
        <v>2587.6</v>
      </c>
      <c r="X18" s="113">
        <v>2592.6</v>
      </c>
      <c r="Y18" s="121">
        <v>2602.9</v>
      </c>
      <c r="Z18" s="197">
        <v>2612.3000000000002</v>
      </c>
      <c r="AA18" s="113">
        <v>2621.5</v>
      </c>
      <c r="AB18" s="121">
        <v>2632.3</v>
      </c>
      <c r="AC18" s="127">
        <v>2642.2</v>
      </c>
      <c r="AD18" s="113">
        <v>2656.1</v>
      </c>
      <c r="AE18" s="121">
        <v>2668.7</v>
      </c>
      <c r="AF18" s="204">
        <v>2679.1</v>
      </c>
      <c r="AG18" s="184">
        <v>2694.5</v>
      </c>
      <c r="AH18" s="195">
        <v>2708.9</v>
      </c>
      <c r="AI18" s="204">
        <v>2723.5</v>
      </c>
      <c r="AJ18" s="90">
        <v>2737.1</v>
      </c>
      <c r="AK18" s="104">
        <v>2749.6</v>
      </c>
      <c r="AL18" s="1231">
        <v>2760.4</v>
      </c>
    </row>
    <row r="19" spans="1:40" ht="16.5" customHeight="1" x14ac:dyDescent="0.35">
      <c r="A19" s="136">
        <v>12</v>
      </c>
      <c r="B19" s="99" t="s">
        <v>1757</v>
      </c>
      <c r="C19" s="146">
        <v>1614.2</v>
      </c>
      <c r="D19" s="146">
        <v>1620.2</v>
      </c>
      <c r="E19" s="147">
        <v>1625.6</v>
      </c>
      <c r="F19" s="147">
        <v>1630.6</v>
      </c>
      <c r="G19" s="147">
        <v>1637.1</v>
      </c>
      <c r="H19" s="147">
        <v>1642.9</v>
      </c>
      <c r="I19" s="146">
        <v>1594</v>
      </c>
      <c r="J19" s="147">
        <v>1599</v>
      </c>
      <c r="K19" s="146">
        <v>1603.5</v>
      </c>
      <c r="L19" s="114">
        <v>1604.7</v>
      </c>
      <c r="M19" s="122">
        <v>1609.4</v>
      </c>
      <c r="N19" s="160">
        <v>1615</v>
      </c>
      <c r="O19" s="86">
        <v>1622</v>
      </c>
      <c r="P19" s="122">
        <v>1628.6</v>
      </c>
      <c r="Q19" s="160">
        <v>1635</v>
      </c>
      <c r="R19" s="114">
        <v>1640.6</v>
      </c>
      <c r="S19" s="122">
        <v>1645.5</v>
      </c>
      <c r="T19" s="205">
        <v>1650.9</v>
      </c>
      <c r="U19" s="86">
        <v>1712.3</v>
      </c>
      <c r="V19" s="122">
        <v>1722.8</v>
      </c>
      <c r="W19" s="205">
        <v>1733</v>
      </c>
      <c r="X19" s="114">
        <v>1741.4</v>
      </c>
      <c r="Y19" s="122">
        <v>1749.9</v>
      </c>
      <c r="Z19" s="205">
        <v>1759.5</v>
      </c>
      <c r="AA19" s="114">
        <v>1768.4</v>
      </c>
      <c r="AB19" s="122">
        <v>1776.8</v>
      </c>
      <c r="AC19" s="128">
        <v>1784.6</v>
      </c>
      <c r="AD19" s="114">
        <v>1792.7</v>
      </c>
      <c r="AE19" s="122">
        <v>1799.5</v>
      </c>
      <c r="AF19" s="203">
        <v>1805.8</v>
      </c>
      <c r="AG19" s="90">
        <v>1816.9</v>
      </c>
      <c r="AH19" s="115">
        <v>1827.3</v>
      </c>
      <c r="AI19" s="203">
        <v>1837.5</v>
      </c>
      <c r="AJ19" s="90">
        <v>1847.7</v>
      </c>
      <c r="AK19" s="104">
        <v>1857.5</v>
      </c>
      <c r="AL19" s="1231">
        <v>1867.5</v>
      </c>
    </row>
    <row r="20" spans="1:40" x14ac:dyDescent="0.35">
      <c r="A20" s="136">
        <v>13</v>
      </c>
      <c r="B20" s="99" t="s">
        <v>1758</v>
      </c>
      <c r="C20" s="146">
        <v>768.1</v>
      </c>
      <c r="D20" s="146">
        <v>774</v>
      </c>
      <c r="E20" s="147">
        <v>779.9</v>
      </c>
      <c r="F20" s="147">
        <v>777.9</v>
      </c>
      <c r="G20" s="147">
        <v>777</v>
      </c>
      <c r="H20" s="147">
        <v>777.1</v>
      </c>
      <c r="I20" s="146">
        <v>796.6</v>
      </c>
      <c r="J20" s="147">
        <v>801.1</v>
      </c>
      <c r="K20" s="146">
        <v>805.1</v>
      </c>
      <c r="L20" s="114">
        <v>807.9</v>
      </c>
      <c r="M20" s="122">
        <v>811</v>
      </c>
      <c r="N20" s="160">
        <v>814.6</v>
      </c>
      <c r="O20" s="86">
        <v>818.7</v>
      </c>
      <c r="P20" s="122">
        <v>822.9</v>
      </c>
      <c r="Q20" s="160">
        <v>826.4</v>
      </c>
      <c r="R20" s="114">
        <v>824.7</v>
      </c>
      <c r="S20" s="122">
        <v>825.7</v>
      </c>
      <c r="T20" s="205">
        <v>828.9</v>
      </c>
      <c r="U20" s="86">
        <v>845.2</v>
      </c>
      <c r="V20" s="122">
        <v>850.4</v>
      </c>
      <c r="W20" s="205">
        <v>854.6</v>
      </c>
      <c r="X20" s="114">
        <v>851.3</v>
      </c>
      <c r="Y20" s="122">
        <v>853</v>
      </c>
      <c r="Z20" s="205">
        <v>852.7</v>
      </c>
      <c r="AA20" s="114">
        <v>853</v>
      </c>
      <c r="AB20" s="122">
        <v>855.5</v>
      </c>
      <c r="AC20" s="128">
        <v>857.6</v>
      </c>
      <c r="AD20" s="114">
        <v>863.4</v>
      </c>
      <c r="AE20" s="122">
        <v>869.3</v>
      </c>
      <c r="AF20" s="203">
        <v>873.3</v>
      </c>
      <c r="AG20" s="90">
        <v>877.6</v>
      </c>
      <c r="AH20" s="115">
        <v>881.6</v>
      </c>
      <c r="AI20" s="203">
        <v>886</v>
      </c>
      <c r="AJ20" s="90">
        <v>889.3</v>
      </c>
      <c r="AK20" s="104">
        <v>892.1</v>
      </c>
      <c r="AL20" s="1231">
        <v>892.9</v>
      </c>
    </row>
    <row r="21" spans="1:40" ht="16.399999999999999" customHeight="1" x14ac:dyDescent="0.35">
      <c r="A21" s="136">
        <v>14</v>
      </c>
      <c r="B21" s="212" t="s">
        <v>1759</v>
      </c>
      <c r="C21" s="144">
        <v>1846.5</v>
      </c>
      <c r="D21" s="144">
        <v>1869.7</v>
      </c>
      <c r="E21" s="145">
        <v>1874.4</v>
      </c>
      <c r="F21" s="145">
        <v>1877.2</v>
      </c>
      <c r="G21" s="145">
        <v>1882.7</v>
      </c>
      <c r="H21" s="145">
        <v>1888.6</v>
      </c>
      <c r="I21" s="144">
        <v>1832.2</v>
      </c>
      <c r="J21" s="145">
        <v>1828.6</v>
      </c>
      <c r="K21" s="144">
        <v>1821.5</v>
      </c>
      <c r="L21" s="113">
        <v>1821.1</v>
      </c>
      <c r="M21" s="121">
        <v>1821.3</v>
      </c>
      <c r="N21" s="159">
        <v>1829.9</v>
      </c>
      <c r="O21" s="85">
        <v>1839.7</v>
      </c>
      <c r="P21" s="121">
        <v>1861.1</v>
      </c>
      <c r="Q21" s="159">
        <v>1877.8</v>
      </c>
      <c r="R21" s="113">
        <v>1880.2</v>
      </c>
      <c r="S21" s="121">
        <v>1886.2</v>
      </c>
      <c r="T21" s="197">
        <v>1881.5</v>
      </c>
      <c r="U21" s="85">
        <v>1969.7</v>
      </c>
      <c r="V21" s="121">
        <v>1971.2</v>
      </c>
      <c r="W21" s="197">
        <v>1975.6</v>
      </c>
      <c r="X21" s="113">
        <v>1995.2</v>
      </c>
      <c r="Y21" s="121">
        <v>2003</v>
      </c>
      <c r="Z21" s="197">
        <v>2008.7</v>
      </c>
      <c r="AA21" s="113">
        <v>2014.2</v>
      </c>
      <c r="AB21" s="121">
        <v>2014.9</v>
      </c>
      <c r="AC21" s="127">
        <v>2011.4</v>
      </c>
      <c r="AD21" s="113">
        <v>2024.2</v>
      </c>
      <c r="AE21" s="121">
        <v>2033.9</v>
      </c>
      <c r="AF21" s="204">
        <v>2048.4</v>
      </c>
      <c r="AG21" s="184">
        <v>2040.3</v>
      </c>
      <c r="AH21" s="195">
        <v>2043.2</v>
      </c>
      <c r="AI21" s="204">
        <v>2076.1</v>
      </c>
      <c r="AJ21" s="90">
        <v>2105.9</v>
      </c>
      <c r="AK21" s="104">
        <v>2051.1</v>
      </c>
      <c r="AL21" s="1231">
        <v>2054.4</v>
      </c>
    </row>
    <row r="22" spans="1:40" x14ac:dyDescent="0.35">
      <c r="A22" s="135">
        <v>15</v>
      </c>
      <c r="B22" s="45" t="s">
        <v>1760</v>
      </c>
      <c r="C22" s="146">
        <v>94.8</v>
      </c>
      <c r="D22" s="146">
        <v>95.9</v>
      </c>
      <c r="E22" s="147">
        <v>97.1</v>
      </c>
      <c r="F22" s="147">
        <v>99</v>
      </c>
      <c r="G22" s="147">
        <v>100.9</v>
      </c>
      <c r="H22" s="147">
        <v>102.8</v>
      </c>
      <c r="I22" s="146">
        <v>78.7</v>
      </c>
      <c r="J22" s="147">
        <v>71.2</v>
      </c>
      <c r="K22" s="146">
        <v>63.8</v>
      </c>
      <c r="L22" s="114">
        <v>61</v>
      </c>
      <c r="M22" s="122">
        <v>58.2</v>
      </c>
      <c r="N22" s="160">
        <v>55.5</v>
      </c>
      <c r="O22" s="86">
        <v>52.7</v>
      </c>
      <c r="P22" s="122">
        <v>49.9</v>
      </c>
      <c r="Q22" s="160">
        <v>47.2</v>
      </c>
      <c r="R22" s="114">
        <v>42.6</v>
      </c>
      <c r="S22" s="122">
        <v>38</v>
      </c>
      <c r="T22" s="205">
        <v>33.4</v>
      </c>
      <c r="U22" s="86">
        <v>39.5</v>
      </c>
      <c r="V22" s="122">
        <v>38.1</v>
      </c>
      <c r="W22" s="205">
        <v>37.9</v>
      </c>
      <c r="X22" s="114">
        <v>39.5</v>
      </c>
      <c r="Y22" s="122">
        <v>41.1</v>
      </c>
      <c r="Z22" s="205">
        <v>42.6</v>
      </c>
      <c r="AA22" s="114">
        <v>45.9</v>
      </c>
      <c r="AB22" s="122">
        <v>49.2</v>
      </c>
      <c r="AC22" s="128">
        <v>44.1</v>
      </c>
      <c r="AD22" s="114">
        <v>49.4</v>
      </c>
      <c r="AE22" s="122">
        <v>54.7</v>
      </c>
      <c r="AF22" s="203">
        <v>60.1</v>
      </c>
      <c r="AG22" s="90">
        <v>53</v>
      </c>
      <c r="AH22" s="115">
        <v>45.9</v>
      </c>
      <c r="AI22" s="203">
        <v>69.5</v>
      </c>
      <c r="AJ22" s="90">
        <v>80.5</v>
      </c>
      <c r="AK22" s="104">
        <v>37.200000000000003</v>
      </c>
      <c r="AL22" s="1231">
        <v>41.8</v>
      </c>
    </row>
    <row r="23" spans="1:40" x14ac:dyDescent="0.35">
      <c r="A23" s="135">
        <v>16</v>
      </c>
      <c r="B23" s="45" t="s">
        <v>1761</v>
      </c>
      <c r="C23" s="146">
        <v>1751.7</v>
      </c>
      <c r="D23" s="146">
        <v>1773.7</v>
      </c>
      <c r="E23" s="147">
        <v>1777.4</v>
      </c>
      <c r="F23" s="147">
        <v>1778.3</v>
      </c>
      <c r="G23" s="147">
        <v>1781.9</v>
      </c>
      <c r="H23" s="147">
        <v>1785.8</v>
      </c>
      <c r="I23" s="146">
        <v>1753.5</v>
      </c>
      <c r="J23" s="147">
        <v>1757.4</v>
      </c>
      <c r="K23" s="146">
        <v>1757.7</v>
      </c>
      <c r="L23" s="114">
        <v>1760.1</v>
      </c>
      <c r="M23" s="122">
        <v>1763.1</v>
      </c>
      <c r="N23" s="160">
        <v>1774.4</v>
      </c>
      <c r="O23" s="86">
        <v>1787</v>
      </c>
      <c r="P23" s="122">
        <v>1811.2</v>
      </c>
      <c r="Q23" s="160">
        <v>1830.6</v>
      </c>
      <c r="R23" s="114">
        <v>1837.6</v>
      </c>
      <c r="S23" s="122">
        <v>1848.2</v>
      </c>
      <c r="T23" s="205">
        <v>1848.1</v>
      </c>
      <c r="U23" s="86">
        <v>1930.1</v>
      </c>
      <c r="V23" s="122">
        <v>1933</v>
      </c>
      <c r="W23" s="205">
        <v>1937.7</v>
      </c>
      <c r="X23" s="114">
        <v>1955.7</v>
      </c>
      <c r="Y23" s="122">
        <v>1961.9</v>
      </c>
      <c r="Z23" s="205">
        <v>1966.1</v>
      </c>
      <c r="AA23" s="114">
        <v>1968.3</v>
      </c>
      <c r="AB23" s="122">
        <v>1965.7</v>
      </c>
      <c r="AC23" s="128">
        <v>1967.3</v>
      </c>
      <c r="AD23" s="114">
        <v>1974.8</v>
      </c>
      <c r="AE23" s="122">
        <v>1979.1</v>
      </c>
      <c r="AF23" s="203">
        <v>1988.4</v>
      </c>
      <c r="AG23" s="90">
        <v>1987.3</v>
      </c>
      <c r="AH23" s="115">
        <v>1997.4</v>
      </c>
      <c r="AI23" s="203">
        <v>2006.6</v>
      </c>
      <c r="AJ23" s="90">
        <v>2025.4</v>
      </c>
      <c r="AK23" s="104">
        <v>2013.9</v>
      </c>
      <c r="AL23" s="1231">
        <v>2012.6</v>
      </c>
    </row>
    <row r="24" spans="1:40" x14ac:dyDescent="0.35">
      <c r="A24" s="136">
        <v>17</v>
      </c>
      <c r="B24" s="212" t="s">
        <v>1762</v>
      </c>
      <c r="C24" s="144">
        <v>792.9</v>
      </c>
      <c r="D24" s="144">
        <v>794.9</v>
      </c>
      <c r="E24" s="145">
        <v>797</v>
      </c>
      <c r="F24" s="145">
        <v>804.7</v>
      </c>
      <c r="G24" s="145">
        <v>810.6</v>
      </c>
      <c r="H24" s="145">
        <v>820</v>
      </c>
      <c r="I24" s="144">
        <v>930.9</v>
      </c>
      <c r="J24" s="145">
        <v>945.7</v>
      </c>
      <c r="K24" s="144">
        <v>960.7</v>
      </c>
      <c r="L24" s="113">
        <v>960.6</v>
      </c>
      <c r="M24" s="121">
        <v>960.8</v>
      </c>
      <c r="N24" s="159">
        <v>961.8</v>
      </c>
      <c r="O24" s="85">
        <v>967.2</v>
      </c>
      <c r="P24" s="121">
        <v>974.5</v>
      </c>
      <c r="Q24" s="159">
        <v>981.5</v>
      </c>
      <c r="R24" s="113">
        <v>985.3</v>
      </c>
      <c r="S24" s="121">
        <v>988.1</v>
      </c>
      <c r="T24" s="197">
        <v>991</v>
      </c>
      <c r="U24" s="85">
        <v>1032</v>
      </c>
      <c r="V24" s="121">
        <v>1046.4000000000001</v>
      </c>
      <c r="W24" s="197">
        <v>1059.9000000000001</v>
      </c>
      <c r="X24" s="113">
        <v>1060.7</v>
      </c>
      <c r="Y24" s="121">
        <v>1053.5</v>
      </c>
      <c r="Z24" s="197">
        <v>1046</v>
      </c>
      <c r="AA24" s="113">
        <v>1051</v>
      </c>
      <c r="AB24" s="121">
        <v>1055.7</v>
      </c>
      <c r="AC24" s="127">
        <v>1060.3</v>
      </c>
      <c r="AD24" s="113">
        <v>1069.2</v>
      </c>
      <c r="AE24" s="121">
        <v>1071</v>
      </c>
      <c r="AF24" s="204">
        <v>1076.5</v>
      </c>
      <c r="AG24" s="184">
        <v>1084</v>
      </c>
      <c r="AH24" s="195">
        <v>1092.4000000000001</v>
      </c>
      <c r="AI24" s="204">
        <v>1098.9000000000001</v>
      </c>
      <c r="AJ24" s="90">
        <v>1096.0999999999999</v>
      </c>
      <c r="AK24" s="104">
        <v>1090.3</v>
      </c>
      <c r="AL24" s="1231">
        <v>1085.5999999999999</v>
      </c>
    </row>
    <row r="25" spans="1:40" x14ac:dyDescent="0.35">
      <c r="A25" s="135">
        <v>18</v>
      </c>
      <c r="B25" s="168" t="s">
        <v>1763</v>
      </c>
      <c r="C25" s="144">
        <v>3350.6</v>
      </c>
      <c r="D25" s="144">
        <v>3358.1</v>
      </c>
      <c r="E25" s="145">
        <v>3367.7</v>
      </c>
      <c r="F25" s="145">
        <v>3413.8</v>
      </c>
      <c r="G25" s="145">
        <v>3424.7</v>
      </c>
      <c r="H25" s="145">
        <v>3433.5</v>
      </c>
      <c r="I25" s="144">
        <v>3559.3</v>
      </c>
      <c r="J25" s="145">
        <v>3570.9</v>
      </c>
      <c r="K25" s="144">
        <v>3600.9</v>
      </c>
      <c r="L25" s="113">
        <v>3606.8</v>
      </c>
      <c r="M25" s="121">
        <v>3610.2</v>
      </c>
      <c r="N25" s="159">
        <v>3590.7</v>
      </c>
      <c r="O25" s="85">
        <v>3594.4</v>
      </c>
      <c r="P25" s="121">
        <v>3607.3</v>
      </c>
      <c r="Q25" s="159">
        <v>3617.9</v>
      </c>
      <c r="R25" s="113">
        <v>3645.6</v>
      </c>
      <c r="S25" s="121">
        <v>3672.7</v>
      </c>
      <c r="T25" s="197">
        <v>3683.6</v>
      </c>
      <c r="U25" s="85">
        <v>3999.7</v>
      </c>
      <c r="V25" s="121">
        <v>3912.2</v>
      </c>
      <c r="W25" s="197">
        <v>3904.9</v>
      </c>
      <c r="X25" s="113">
        <v>3929.6</v>
      </c>
      <c r="Y25" s="121">
        <v>3953.7</v>
      </c>
      <c r="Z25" s="197">
        <v>3967.4</v>
      </c>
      <c r="AA25" s="113">
        <v>3958.7</v>
      </c>
      <c r="AB25" s="121">
        <v>3929.7</v>
      </c>
      <c r="AC25" s="127">
        <v>3927.9</v>
      </c>
      <c r="AD25" s="113">
        <v>3963.6</v>
      </c>
      <c r="AE25" s="121">
        <v>3952.7</v>
      </c>
      <c r="AF25" s="204">
        <v>3958.6</v>
      </c>
      <c r="AG25" s="184">
        <v>3998.5</v>
      </c>
      <c r="AH25" s="195">
        <v>4007.7</v>
      </c>
      <c r="AI25" s="204">
        <v>4017</v>
      </c>
      <c r="AJ25" s="90">
        <v>3999.9</v>
      </c>
      <c r="AK25" s="104">
        <v>4008.3</v>
      </c>
      <c r="AL25" s="1231">
        <v>4008.6</v>
      </c>
    </row>
    <row r="26" spans="1:40" x14ac:dyDescent="0.35">
      <c r="A26" s="135">
        <v>19</v>
      </c>
      <c r="B26" s="45" t="s">
        <v>1764</v>
      </c>
      <c r="C26" s="146">
        <v>1731.1</v>
      </c>
      <c r="D26" s="146">
        <v>1738</v>
      </c>
      <c r="E26" s="147">
        <v>1745.2</v>
      </c>
      <c r="F26" s="147">
        <v>1766.6</v>
      </c>
      <c r="G26" s="147">
        <v>1788.7</v>
      </c>
      <c r="H26" s="147">
        <v>1811.6</v>
      </c>
      <c r="I26" s="146">
        <v>1736.2</v>
      </c>
      <c r="J26" s="147">
        <v>1744.3</v>
      </c>
      <c r="K26" s="146">
        <v>1752.6</v>
      </c>
      <c r="L26" s="114">
        <v>1753.6</v>
      </c>
      <c r="M26" s="122">
        <v>1754.7</v>
      </c>
      <c r="N26" s="160">
        <v>1756.1</v>
      </c>
      <c r="O26" s="86">
        <v>1766.1</v>
      </c>
      <c r="P26" s="122">
        <v>1776.3</v>
      </c>
      <c r="Q26" s="160">
        <v>1786.7</v>
      </c>
      <c r="R26" s="114">
        <v>1801</v>
      </c>
      <c r="S26" s="122">
        <v>1815.5</v>
      </c>
      <c r="T26" s="205">
        <v>1830.2</v>
      </c>
      <c r="U26" s="86">
        <v>1967.6</v>
      </c>
      <c r="V26" s="122">
        <v>1951</v>
      </c>
      <c r="W26" s="205">
        <v>1934.3</v>
      </c>
      <c r="X26" s="114">
        <v>1950.4</v>
      </c>
      <c r="Y26" s="122">
        <v>1966.3</v>
      </c>
      <c r="Z26" s="205">
        <v>1982</v>
      </c>
      <c r="AA26" s="114">
        <v>1974.3</v>
      </c>
      <c r="AB26" s="122">
        <v>1966.4</v>
      </c>
      <c r="AC26" s="128">
        <v>1958.4</v>
      </c>
      <c r="AD26" s="114">
        <v>1966.8</v>
      </c>
      <c r="AE26" s="122">
        <v>1975.1</v>
      </c>
      <c r="AF26" s="203">
        <v>1983.3</v>
      </c>
      <c r="AG26" s="90">
        <v>1987.7</v>
      </c>
      <c r="AH26" s="115">
        <v>1992</v>
      </c>
      <c r="AI26" s="203">
        <v>1996.6</v>
      </c>
      <c r="AJ26" s="90">
        <v>2000.3</v>
      </c>
      <c r="AK26" s="105">
        <v>2004.2</v>
      </c>
      <c r="AL26" s="1231">
        <v>2008.1</v>
      </c>
    </row>
    <row r="27" spans="1:40" x14ac:dyDescent="0.35">
      <c r="A27" s="135">
        <v>20</v>
      </c>
      <c r="B27" s="45" t="s">
        <v>1765</v>
      </c>
      <c r="C27" s="146">
        <v>1619.5</v>
      </c>
      <c r="D27" s="146">
        <v>1620.1</v>
      </c>
      <c r="E27" s="147">
        <v>1622.6</v>
      </c>
      <c r="F27" s="147">
        <v>1647.2</v>
      </c>
      <c r="G27" s="147">
        <v>1636</v>
      </c>
      <c r="H27" s="147">
        <v>1622</v>
      </c>
      <c r="I27" s="146">
        <v>1823.1</v>
      </c>
      <c r="J27" s="147">
        <v>1826.6</v>
      </c>
      <c r="K27" s="146">
        <v>1848.3</v>
      </c>
      <c r="L27" s="114">
        <v>1853.3</v>
      </c>
      <c r="M27" s="122">
        <v>1855.5</v>
      </c>
      <c r="N27" s="160">
        <v>1834.7</v>
      </c>
      <c r="O27" s="86">
        <v>1828.3</v>
      </c>
      <c r="P27" s="122">
        <v>1831</v>
      </c>
      <c r="Q27" s="160">
        <v>1831.2</v>
      </c>
      <c r="R27" s="114">
        <v>1844.6</v>
      </c>
      <c r="S27" s="122">
        <v>1857.2</v>
      </c>
      <c r="T27" s="205">
        <v>1853.4</v>
      </c>
      <c r="U27" s="86">
        <v>2032.1</v>
      </c>
      <c r="V27" s="122">
        <v>1961.2</v>
      </c>
      <c r="W27" s="205">
        <v>1970.6</v>
      </c>
      <c r="X27" s="114">
        <v>1979.2</v>
      </c>
      <c r="Y27" s="122">
        <v>1987.5</v>
      </c>
      <c r="Z27" s="205">
        <v>1985.3</v>
      </c>
      <c r="AA27" s="114">
        <v>1984.5</v>
      </c>
      <c r="AB27" s="122">
        <v>1963.3</v>
      </c>
      <c r="AC27" s="128">
        <v>1969.5</v>
      </c>
      <c r="AD27" s="114">
        <v>1996.8</v>
      </c>
      <c r="AE27" s="122">
        <v>1977.6</v>
      </c>
      <c r="AF27" s="203">
        <v>1975.3</v>
      </c>
      <c r="AG27" s="90">
        <v>2010.8</v>
      </c>
      <c r="AH27" s="115">
        <v>2015.6</v>
      </c>
      <c r="AI27" s="203">
        <v>2020.5</v>
      </c>
      <c r="AJ27" s="90">
        <v>1999.5</v>
      </c>
      <c r="AK27" s="104">
        <v>2004.1</v>
      </c>
      <c r="AL27" s="1231">
        <v>2000.4</v>
      </c>
    </row>
    <row r="28" spans="1:40" x14ac:dyDescent="0.35">
      <c r="A28" s="135">
        <v>21</v>
      </c>
      <c r="B28" s="168" t="s">
        <v>1766</v>
      </c>
      <c r="C28" s="144">
        <v>3891.7</v>
      </c>
      <c r="D28" s="144">
        <v>3893.9</v>
      </c>
      <c r="E28" s="145">
        <v>3892.9</v>
      </c>
      <c r="F28" s="145">
        <v>3981.6</v>
      </c>
      <c r="G28" s="145">
        <v>4002.2</v>
      </c>
      <c r="H28" s="145">
        <v>4010.8</v>
      </c>
      <c r="I28" s="144">
        <v>4083.3</v>
      </c>
      <c r="J28" s="145">
        <v>4108.8</v>
      </c>
      <c r="K28" s="144">
        <v>4115.1000000000004</v>
      </c>
      <c r="L28" s="113">
        <v>4112.3</v>
      </c>
      <c r="M28" s="121">
        <v>4126.8</v>
      </c>
      <c r="N28" s="159">
        <v>4121.3</v>
      </c>
      <c r="O28" s="85">
        <v>4097.8999999999996</v>
      </c>
      <c r="P28" s="121">
        <v>4096.5</v>
      </c>
      <c r="Q28" s="159">
        <v>4086.6</v>
      </c>
      <c r="R28" s="113">
        <v>4083.8</v>
      </c>
      <c r="S28" s="121">
        <v>4082</v>
      </c>
      <c r="T28" s="197">
        <v>4094.6</v>
      </c>
      <c r="U28" s="85">
        <v>4411.3</v>
      </c>
      <c r="V28" s="121">
        <v>4448.1000000000004</v>
      </c>
      <c r="W28" s="197">
        <v>4478.8999999999996</v>
      </c>
      <c r="X28" s="113">
        <v>4498.6000000000004</v>
      </c>
      <c r="Y28" s="121">
        <v>4510.1000000000004</v>
      </c>
      <c r="Z28" s="197">
        <v>4528.3999999999996</v>
      </c>
      <c r="AA28" s="113">
        <v>4551</v>
      </c>
      <c r="AB28" s="121">
        <v>4560.5</v>
      </c>
      <c r="AC28" s="127">
        <v>4599.7</v>
      </c>
      <c r="AD28" s="113">
        <v>4622.8999999999996</v>
      </c>
      <c r="AE28" s="121">
        <v>4621.7</v>
      </c>
      <c r="AF28" s="204">
        <v>4635.2</v>
      </c>
      <c r="AG28" s="184">
        <v>4698.8999999999996</v>
      </c>
      <c r="AH28" s="195">
        <v>4794.6000000000004</v>
      </c>
      <c r="AI28" s="204">
        <v>4836.3999999999996</v>
      </c>
      <c r="AJ28" s="90">
        <v>4970.3</v>
      </c>
      <c r="AK28" s="104">
        <v>4871.8</v>
      </c>
      <c r="AL28" s="1231">
        <v>4918.6000000000004</v>
      </c>
    </row>
    <row r="29" spans="1:40" x14ac:dyDescent="0.35">
      <c r="A29" s="135">
        <v>22</v>
      </c>
      <c r="B29" s="45" t="s">
        <v>1767</v>
      </c>
      <c r="C29" s="146">
        <v>3821.1</v>
      </c>
      <c r="D29" s="146">
        <v>3824.5</v>
      </c>
      <c r="E29" s="147">
        <v>3823.5</v>
      </c>
      <c r="F29" s="147">
        <v>3912.2</v>
      </c>
      <c r="G29" s="147">
        <v>3932.8</v>
      </c>
      <c r="H29" s="147">
        <v>3941.2</v>
      </c>
      <c r="I29" s="146">
        <v>3983.1</v>
      </c>
      <c r="J29" s="147">
        <v>4007.9</v>
      </c>
      <c r="K29" s="146">
        <v>4013.6</v>
      </c>
      <c r="L29" s="114">
        <v>4010.1</v>
      </c>
      <c r="M29" s="122">
        <v>4024</v>
      </c>
      <c r="N29" s="160">
        <v>4017.8</v>
      </c>
      <c r="O29" s="86">
        <v>3993.8</v>
      </c>
      <c r="P29" s="122">
        <v>3991.8</v>
      </c>
      <c r="Q29" s="160">
        <v>3977.7</v>
      </c>
      <c r="R29" s="114">
        <v>3977.9</v>
      </c>
      <c r="S29" s="122">
        <v>3972.1</v>
      </c>
      <c r="T29" s="205">
        <v>3987.7</v>
      </c>
      <c r="U29" s="86">
        <v>4271.8</v>
      </c>
      <c r="V29" s="122">
        <v>4321</v>
      </c>
      <c r="W29" s="205">
        <v>4350.8999999999996</v>
      </c>
      <c r="X29" s="114">
        <v>4362.3</v>
      </c>
      <c r="Y29" s="122">
        <v>4380.3</v>
      </c>
      <c r="Z29" s="205">
        <v>4397.6000000000004</v>
      </c>
      <c r="AA29" s="114">
        <v>4419.3</v>
      </c>
      <c r="AB29" s="122">
        <v>4427.8999999999996</v>
      </c>
      <c r="AC29" s="128">
        <v>4466.1000000000004</v>
      </c>
      <c r="AD29" s="114">
        <v>4488.3999999999996</v>
      </c>
      <c r="AE29" s="122">
        <v>4486.2</v>
      </c>
      <c r="AF29" s="199">
        <v>4498.7</v>
      </c>
      <c r="AG29" s="90">
        <v>4559</v>
      </c>
      <c r="AH29" s="115">
        <v>4632</v>
      </c>
      <c r="AI29" s="203">
        <v>4694.8</v>
      </c>
      <c r="AJ29" s="90">
        <v>4827.8999999999996</v>
      </c>
      <c r="AK29" s="104">
        <v>4728.5</v>
      </c>
      <c r="AL29" s="1231">
        <v>4774.3999999999996</v>
      </c>
    </row>
    <row r="30" spans="1:40" ht="17.5" customHeight="1" x14ac:dyDescent="0.35">
      <c r="A30" s="152">
        <v>23</v>
      </c>
      <c r="B30" s="154" t="s">
        <v>1768</v>
      </c>
      <c r="C30" s="155">
        <v>1211.0999999999999</v>
      </c>
      <c r="D30" s="155">
        <v>1215.9000000000001</v>
      </c>
      <c r="E30" s="156">
        <v>1216.9000000000001</v>
      </c>
      <c r="F30" s="147">
        <v>1229.0999999999999</v>
      </c>
      <c r="G30" s="147">
        <v>1224.3</v>
      </c>
      <c r="H30" s="147">
        <v>1223.5999999999999</v>
      </c>
      <c r="I30" s="146">
        <v>1335.4</v>
      </c>
      <c r="J30" s="147">
        <v>1340.1</v>
      </c>
      <c r="K30" s="146">
        <v>1344.5</v>
      </c>
      <c r="L30" s="114">
        <v>1349.9</v>
      </c>
      <c r="M30" s="122">
        <v>1354.7</v>
      </c>
      <c r="N30" s="160">
        <v>1356.7</v>
      </c>
      <c r="O30" s="86">
        <v>1358.3</v>
      </c>
      <c r="P30" s="122">
        <v>1362.1</v>
      </c>
      <c r="Q30" s="160">
        <v>1363.4</v>
      </c>
      <c r="R30" s="114">
        <v>1378.6</v>
      </c>
      <c r="S30" s="122">
        <v>1370.3</v>
      </c>
      <c r="T30" s="205">
        <v>1373.8</v>
      </c>
      <c r="U30" s="86">
        <v>1421.9</v>
      </c>
      <c r="V30" s="122">
        <v>1425</v>
      </c>
      <c r="W30" s="205">
        <v>1432.7</v>
      </c>
      <c r="X30" s="114">
        <v>1435.9</v>
      </c>
      <c r="Y30" s="122">
        <v>1438.7</v>
      </c>
      <c r="Z30" s="205">
        <v>1444.6</v>
      </c>
      <c r="AA30" s="114">
        <v>1448.8</v>
      </c>
      <c r="AB30" s="122">
        <v>1452.8</v>
      </c>
      <c r="AC30" s="128">
        <v>1457.8</v>
      </c>
      <c r="AD30" s="114">
        <v>1470.6</v>
      </c>
      <c r="AE30" s="122">
        <v>1466.8</v>
      </c>
      <c r="AF30" s="199">
        <v>1466.3</v>
      </c>
      <c r="AG30" s="207">
        <v>1503.3</v>
      </c>
      <c r="AH30" s="105">
        <v>1513.6</v>
      </c>
      <c r="AI30" s="199">
        <v>1569.4</v>
      </c>
      <c r="AJ30" s="92">
        <v>1677</v>
      </c>
      <c r="AK30" s="107">
        <v>1554.7</v>
      </c>
      <c r="AL30" s="1232">
        <v>1583.9</v>
      </c>
      <c r="AM30" s="94">
        <f>'Social Benefits'!AE68</f>
        <v>1609.202</v>
      </c>
      <c r="AN30" s="95"/>
    </row>
    <row r="31" spans="1:40" ht="17.5" customHeight="1" x14ac:dyDescent="0.35">
      <c r="A31" s="1238">
        <v>23</v>
      </c>
      <c r="B31" s="1239" t="s">
        <v>2329</v>
      </c>
      <c r="C31" s="1240">
        <v>1211.0999999999999</v>
      </c>
      <c r="D31" s="1240">
        <v>1215.9000000000001</v>
      </c>
      <c r="E31" s="1241">
        <v>1216.9000000000001</v>
      </c>
      <c r="F31" s="1242">
        <v>1229.0999999999999</v>
      </c>
      <c r="G31" s="1242">
        <v>1224.3</v>
      </c>
      <c r="H31" s="1242">
        <v>1223.5999999999999</v>
      </c>
      <c r="I31" s="1243">
        <v>1335.4</v>
      </c>
      <c r="J31" s="1242">
        <v>1340.1</v>
      </c>
      <c r="K31" s="1243">
        <v>1344.5</v>
      </c>
      <c r="L31" s="1244">
        <v>1349.9</v>
      </c>
      <c r="M31" s="1245">
        <v>1354.7</v>
      </c>
      <c r="N31" s="1246">
        <v>1356.7</v>
      </c>
      <c r="O31" s="1247">
        <v>1358.3</v>
      </c>
      <c r="P31" s="1245">
        <v>1362.1</v>
      </c>
      <c r="Q31" s="1246">
        <v>1363.4</v>
      </c>
      <c r="R31" s="1244">
        <v>1378.6</v>
      </c>
      <c r="S31" s="1245">
        <v>1370.3</v>
      </c>
      <c r="T31" s="1248">
        <v>1373.8</v>
      </c>
      <c r="U31" s="1247">
        <v>1421.9</v>
      </c>
      <c r="V31" s="1245">
        <v>1425</v>
      </c>
      <c r="W31" s="1248">
        <v>1432.7</v>
      </c>
      <c r="X31" s="1244">
        <v>1435.9</v>
      </c>
      <c r="Y31" s="1245">
        <v>1438.7</v>
      </c>
      <c r="Z31" s="1248">
        <v>1444.6</v>
      </c>
      <c r="AA31" s="1244">
        <v>1448.8</v>
      </c>
      <c r="AB31" s="1245">
        <v>1452.8</v>
      </c>
      <c r="AC31" s="1249">
        <v>1457.8</v>
      </c>
      <c r="AD31" s="1244">
        <v>1470.6</v>
      </c>
      <c r="AE31" s="1245">
        <v>1466.8</v>
      </c>
      <c r="AF31" s="1250">
        <v>1466.3</v>
      </c>
      <c r="AG31" s="1251">
        <v>1503.3</v>
      </c>
      <c r="AH31" s="1252">
        <v>1513.6</v>
      </c>
      <c r="AI31" s="1250">
        <v>1569.4</v>
      </c>
      <c r="AJ31" s="1253">
        <v>1677</v>
      </c>
      <c r="AK31" s="1254">
        <v>1554.6</v>
      </c>
      <c r="AL31" s="1255">
        <v>1597.07</v>
      </c>
      <c r="AM31" s="1237"/>
      <c r="AN31" s="95"/>
    </row>
    <row r="32" spans="1:40" ht="17.5" customHeight="1" x14ac:dyDescent="0.35">
      <c r="A32" s="1238"/>
      <c r="B32" s="1239"/>
      <c r="C32" s="1240"/>
      <c r="D32" s="1240"/>
      <c r="E32" s="1241"/>
      <c r="F32" s="1242"/>
      <c r="G32" s="1242"/>
      <c r="H32" s="1242"/>
      <c r="I32" s="1243"/>
      <c r="J32" s="1242"/>
      <c r="K32" s="1243"/>
      <c r="L32" s="1244"/>
      <c r="M32" s="1245"/>
      <c r="N32" s="1246"/>
      <c r="O32" s="1247"/>
      <c r="P32" s="1245"/>
      <c r="Q32" s="1246"/>
      <c r="R32" s="1244"/>
      <c r="S32" s="1245"/>
      <c r="T32" s="1248"/>
      <c r="U32" s="1247"/>
      <c r="V32" s="1245"/>
      <c r="W32" s="1248"/>
      <c r="X32" s="1244"/>
      <c r="Y32" s="1245"/>
      <c r="Z32" s="1248"/>
      <c r="AA32" s="1244"/>
      <c r="AB32" s="1245"/>
      <c r="AC32" s="1249"/>
      <c r="AD32" s="1244"/>
      <c r="AE32" s="1245"/>
      <c r="AF32" s="1250"/>
      <c r="AG32" s="1251"/>
      <c r="AH32" s="1252"/>
      <c r="AI32" s="1250"/>
      <c r="AJ32" s="1253"/>
      <c r="AK32" s="1254"/>
      <c r="AL32" s="1256">
        <f>AVERAGE(AJ30:AL30)</f>
        <v>1605.2</v>
      </c>
      <c r="AM32" s="1237"/>
      <c r="AN32" s="95"/>
    </row>
    <row r="33" spans="1:40" ht="17.5" customHeight="1" x14ac:dyDescent="0.35">
      <c r="A33" s="1238"/>
      <c r="B33" s="1239"/>
      <c r="C33" s="1240"/>
      <c r="D33" s="1240"/>
      <c r="E33" s="1241"/>
      <c r="F33" s="1242"/>
      <c r="G33" s="1242"/>
      <c r="H33" s="1242"/>
      <c r="I33" s="1243"/>
      <c r="J33" s="1242"/>
      <c r="K33" s="1243"/>
      <c r="L33" s="1244"/>
      <c r="M33" s="1245"/>
      <c r="N33" s="1246"/>
      <c r="O33" s="1247"/>
      <c r="P33" s="1245"/>
      <c r="Q33" s="1246"/>
      <c r="R33" s="1244"/>
      <c r="S33" s="1245"/>
      <c r="T33" s="1248"/>
      <c r="U33" s="1247"/>
      <c r="V33" s="1245"/>
      <c r="W33" s="1248"/>
      <c r="X33" s="1244"/>
      <c r="Y33" s="1245"/>
      <c r="Z33" s="1248"/>
      <c r="AA33" s="1244"/>
      <c r="AB33" s="1245"/>
      <c r="AC33" s="1249"/>
      <c r="AD33" s="1244"/>
      <c r="AE33" s="1245"/>
      <c r="AF33" s="1250"/>
      <c r="AG33" s="1251"/>
      <c r="AH33" s="1252"/>
      <c r="AI33" s="1250"/>
      <c r="AJ33" s="1253"/>
      <c r="AK33" s="1254"/>
      <c r="AL33" s="1256">
        <f>AVERAGE(AJ31:AL31)</f>
        <v>1609.5566666666666</v>
      </c>
      <c r="AM33" s="1237"/>
      <c r="AN33" s="95"/>
    </row>
    <row r="34" spans="1:40" ht="16" customHeight="1" x14ac:dyDescent="0.35">
      <c r="A34" s="152">
        <v>24</v>
      </c>
      <c r="B34" s="154" t="s">
        <v>1769</v>
      </c>
      <c r="C34" s="155">
        <v>914.1</v>
      </c>
      <c r="D34" s="155">
        <v>920.1</v>
      </c>
      <c r="E34" s="156">
        <v>926.7</v>
      </c>
      <c r="F34" s="147">
        <v>933.8</v>
      </c>
      <c r="G34" s="147">
        <v>941.5</v>
      </c>
      <c r="H34" s="147">
        <v>949.7</v>
      </c>
      <c r="I34" s="146">
        <v>936.9</v>
      </c>
      <c r="J34" s="147">
        <v>938.1</v>
      </c>
      <c r="K34" s="146">
        <v>939.3</v>
      </c>
      <c r="L34" s="114">
        <v>940.6</v>
      </c>
      <c r="M34" s="122">
        <v>941.9</v>
      </c>
      <c r="N34" s="160">
        <v>943.3</v>
      </c>
      <c r="O34" s="86">
        <v>944.8</v>
      </c>
      <c r="P34" s="122">
        <v>946.3</v>
      </c>
      <c r="Q34" s="160">
        <v>947.9</v>
      </c>
      <c r="R34" s="114">
        <v>949.6</v>
      </c>
      <c r="S34" s="122">
        <v>951.3</v>
      </c>
      <c r="T34" s="205">
        <v>953.1</v>
      </c>
      <c r="U34" s="86">
        <v>1044.2</v>
      </c>
      <c r="V34" s="122">
        <v>1049</v>
      </c>
      <c r="W34" s="205">
        <v>1054.4000000000001</v>
      </c>
      <c r="X34" s="114">
        <v>1060.4000000000001</v>
      </c>
      <c r="Y34" s="122">
        <v>1066.9000000000001</v>
      </c>
      <c r="Z34" s="205">
        <v>1074.0999999999999</v>
      </c>
      <c r="AA34" s="114">
        <v>1081.8</v>
      </c>
      <c r="AB34" s="122">
        <v>1090</v>
      </c>
      <c r="AC34" s="128">
        <v>1098.9000000000001</v>
      </c>
      <c r="AD34" s="114">
        <v>1108.3</v>
      </c>
      <c r="AE34" s="122">
        <v>1118.3</v>
      </c>
      <c r="AF34" s="200">
        <v>1128.9000000000001</v>
      </c>
      <c r="AG34" s="207">
        <v>1140</v>
      </c>
      <c r="AH34" s="105">
        <v>1150.5</v>
      </c>
      <c r="AI34" s="199">
        <v>1160.3</v>
      </c>
      <c r="AJ34" s="93">
        <v>1171.2</v>
      </c>
      <c r="AK34" s="108">
        <v>1182.0999999999999</v>
      </c>
      <c r="AL34" s="1233">
        <v>1192.9000000000001</v>
      </c>
      <c r="AM34" s="158">
        <f>Medicare!AE10</f>
        <v>1197.1541359637888</v>
      </c>
      <c r="AN34" s="95" t="s">
        <v>2327</v>
      </c>
    </row>
    <row r="35" spans="1:40" x14ac:dyDescent="0.35">
      <c r="A35" s="152">
        <v>25</v>
      </c>
      <c r="B35" s="154" t="s">
        <v>54</v>
      </c>
      <c r="C35" s="155">
        <v>790.3</v>
      </c>
      <c r="D35" s="155">
        <v>785.3</v>
      </c>
      <c r="E35" s="156">
        <v>782.8</v>
      </c>
      <c r="F35" s="147">
        <v>791.2</v>
      </c>
      <c r="G35" s="147">
        <v>796.9</v>
      </c>
      <c r="H35" s="147">
        <v>800.6</v>
      </c>
      <c r="I35" s="146">
        <v>856.7</v>
      </c>
      <c r="J35" s="147">
        <v>871.5</v>
      </c>
      <c r="K35" s="146">
        <v>886.1</v>
      </c>
      <c r="L35" s="114">
        <v>908.2</v>
      </c>
      <c r="M35" s="122">
        <v>916.2</v>
      </c>
      <c r="N35" s="160">
        <v>909.8</v>
      </c>
      <c r="O35" s="86">
        <v>893.4</v>
      </c>
      <c r="P35" s="122">
        <v>879.5</v>
      </c>
      <c r="Q35" s="160">
        <v>868.8</v>
      </c>
      <c r="R35" s="114">
        <v>863.5</v>
      </c>
      <c r="S35" s="122">
        <v>865.8</v>
      </c>
      <c r="T35" s="205">
        <v>875.6</v>
      </c>
      <c r="U35" s="86">
        <v>889.7</v>
      </c>
      <c r="V35" s="122">
        <v>906.4</v>
      </c>
      <c r="W35" s="205">
        <v>918.4</v>
      </c>
      <c r="X35" s="114">
        <v>922.3</v>
      </c>
      <c r="Y35" s="122">
        <v>925.2</v>
      </c>
      <c r="Z35" s="205">
        <v>926.4</v>
      </c>
      <c r="AA35" s="114">
        <v>926.2</v>
      </c>
      <c r="AB35" s="122">
        <v>930.8</v>
      </c>
      <c r="AC35" s="128">
        <v>940.2</v>
      </c>
      <c r="AD35" s="114">
        <v>937.7</v>
      </c>
      <c r="AE35" s="122">
        <v>942.3</v>
      </c>
      <c r="AF35" s="200">
        <v>954.3</v>
      </c>
      <c r="AG35" s="207">
        <v>955</v>
      </c>
      <c r="AH35" s="105">
        <v>957.9</v>
      </c>
      <c r="AI35" s="199">
        <v>959.9</v>
      </c>
      <c r="AJ35" s="93">
        <v>975.1</v>
      </c>
      <c r="AK35" s="108">
        <v>984.6</v>
      </c>
      <c r="AL35" s="1233">
        <v>989.6</v>
      </c>
      <c r="AM35" s="158" t="e">
        <f>forecast!#REF!</f>
        <v>#REF!</v>
      </c>
      <c r="AN35" s="95"/>
    </row>
    <row r="36" spans="1:40" x14ac:dyDescent="0.35">
      <c r="A36" s="152">
        <v>26</v>
      </c>
      <c r="B36" s="154" t="s">
        <v>262</v>
      </c>
      <c r="C36" s="155">
        <v>18.7</v>
      </c>
      <c r="D36" s="155">
        <v>18.899999999999999</v>
      </c>
      <c r="E36" s="156">
        <v>18</v>
      </c>
      <c r="F36" s="147">
        <v>18.899999999999999</v>
      </c>
      <c r="G36" s="147">
        <v>20.6</v>
      </c>
      <c r="H36" s="147">
        <v>21.6</v>
      </c>
      <c r="I36" s="146">
        <v>21.1</v>
      </c>
      <c r="J36" s="147">
        <v>22</v>
      </c>
      <c r="K36" s="146">
        <v>22.8</v>
      </c>
      <c r="L36" s="114">
        <v>22.8</v>
      </c>
      <c r="M36" s="122">
        <v>22.3</v>
      </c>
      <c r="N36" s="160">
        <v>21.6</v>
      </c>
      <c r="O36" s="86">
        <v>21.1</v>
      </c>
      <c r="P36" s="122">
        <v>21.1</v>
      </c>
      <c r="Q36" s="160">
        <v>20.8</v>
      </c>
      <c r="R36" s="114">
        <v>22.1</v>
      </c>
      <c r="S36" s="122">
        <v>23.1</v>
      </c>
      <c r="T36" s="205">
        <v>22.9</v>
      </c>
      <c r="U36" s="86">
        <v>34.799999999999997</v>
      </c>
      <c r="V36" s="122">
        <v>35</v>
      </c>
      <c r="W36" s="205">
        <v>35</v>
      </c>
      <c r="X36" s="114">
        <v>34.5</v>
      </c>
      <c r="Y36" s="122">
        <v>34.799999999999997</v>
      </c>
      <c r="Z36" s="205">
        <v>35.6</v>
      </c>
      <c r="AA36" s="114">
        <v>35.9</v>
      </c>
      <c r="AB36" s="122">
        <v>35.700000000000003</v>
      </c>
      <c r="AC36" s="128">
        <v>35.4</v>
      </c>
      <c r="AD36" s="114">
        <v>36</v>
      </c>
      <c r="AE36" s="122">
        <v>36.299999999999997</v>
      </c>
      <c r="AF36" s="200">
        <v>35.9</v>
      </c>
      <c r="AG36" s="207">
        <v>35.700000000000003</v>
      </c>
      <c r="AH36" s="105">
        <v>35.700000000000003</v>
      </c>
      <c r="AI36" s="199">
        <v>35.799999999999997</v>
      </c>
      <c r="AJ36" s="93">
        <v>35.9</v>
      </c>
      <c r="AK36" s="108">
        <v>36.6</v>
      </c>
      <c r="AL36" s="1233">
        <v>37.6</v>
      </c>
      <c r="AM36" s="158" t="e">
        <f>forecast!#REF!+forecast!#REF!</f>
        <v>#REF!</v>
      </c>
    </row>
    <row r="37" spans="1:40" ht="16.399999999999999" customHeight="1" x14ac:dyDescent="0.35">
      <c r="A37" s="135">
        <v>27</v>
      </c>
      <c r="B37" s="173" t="s">
        <v>1770</v>
      </c>
      <c r="C37" s="146">
        <v>161.1</v>
      </c>
      <c r="D37" s="146">
        <v>161.6</v>
      </c>
      <c r="E37" s="147">
        <v>162.5</v>
      </c>
      <c r="F37" s="147">
        <v>163.19999999999999</v>
      </c>
      <c r="G37" s="147">
        <v>164</v>
      </c>
      <c r="H37" s="147">
        <v>164.8</v>
      </c>
      <c r="I37" s="146">
        <v>173.1</v>
      </c>
      <c r="J37" s="147">
        <v>172.9</v>
      </c>
      <c r="K37" s="146">
        <v>172.7</v>
      </c>
      <c r="L37" s="114">
        <v>172.7</v>
      </c>
      <c r="M37" s="122">
        <v>172.4</v>
      </c>
      <c r="N37" s="160">
        <v>172.5</v>
      </c>
      <c r="O37" s="86">
        <v>172.7</v>
      </c>
      <c r="P37" s="122">
        <v>172.9</v>
      </c>
      <c r="Q37" s="160">
        <v>173</v>
      </c>
      <c r="R37" s="114">
        <v>173.3</v>
      </c>
      <c r="S37" s="122">
        <v>173.6</v>
      </c>
      <c r="T37" s="205">
        <v>173.9</v>
      </c>
      <c r="U37" s="86">
        <v>210.1</v>
      </c>
      <c r="V37" s="122">
        <v>211.7</v>
      </c>
      <c r="W37" s="205">
        <v>213.4</v>
      </c>
      <c r="X37" s="114">
        <v>215.1</v>
      </c>
      <c r="Y37" s="122">
        <v>216.8</v>
      </c>
      <c r="Z37" s="205">
        <v>218.4</v>
      </c>
      <c r="AA37" s="114">
        <v>219.9</v>
      </c>
      <c r="AB37" s="122">
        <v>221.6</v>
      </c>
      <c r="AC37" s="128">
        <v>223.1</v>
      </c>
      <c r="AD37" s="114">
        <v>224.7</v>
      </c>
      <c r="AE37" s="122">
        <v>226.3</v>
      </c>
      <c r="AF37" s="203">
        <v>227.8</v>
      </c>
      <c r="AG37" s="90">
        <v>229.5</v>
      </c>
      <c r="AH37" s="115">
        <v>231</v>
      </c>
      <c r="AI37" s="203">
        <v>232.2</v>
      </c>
      <c r="AJ37" s="90">
        <v>237.6</v>
      </c>
      <c r="AK37" s="104">
        <v>242.7</v>
      </c>
      <c r="AL37" s="1231">
        <v>247.3</v>
      </c>
    </row>
    <row r="38" spans="1:40" x14ac:dyDescent="0.35">
      <c r="A38" s="135">
        <v>28</v>
      </c>
      <c r="B38" s="173" t="s">
        <v>530</v>
      </c>
      <c r="C38" s="146">
        <v>725.8</v>
      </c>
      <c r="D38" s="146">
        <v>722.7</v>
      </c>
      <c r="E38" s="147">
        <v>716.6</v>
      </c>
      <c r="F38" s="147">
        <v>776</v>
      </c>
      <c r="G38" s="147">
        <v>785.4</v>
      </c>
      <c r="H38" s="147">
        <v>780.9</v>
      </c>
      <c r="I38" s="146">
        <v>659.8</v>
      </c>
      <c r="J38" s="147">
        <v>663.3</v>
      </c>
      <c r="K38" s="146">
        <v>648.20000000000005</v>
      </c>
      <c r="L38" s="114">
        <v>615.9</v>
      </c>
      <c r="M38" s="122">
        <v>616.4</v>
      </c>
      <c r="N38" s="160">
        <v>613.79999999999995</v>
      </c>
      <c r="O38" s="86">
        <v>603.5</v>
      </c>
      <c r="P38" s="122">
        <v>610</v>
      </c>
      <c r="Q38" s="160">
        <v>603.79999999999995</v>
      </c>
      <c r="R38" s="114">
        <v>590.79999999999995</v>
      </c>
      <c r="S38" s="122">
        <v>588.1</v>
      </c>
      <c r="T38" s="205">
        <v>588.29999999999995</v>
      </c>
      <c r="U38" s="86">
        <v>671.2</v>
      </c>
      <c r="V38" s="122">
        <v>693.9</v>
      </c>
      <c r="W38" s="205">
        <v>697.1</v>
      </c>
      <c r="X38" s="114">
        <v>694.1</v>
      </c>
      <c r="Y38" s="122">
        <v>697.8</v>
      </c>
      <c r="Z38" s="205">
        <v>698.6</v>
      </c>
      <c r="AA38" s="114">
        <v>706.7</v>
      </c>
      <c r="AB38" s="122">
        <v>696.9</v>
      </c>
      <c r="AC38" s="128">
        <v>710.7</v>
      </c>
      <c r="AD38" s="114">
        <v>711</v>
      </c>
      <c r="AE38" s="122">
        <v>696.3</v>
      </c>
      <c r="AF38" s="203">
        <v>685.5</v>
      </c>
      <c r="AG38" s="90">
        <v>695.6</v>
      </c>
      <c r="AH38" s="115">
        <v>743.2</v>
      </c>
      <c r="AI38" s="203">
        <v>737.1</v>
      </c>
      <c r="AJ38" s="90">
        <v>731.1</v>
      </c>
      <c r="AK38" s="104">
        <v>727.9</v>
      </c>
      <c r="AL38" s="1231">
        <v>723.1</v>
      </c>
    </row>
    <row r="39" spans="1:40" ht="20.5" customHeight="1" x14ac:dyDescent="0.35">
      <c r="A39" s="135">
        <v>29</v>
      </c>
      <c r="B39" s="171" t="s">
        <v>1771</v>
      </c>
      <c r="C39" s="146">
        <v>70.7</v>
      </c>
      <c r="D39" s="146">
        <v>69.400000000000006</v>
      </c>
      <c r="E39" s="147">
        <v>69.400000000000006</v>
      </c>
      <c r="F39" s="147">
        <v>69.400000000000006</v>
      </c>
      <c r="G39" s="147">
        <v>69.5</v>
      </c>
      <c r="H39" s="147">
        <v>69.599999999999994</v>
      </c>
      <c r="I39" s="146">
        <v>100.2</v>
      </c>
      <c r="J39" s="147">
        <v>100.9</v>
      </c>
      <c r="K39" s="146">
        <v>101.6</v>
      </c>
      <c r="L39" s="114">
        <v>102.2</v>
      </c>
      <c r="M39" s="122">
        <v>102.8</v>
      </c>
      <c r="N39" s="160">
        <v>103.5</v>
      </c>
      <c r="O39" s="86">
        <v>104.1</v>
      </c>
      <c r="P39" s="122">
        <v>104.7</v>
      </c>
      <c r="Q39" s="160">
        <v>108.9</v>
      </c>
      <c r="R39" s="114">
        <v>105.8</v>
      </c>
      <c r="S39" s="122">
        <v>109.9</v>
      </c>
      <c r="T39" s="205">
        <v>106.9</v>
      </c>
      <c r="U39" s="86">
        <v>139.5</v>
      </c>
      <c r="V39" s="122">
        <v>127.1</v>
      </c>
      <c r="W39" s="205">
        <v>128</v>
      </c>
      <c r="X39" s="114">
        <v>136.30000000000001</v>
      </c>
      <c r="Y39" s="122">
        <v>129.80000000000001</v>
      </c>
      <c r="Z39" s="205">
        <v>130.80000000000001</v>
      </c>
      <c r="AA39" s="114">
        <v>131.69999999999999</v>
      </c>
      <c r="AB39" s="122">
        <v>132.6</v>
      </c>
      <c r="AC39" s="128">
        <v>133.6</v>
      </c>
      <c r="AD39" s="114">
        <v>134.5</v>
      </c>
      <c r="AE39" s="122">
        <v>135.5</v>
      </c>
      <c r="AF39" s="203">
        <v>136.5</v>
      </c>
      <c r="AG39" s="90">
        <v>139.9</v>
      </c>
      <c r="AH39" s="115">
        <v>162.6</v>
      </c>
      <c r="AI39" s="203">
        <v>141.6</v>
      </c>
      <c r="AJ39" s="90">
        <v>142.4</v>
      </c>
      <c r="AK39" s="104">
        <v>143.30000000000001</v>
      </c>
      <c r="AL39" s="1231">
        <v>144.19999999999999</v>
      </c>
    </row>
    <row r="40" spans="1:40" ht="42" customHeight="1" x14ac:dyDescent="0.35">
      <c r="A40" s="152">
        <v>30</v>
      </c>
      <c r="B40" s="163" t="s">
        <v>1772</v>
      </c>
      <c r="C40" s="164">
        <v>1683.6</v>
      </c>
      <c r="D40" s="164">
        <v>1695.6</v>
      </c>
      <c r="E40" s="165">
        <v>1707.7</v>
      </c>
      <c r="F40" s="145">
        <v>1704.3</v>
      </c>
      <c r="G40" s="145">
        <v>1703.1</v>
      </c>
      <c r="H40" s="145">
        <v>1703.8</v>
      </c>
      <c r="I40" s="144">
        <v>1765.5</v>
      </c>
      <c r="J40" s="145">
        <v>1774.3</v>
      </c>
      <c r="K40" s="144">
        <v>1782</v>
      </c>
      <c r="L40" s="113">
        <v>1787.4</v>
      </c>
      <c r="M40" s="121">
        <v>1793.6</v>
      </c>
      <c r="N40" s="159">
        <v>1800.9</v>
      </c>
      <c r="O40" s="85">
        <v>1809.2</v>
      </c>
      <c r="P40" s="121">
        <v>1817.6</v>
      </c>
      <c r="Q40" s="159">
        <v>1824.6</v>
      </c>
      <c r="R40" s="113">
        <v>1821.7</v>
      </c>
      <c r="S40" s="121">
        <v>1824.1</v>
      </c>
      <c r="T40" s="197">
        <v>1830.7</v>
      </c>
      <c r="U40" s="85">
        <v>1872.5</v>
      </c>
      <c r="V40" s="121">
        <v>1883.5</v>
      </c>
      <c r="W40" s="197">
        <v>1892.5</v>
      </c>
      <c r="X40" s="113">
        <v>1887</v>
      </c>
      <c r="Y40" s="121">
        <v>1891.2</v>
      </c>
      <c r="Z40" s="197">
        <v>1891.4</v>
      </c>
      <c r="AA40" s="113">
        <v>1892.6</v>
      </c>
      <c r="AB40" s="121">
        <v>1897.9</v>
      </c>
      <c r="AC40" s="127">
        <v>1902.5</v>
      </c>
      <c r="AD40" s="113">
        <v>1914.2</v>
      </c>
      <c r="AE40" s="121">
        <v>1925.8</v>
      </c>
      <c r="AF40" s="201">
        <v>1933.7</v>
      </c>
      <c r="AG40" s="208">
        <v>1947.1</v>
      </c>
      <c r="AH40" s="209">
        <v>1954.9</v>
      </c>
      <c r="AI40" s="201">
        <v>1963.7</v>
      </c>
      <c r="AJ40" s="92">
        <v>1970.7</v>
      </c>
      <c r="AK40" s="107">
        <v>1976.5</v>
      </c>
      <c r="AL40" s="1232">
        <v>1978.8</v>
      </c>
      <c r="AM40" s="94" t="e">
        <f>#REF!+#REF!</f>
        <v>#REF!</v>
      </c>
      <c r="AN40" s="95" t="s">
        <v>2328</v>
      </c>
    </row>
    <row r="41" spans="1:40" x14ac:dyDescent="0.35">
      <c r="A41" s="152">
        <v>31</v>
      </c>
      <c r="B41" s="166" t="s">
        <v>242</v>
      </c>
      <c r="C41" s="164">
        <v>3224.2</v>
      </c>
      <c r="D41" s="164">
        <v>3236.7</v>
      </c>
      <c r="E41" s="165">
        <v>3248.6</v>
      </c>
      <c r="F41" s="145">
        <v>3232.7</v>
      </c>
      <c r="G41" s="145">
        <v>3213.6</v>
      </c>
      <c r="H41" s="145">
        <v>3202.1</v>
      </c>
      <c r="I41" s="144">
        <v>2767.2</v>
      </c>
      <c r="J41" s="145">
        <v>2763.4</v>
      </c>
      <c r="K41" s="144">
        <v>2760.4</v>
      </c>
      <c r="L41" s="113">
        <v>2707.4</v>
      </c>
      <c r="M41" s="121">
        <v>2691.2</v>
      </c>
      <c r="N41" s="159">
        <v>2712.9</v>
      </c>
      <c r="O41" s="85">
        <v>2744.1</v>
      </c>
      <c r="P41" s="121">
        <v>2768.2</v>
      </c>
      <c r="Q41" s="159">
        <v>2783.7</v>
      </c>
      <c r="R41" s="113">
        <v>2785.6</v>
      </c>
      <c r="S41" s="121">
        <v>2791.7</v>
      </c>
      <c r="T41" s="197">
        <v>2800.1</v>
      </c>
      <c r="U41" s="85">
        <v>2947.9</v>
      </c>
      <c r="V41" s="121">
        <v>2966.4</v>
      </c>
      <c r="W41" s="197">
        <v>2982.6</v>
      </c>
      <c r="X41" s="113">
        <v>2989.7</v>
      </c>
      <c r="Y41" s="121">
        <v>3007.5</v>
      </c>
      <c r="Z41" s="197">
        <v>3019</v>
      </c>
      <c r="AA41" s="113">
        <v>3038.6</v>
      </c>
      <c r="AB41" s="121">
        <v>3056.8</v>
      </c>
      <c r="AC41" s="127">
        <v>3067.2</v>
      </c>
      <c r="AD41" s="113">
        <v>3098.3</v>
      </c>
      <c r="AE41" s="121">
        <v>3121.7</v>
      </c>
      <c r="AF41" s="201">
        <v>3132.9</v>
      </c>
      <c r="AG41" s="208">
        <v>3174.1</v>
      </c>
      <c r="AH41" s="209">
        <v>3191.9</v>
      </c>
      <c r="AI41" s="201">
        <v>3211</v>
      </c>
      <c r="AJ41" s="92">
        <v>3229.2</v>
      </c>
      <c r="AK41" s="107">
        <v>3246.4</v>
      </c>
      <c r="AL41" s="1232">
        <v>3256.9</v>
      </c>
      <c r="AM41" s="94" t="e">
        <f>#REF!+#REF!</f>
        <v>#REF!</v>
      </c>
      <c r="AN41" s="95"/>
    </row>
    <row r="42" spans="1:40" x14ac:dyDescent="0.35">
      <c r="A42" s="135">
        <v>32</v>
      </c>
      <c r="B42" s="47" t="s">
        <v>1773</v>
      </c>
      <c r="C42" s="144">
        <v>18628.099999999999</v>
      </c>
      <c r="D42" s="144">
        <v>18739.099999999999</v>
      </c>
      <c r="E42" s="145">
        <v>18831.7</v>
      </c>
      <c r="F42" s="145">
        <v>18969.2</v>
      </c>
      <c r="G42" s="145">
        <v>19026.5</v>
      </c>
      <c r="H42" s="145">
        <v>19079.7</v>
      </c>
      <c r="I42" s="144">
        <v>19758.099999999999</v>
      </c>
      <c r="J42" s="145">
        <v>19885</v>
      </c>
      <c r="K42" s="144">
        <v>19997.5</v>
      </c>
      <c r="L42" s="113">
        <v>20098.7</v>
      </c>
      <c r="M42" s="121">
        <v>20185.400000000001</v>
      </c>
      <c r="N42" s="159">
        <v>20208.400000000001</v>
      </c>
      <c r="O42" s="85">
        <v>20242.2</v>
      </c>
      <c r="P42" s="121">
        <v>20326.400000000001</v>
      </c>
      <c r="Q42" s="159">
        <v>20392.5</v>
      </c>
      <c r="R42" s="113">
        <v>20403.8</v>
      </c>
      <c r="S42" s="121">
        <v>20449.8</v>
      </c>
      <c r="T42" s="197">
        <v>20511.5</v>
      </c>
      <c r="U42" s="85">
        <v>21278.799999999999</v>
      </c>
      <c r="V42" s="121">
        <v>21364.6</v>
      </c>
      <c r="W42" s="197">
        <v>21492.3</v>
      </c>
      <c r="X42" s="113">
        <v>21521.4</v>
      </c>
      <c r="Y42" s="121">
        <v>21576.7</v>
      </c>
      <c r="Z42" s="197">
        <v>21607.7</v>
      </c>
      <c r="AA42" s="113">
        <v>21630.7</v>
      </c>
      <c r="AB42" s="121">
        <v>21644.400000000001</v>
      </c>
      <c r="AC42" s="127">
        <v>21712.5</v>
      </c>
      <c r="AD42" s="113">
        <v>21852.3</v>
      </c>
      <c r="AE42" s="121">
        <v>21915.4</v>
      </c>
      <c r="AF42" s="204">
        <v>22006.2</v>
      </c>
      <c r="AG42" s="184">
        <v>22100.799999999999</v>
      </c>
      <c r="AH42" s="195">
        <v>22264.2</v>
      </c>
      <c r="AI42" s="204">
        <v>22408.3</v>
      </c>
      <c r="AJ42" s="207">
        <v>22594.3</v>
      </c>
      <c r="AK42" s="104">
        <v>22476.2</v>
      </c>
      <c r="AL42" s="1231">
        <v>22537.200000000001</v>
      </c>
    </row>
    <row r="43" spans="1:40" x14ac:dyDescent="0.35">
      <c r="A43" s="135">
        <v>33</v>
      </c>
      <c r="B43" s="47" t="s">
        <v>243</v>
      </c>
      <c r="C43" s="144">
        <v>17983.400000000001</v>
      </c>
      <c r="D43" s="144">
        <v>18132.7</v>
      </c>
      <c r="E43" s="145">
        <v>18257.400000000001</v>
      </c>
      <c r="F43" s="145">
        <v>18391.8</v>
      </c>
      <c r="G43" s="145">
        <v>18362.3</v>
      </c>
      <c r="H43" s="145">
        <v>18377.400000000001</v>
      </c>
      <c r="I43" s="144">
        <v>18887</v>
      </c>
      <c r="J43" s="145">
        <v>18959</v>
      </c>
      <c r="K43" s="144">
        <v>18950</v>
      </c>
      <c r="L43" s="113">
        <v>19056.2</v>
      </c>
      <c r="M43" s="121">
        <v>19125.400000000001</v>
      </c>
      <c r="N43" s="159">
        <v>19228.3</v>
      </c>
      <c r="O43" s="85">
        <v>19351.5</v>
      </c>
      <c r="P43" s="121">
        <v>19417</v>
      </c>
      <c r="Q43" s="159">
        <v>19600.900000000001</v>
      </c>
      <c r="R43" s="113">
        <v>19622.8</v>
      </c>
      <c r="S43" s="121">
        <v>19683.8</v>
      </c>
      <c r="T43" s="197">
        <v>19779.3</v>
      </c>
      <c r="U43" s="85">
        <v>20105.3</v>
      </c>
      <c r="V43" s="121">
        <v>20218.400000000001</v>
      </c>
      <c r="W43" s="197">
        <v>20367.8</v>
      </c>
      <c r="X43" s="113">
        <v>20423.3</v>
      </c>
      <c r="Y43" s="121">
        <v>20522.099999999999</v>
      </c>
      <c r="Z43" s="197">
        <v>20577.099999999999</v>
      </c>
      <c r="AA43" s="113">
        <v>20698.8</v>
      </c>
      <c r="AB43" s="121">
        <v>20740.099999999999</v>
      </c>
      <c r="AC43" s="127">
        <v>20881.8</v>
      </c>
      <c r="AD43" s="113">
        <v>20959.599999999999</v>
      </c>
      <c r="AE43" s="121">
        <v>21069.8</v>
      </c>
      <c r="AF43" s="204">
        <v>21241.1</v>
      </c>
      <c r="AG43" s="184">
        <v>21182</v>
      </c>
      <c r="AH43" s="195">
        <v>21277.9</v>
      </c>
      <c r="AI43" s="204">
        <v>21423.1</v>
      </c>
      <c r="AJ43" s="90">
        <v>21467.5</v>
      </c>
      <c r="AK43" s="104">
        <v>21460</v>
      </c>
      <c r="AL43" s="1231">
        <v>21529.5</v>
      </c>
    </row>
    <row r="44" spans="1:40" x14ac:dyDescent="0.35">
      <c r="A44" s="135">
        <v>34</v>
      </c>
      <c r="B44" s="102" t="s">
        <v>1707</v>
      </c>
      <c r="C44" s="146">
        <v>17420.3</v>
      </c>
      <c r="D44" s="146">
        <v>17550.900000000001</v>
      </c>
      <c r="E44" s="147">
        <v>17656.8</v>
      </c>
      <c r="F44" s="147">
        <v>17778.2</v>
      </c>
      <c r="G44" s="147">
        <v>17735</v>
      </c>
      <c r="H44" s="147">
        <v>17736.5</v>
      </c>
      <c r="I44" s="146">
        <v>18229.599999999999</v>
      </c>
      <c r="J44" s="147">
        <v>18296.5</v>
      </c>
      <c r="K44" s="146">
        <v>18282.599999999999</v>
      </c>
      <c r="L44" s="114">
        <v>18363.8</v>
      </c>
      <c r="M44" s="122">
        <v>18407.8</v>
      </c>
      <c r="N44" s="160">
        <v>18485.400000000001</v>
      </c>
      <c r="O44" s="86">
        <v>18595.400000000001</v>
      </c>
      <c r="P44" s="122">
        <v>18651.599999999999</v>
      </c>
      <c r="Q44" s="160">
        <v>18791.5</v>
      </c>
      <c r="R44" s="114">
        <v>18826.8</v>
      </c>
      <c r="S44" s="122">
        <v>18903</v>
      </c>
      <c r="T44" s="205">
        <v>19013.7</v>
      </c>
      <c r="U44" s="86">
        <v>19308.5</v>
      </c>
      <c r="V44" s="122">
        <v>19412.7</v>
      </c>
      <c r="W44" s="205">
        <v>19553.2</v>
      </c>
      <c r="X44" s="114">
        <v>19603.3</v>
      </c>
      <c r="Y44" s="122">
        <v>19697.3</v>
      </c>
      <c r="Z44" s="205">
        <v>19747.5</v>
      </c>
      <c r="AA44" s="114">
        <v>19866.3</v>
      </c>
      <c r="AB44" s="122">
        <v>19905</v>
      </c>
      <c r="AC44" s="128">
        <v>20044.099999999999</v>
      </c>
      <c r="AD44" s="114">
        <v>20123.2</v>
      </c>
      <c r="AE44" s="122">
        <v>20235.099999999999</v>
      </c>
      <c r="AF44" s="203">
        <v>20408.099999999999</v>
      </c>
      <c r="AG44" s="90">
        <v>20370</v>
      </c>
      <c r="AH44" s="115">
        <v>20436.3</v>
      </c>
      <c r="AI44" s="203">
        <v>20578.5</v>
      </c>
      <c r="AJ44" s="90">
        <v>20622.3</v>
      </c>
      <c r="AK44" s="104">
        <v>20615.2</v>
      </c>
      <c r="AL44" s="1231">
        <v>20685.2</v>
      </c>
    </row>
    <row r="45" spans="1:40" ht="16.399999999999999" customHeight="1" x14ac:dyDescent="0.35">
      <c r="A45" s="135">
        <v>35</v>
      </c>
      <c r="B45" s="45" t="s">
        <v>1730</v>
      </c>
      <c r="C45" s="146">
        <v>5988.2</v>
      </c>
      <c r="D45" s="146">
        <v>5981.9</v>
      </c>
      <c r="E45" s="147">
        <v>5995.6</v>
      </c>
      <c r="F45" s="147">
        <v>6064.4</v>
      </c>
      <c r="G45" s="147">
        <v>5974.1</v>
      </c>
      <c r="H45" s="147">
        <v>5901.5</v>
      </c>
      <c r="I45" s="146">
        <v>6148.2</v>
      </c>
      <c r="J45" s="147">
        <v>6164.2</v>
      </c>
      <c r="K45" s="146">
        <v>6089.2</v>
      </c>
      <c r="L45" s="114">
        <v>6139.1</v>
      </c>
      <c r="M45" s="122">
        <v>6144.7</v>
      </c>
      <c r="N45" s="160">
        <v>6150.1</v>
      </c>
      <c r="O45" s="86">
        <v>6188.2</v>
      </c>
      <c r="P45" s="122">
        <v>6228.7</v>
      </c>
      <c r="Q45" s="160">
        <v>6278.4</v>
      </c>
      <c r="R45" s="114">
        <v>6250.7</v>
      </c>
      <c r="S45" s="122">
        <v>6242.4</v>
      </c>
      <c r="T45" s="205">
        <v>6273.8</v>
      </c>
      <c r="U45" s="86">
        <v>6115.8</v>
      </c>
      <c r="V45" s="122">
        <v>6134.2</v>
      </c>
      <c r="W45" s="205">
        <v>6196.5</v>
      </c>
      <c r="X45" s="114">
        <v>6186</v>
      </c>
      <c r="Y45" s="122">
        <v>6218.9</v>
      </c>
      <c r="Z45" s="205">
        <v>6209</v>
      </c>
      <c r="AA45" s="114">
        <v>6267.2</v>
      </c>
      <c r="AB45" s="122">
        <v>6229.2</v>
      </c>
      <c r="AC45" s="128">
        <v>6298.9</v>
      </c>
      <c r="AD45" s="114">
        <v>6292.9</v>
      </c>
      <c r="AE45" s="122">
        <v>6343.5</v>
      </c>
      <c r="AF45" s="203">
        <v>6428</v>
      </c>
      <c r="AG45" s="90">
        <v>6349.6</v>
      </c>
      <c r="AH45" s="115">
        <v>6378</v>
      </c>
      <c r="AI45" s="203">
        <v>6445.7</v>
      </c>
      <c r="AJ45" s="90">
        <v>6450.3</v>
      </c>
      <c r="AK45" s="104">
        <v>6402.3</v>
      </c>
      <c r="AL45" s="1231">
        <v>6432.1</v>
      </c>
    </row>
    <row r="46" spans="1:40" ht="16.399999999999999" customHeight="1" x14ac:dyDescent="0.35">
      <c r="A46" s="135">
        <v>36</v>
      </c>
      <c r="B46" s="173" t="s">
        <v>1774</v>
      </c>
      <c r="C46" s="146">
        <v>2189.5</v>
      </c>
      <c r="D46" s="146">
        <v>2197.8000000000002</v>
      </c>
      <c r="E46" s="147">
        <v>2200.1999999999998</v>
      </c>
      <c r="F46" s="147">
        <v>2238.9</v>
      </c>
      <c r="G46" s="147">
        <v>2167.3000000000002</v>
      </c>
      <c r="H46" s="147">
        <v>2134.9</v>
      </c>
      <c r="I46" s="146">
        <v>2213.6999999999998</v>
      </c>
      <c r="J46" s="147">
        <v>2203.6</v>
      </c>
      <c r="K46" s="146">
        <v>2167.3000000000002</v>
      </c>
      <c r="L46" s="114">
        <v>2183.6999999999998</v>
      </c>
      <c r="M46" s="122">
        <v>2202.8000000000002</v>
      </c>
      <c r="N46" s="160">
        <v>2194.1999999999998</v>
      </c>
      <c r="O46" s="86">
        <v>2206.9</v>
      </c>
      <c r="P46" s="122">
        <v>2193.1</v>
      </c>
      <c r="Q46" s="160">
        <v>2213.4</v>
      </c>
      <c r="R46" s="114">
        <v>2191.1</v>
      </c>
      <c r="S46" s="122">
        <v>2195.6999999999998</v>
      </c>
      <c r="T46" s="205">
        <v>2219.8000000000002</v>
      </c>
      <c r="U46" s="86">
        <v>2113</v>
      </c>
      <c r="V46" s="122">
        <v>2128.6</v>
      </c>
      <c r="W46" s="205">
        <v>2140.3000000000002</v>
      </c>
      <c r="X46" s="114">
        <v>2129.3000000000002</v>
      </c>
      <c r="Y46" s="122">
        <v>2151.6999999999998</v>
      </c>
      <c r="Z46" s="205">
        <v>2144.5</v>
      </c>
      <c r="AA46" s="114">
        <v>2170.9</v>
      </c>
      <c r="AB46" s="122">
        <v>2148.8000000000002</v>
      </c>
      <c r="AC46" s="128">
        <v>2185.6</v>
      </c>
      <c r="AD46" s="114">
        <v>2188.1</v>
      </c>
      <c r="AE46" s="122">
        <v>2237.4</v>
      </c>
      <c r="AF46" s="203">
        <v>2271</v>
      </c>
      <c r="AG46" s="90">
        <v>2183.1999999999998</v>
      </c>
      <c r="AH46" s="115">
        <v>2190.6</v>
      </c>
      <c r="AI46" s="203">
        <v>2274.6</v>
      </c>
      <c r="AJ46" s="90">
        <v>2280.1</v>
      </c>
      <c r="AK46" s="104">
        <v>2240.5</v>
      </c>
      <c r="AL46" s="1231">
        <v>2240</v>
      </c>
    </row>
    <row r="47" spans="1:40" ht="16.399999999999999" customHeight="1" x14ac:dyDescent="0.35">
      <c r="A47" s="135">
        <v>37</v>
      </c>
      <c r="B47" s="173" t="s">
        <v>1775</v>
      </c>
      <c r="C47" s="146">
        <v>3798.7</v>
      </c>
      <c r="D47" s="146">
        <v>3784.1</v>
      </c>
      <c r="E47" s="147">
        <v>3795.4</v>
      </c>
      <c r="F47" s="147">
        <v>3825.6</v>
      </c>
      <c r="G47" s="147">
        <v>3806.8</v>
      </c>
      <c r="H47" s="147">
        <v>3766.5</v>
      </c>
      <c r="I47" s="146">
        <v>3934.5</v>
      </c>
      <c r="J47" s="147">
        <v>3960.6</v>
      </c>
      <c r="K47" s="146">
        <v>3921.9</v>
      </c>
      <c r="L47" s="114">
        <v>3955.4</v>
      </c>
      <c r="M47" s="122">
        <v>3941.9</v>
      </c>
      <c r="N47" s="160">
        <v>3955.9</v>
      </c>
      <c r="O47" s="86">
        <v>3981.3</v>
      </c>
      <c r="P47" s="122">
        <v>4035.5</v>
      </c>
      <c r="Q47" s="160">
        <v>4065</v>
      </c>
      <c r="R47" s="114">
        <v>4059.7</v>
      </c>
      <c r="S47" s="122">
        <v>4046.7</v>
      </c>
      <c r="T47" s="205">
        <v>4054</v>
      </c>
      <c r="U47" s="86">
        <v>4002.8</v>
      </c>
      <c r="V47" s="122">
        <v>4005.6</v>
      </c>
      <c r="W47" s="205">
        <v>4056.2</v>
      </c>
      <c r="X47" s="114">
        <v>4056.7</v>
      </c>
      <c r="Y47" s="122">
        <v>4067.2</v>
      </c>
      <c r="Z47" s="205">
        <v>4064.5</v>
      </c>
      <c r="AA47" s="114">
        <v>4096.3</v>
      </c>
      <c r="AB47" s="122">
        <v>4080.4</v>
      </c>
      <c r="AC47" s="128">
        <v>4113.3</v>
      </c>
      <c r="AD47" s="114">
        <v>4104.8</v>
      </c>
      <c r="AE47" s="122">
        <v>4106.1000000000004</v>
      </c>
      <c r="AF47" s="199">
        <v>4157</v>
      </c>
      <c r="AG47" s="90">
        <v>4166.3999999999996</v>
      </c>
      <c r="AH47" s="115">
        <v>4187.3999999999996</v>
      </c>
      <c r="AI47" s="203">
        <v>4171.1000000000004</v>
      </c>
      <c r="AJ47" s="90">
        <v>4170.2</v>
      </c>
      <c r="AK47" s="104">
        <v>4161.8</v>
      </c>
      <c r="AL47" s="1231">
        <v>4192.2</v>
      </c>
    </row>
    <row r="48" spans="1:40" ht="16.399999999999999" customHeight="1" x14ac:dyDescent="0.35">
      <c r="A48" s="135">
        <v>38</v>
      </c>
      <c r="B48" s="45" t="s">
        <v>1731</v>
      </c>
      <c r="C48" s="146">
        <v>11432.1</v>
      </c>
      <c r="D48" s="146">
        <v>11568.9</v>
      </c>
      <c r="E48" s="147">
        <v>11661.2</v>
      </c>
      <c r="F48" s="147">
        <v>11713.7</v>
      </c>
      <c r="G48" s="147">
        <v>11760.9</v>
      </c>
      <c r="H48" s="147">
        <v>11835</v>
      </c>
      <c r="I48" s="146">
        <v>12081.4</v>
      </c>
      <c r="J48" s="147">
        <v>12132.4</v>
      </c>
      <c r="K48" s="146">
        <v>12193.4</v>
      </c>
      <c r="L48" s="114">
        <v>12224.7</v>
      </c>
      <c r="M48" s="122">
        <v>12263</v>
      </c>
      <c r="N48" s="160">
        <v>12335.3</v>
      </c>
      <c r="O48" s="86">
        <v>12407.2</v>
      </c>
      <c r="P48" s="122">
        <v>12422.9</v>
      </c>
      <c r="Q48" s="160">
        <v>12513</v>
      </c>
      <c r="R48" s="114">
        <v>12576.1</v>
      </c>
      <c r="S48" s="122">
        <v>12660.5</v>
      </c>
      <c r="T48" s="205">
        <v>12739.9</v>
      </c>
      <c r="U48" s="86">
        <v>13192.6</v>
      </c>
      <c r="V48" s="122">
        <v>13278.5</v>
      </c>
      <c r="W48" s="205">
        <v>13356.7</v>
      </c>
      <c r="X48" s="114">
        <v>13417.3</v>
      </c>
      <c r="Y48" s="122">
        <v>13478.5</v>
      </c>
      <c r="Z48" s="205">
        <v>13538.5</v>
      </c>
      <c r="AA48" s="114">
        <v>13599</v>
      </c>
      <c r="AB48" s="122">
        <v>13675.7</v>
      </c>
      <c r="AC48" s="128">
        <v>13745.2</v>
      </c>
      <c r="AD48" s="114">
        <v>13830.3</v>
      </c>
      <c r="AE48" s="122">
        <v>13891.6</v>
      </c>
      <c r="AF48" s="199">
        <v>13980.1</v>
      </c>
      <c r="AG48" s="90">
        <v>14020.4</v>
      </c>
      <c r="AH48" s="115">
        <v>14058.4</v>
      </c>
      <c r="AI48" s="203">
        <v>14132.8</v>
      </c>
      <c r="AJ48" s="90">
        <v>14172</v>
      </c>
      <c r="AK48" s="104">
        <v>14213</v>
      </c>
      <c r="AL48" s="1231">
        <v>14253</v>
      </c>
    </row>
    <row r="49" spans="1:38" ht="16.399999999999999" customHeight="1" x14ac:dyDescent="0.35">
      <c r="A49" s="135">
        <v>39</v>
      </c>
      <c r="B49" s="102" t="s">
        <v>1776</v>
      </c>
      <c r="C49" s="146">
        <v>338.7</v>
      </c>
      <c r="D49" s="146">
        <v>357.1</v>
      </c>
      <c r="E49" s="147">
        <v>375.6</v>
      </c>
      <c r="F49" s="147">
        <v>389.1</v>
      </c>
      <c r="G49" s="147">
        <v>402.6</v>
      </c>
      <c r="H49" s="147">
        <v>416.1</v>
      </c>
      <c r="I49" s="146">
        <v>415</v>
      </c>
      <c r="J49" s="147">
        <v>419.8</v>
      </c>
      <c r="K49" s="146">
        <v>424.7</v>
      </c>
      <c r="L49" s="114">
        <v>449.7</v>
      </c>
      <c r="M49" s="122">
        <v>474.7</v>
      </c>
      <c r="N49" s="160">
        <v>499.8</v>
      </c>
      <c r="O49" s="86">
        <v>510</v>
      </c>
      <c r="P49" s="122">
        <v>519</v>
      </c>
      <c r="Q49" s="160">
        <v>562.79999999999995</v>
      </c>
      <c r="R49" s="114">
        <v>547.29999999999995</v>
      </c>
      <c r="S49" s="122">
        <v>531.70000000000005</v>
      </c>
      <c r="T49" s="205">
        <v>516.1</v>
      </c>
      <c r="U49" s="86">
        <v>525.79999999999995</v>
      </c>
      <c r="V49" s="122">
        <v>534.4</v>
      </c>
      <c r="W49" s="205">
        <v>542.9</v>
      </c>
      <c r="X49" s="114">
        <v>547.29999999999995</v>
      </c>
      <c r="Y49" s="122">
        <v>551.70000000000005</v>
      </c>
      <c r="Z49" s="205">
        <v>556.1</v>
      </c>
      <c r="AA49" s="114">
        <v>558.29999999999995</v>
      </c>
      <c r="AB49" s="122">
        <v>560.5</v>
      </c>
      <c r="AC49" s="128">
        <v>562.70000000000005</v>
      </c>
      <c r="AD49" s="114">
        <v>560.4</v>
      </c>
      <c r="AE49" s="122">
        <v>558.20000000000005</v>
      </c>
      <c r="AF49" s="199">
        <v>556</v>
      </c>
      <c r="AG49" s="90">
        <v>558.70000000000005</v>
      </c>
      <c r="AH49" s="115">
        <v>561.29999999999995</v>
      </c>
      <c r="AI49" s="203">
        <v>564</v>
      </c>
      <c r="AJ49" s="90">
        <v>563</v>
      </c>
      <c r="AK49" s="104">
        <v>562.1</v>
      </c>
      <c r="AL49" s="1231">
        <v>561.1</v>
      </c>
    </row>
    <row r="50" spans="1:38" x14ac:dyDescent="0.35">
      <c r="A50" s="135">
        <v>40</v>
      </c>
      <c r="B50" s="102" t="s">
        <v>1777</v>
      </c>
      <c r="C50" s="146">
        <v>224.4</v>
      </c>
      <c r="D50" s="146">
        <v>224.7</v>
      </c>
      <c r="E50" s="147">
        <v>225</v>
      </c>
      <c r="F50" s="147">
        <v>224.5</v>
      </c>
      <c r="G50" s="147">
        <v>224.7</v>
      </c>
      <c r="H50" s="147">
        <v>224.8</v>
      </c>
      <c r="I50" s="146">
        <v>242.4</v>
      </c>
      <c r="J50" s="147">
        <v>242.6</v>
      </c>
      <c r="K50" s="146">
        <v>242.8</v>
      </c>
      <c r="L50" s="114">
        <v>242.6</v>
      </c>
      <c r="M50" s="122">
        <v>242.9</v>
      </c>
      <c r="N50" s="160">
        <v>243.1</v>
      </c>
      <c r="O50" s="86">
        <v>246.1</v>
      </c>
      <c r="P50" s="122">
        <v>246.4</v>
      </c>
      <c r="Q50" s="160">
        <v>246.7</v>
      </c>
      <c r="R50" s="114">
        <v>248.8</v>
      </c>
      <c r="S50" s="122">
        <v>249.1</v>
      </c>
      <c r="T50" s="205">
        <v>249.5</v>
      </c>
      <c r="U50" s="86">
        <v>271</v>
      </c>
      <c r="V50" s="122">
        <v>271.39999999999998</v>
      </c>
      <c r="W50" s="205">
        <v>271.7</v>
      </c>
      <c r="X50" s="114">
        <v>272.7</v>
      </c>
      <c r="Y50" s="122">
        <v>273.10000000000002</v>
      </c>
      <c r="Z50" s="205">
        <v>273.5</v>
      </c>
      <c r="AA50" s="114">
        <v>274.2</v>
      </c>
      <c r="AB50" s="122">
        <v>274.7</v>
      </c>
      <c r="AC50" s="128">
        <v>275.10000000000002</v>
      </c>
      <c r="AD50" s="114">
        <v>276</v>
      </c>
      <c r="AE50" s="122">
        <v>276.5</v>
      </c>
      <c r="AF50" s="199">
        <v>277</v>
      </c>
      <c r="AG50" s="90">
        <v>253.3</v>
      </c>
      <c r="AH50" s="115">
        <v>280.2</v>
      </c>
      <c r="AI50" s="203">
        <v>280.7</v>
      </c>
      <c r="AJ50" s="90">
        <v>282.2</v>
      </c>
      <c r="AK50" s="104">
        <v>282.7</v>
      </c>
      <c r="AL50" s="1231">
        <v>283.2</v>
      </c>
    </row>
    <row r="51" spans="1:38" x14ac:dyDescent="0.35">
      <c r="A51" s="135">
        <v>41</v>
      </c>
      <c r="B51" s="45" t="s">
        <v>1778</v>
      </c>
      <c r="C51" s="146">
        <v>116.1</v>
      </c>
      <c r="D51" s="146">
        <v>116.4</v>
      </c>
      <c r="E51" s="147">
        <v>116.7</v>
      </c>
      <c r="F51" s="147">
        <v>116.9</v>
      </c>
      <c r="G51" s="147">
        <v>117.1</v>
      </c>
      <c r="H51" s="147">
        <v>117.2</v>
      </c>
      <c r="I51" s="146">
        <v>129.5</v>
      </c>
      <c r="J51" s="147">
        <v>129.69999999999999</v>
      </c>
      <c r="K51" s="146">
        <v>129.9</v>
      </c>
      <c r="L51" s="114">
        <v>130.1</v>
      </c>
      <c r="M51" s="122">
        <v>130.4</v>
      </c>
      <c r="N51" s="160">
        <v>130.6</v>
      </c>
      <c r="O51" s="86">
        <v>130.9</v>
      </c>
      <c r="P51" s="122">
        <v>131.19999999999999</v>
      </c>
      <c r="Q51" s="160">
        <v>131.5</v>
      </c>
      <c r="R51" s="114">
        <v>131.80000000000001</v>
      </c>
      <c r="S51" s="122">
        <v>132.1</v>
      </c>
      <c r="T51" s="205">
        <v>132.5</v>
      </c>
      <c r="U51" s="86">
        <v>137.5</v>
      </c>
      <c r="V51" s="122">
        <v>137.9</v>
      </c>
      <c r="W51" s="205">
        <v>138.19999999999999</v>
      </c>
      <c r="X51" s="114">
        <v>138.6</v>
      </c>
      <c r="Y51" s="122">
        <v>139</v>
      </c>
      <c r="Z51" s="205">
        <v>139.4</v>
      </c>
      <c r="AA51" s="114">
        <v>139.80000000000001</v>
      </c>
      <c r="AB51" s="122">
        <v>140.19999999999999</v>
      </c>
      <c r="AC51" s="128">
        <v>140.69999999999999</v>
      </c>
      <c r="AD51" s="114">
        <v>141.19999999999999</v>
      </c>
      <c r="AE51" s="122">
        <v>141.69999999999999</v>
      </c>
      <c r="AF51" s="199">
        <v>142.19999999999999</v>
      </c>
      <c r="AG51" s="90">
        <v>142.80000000000001</v>
      </c>
      <c r="AH51" s="115">
        <v>143.19999999999999</v>
      </c>
      <c r="AI51" s="203">
        <v>143.69999999999999</v>
      </c>
      <c r="AJ51" s="90">
        <v>144.19999999999999</v>
      </c>
      <c r="AK51" s="104">
        <v>144.69999999999999</v>
      </c>
      <c r="AL51" s="1231">
        <v>145.19999999999999</v>
      </c>
    </row>
    <row r="52" spans="1:38" x14ac:dyDescent="0.35">
      <c r="A52" s="135">
        <v>42</v>
      </c>
      <c r="B52" s="45" t="s">
        <v>1779</v>
      </c>
      <c r="C52" s="146">
        <v>108.3</v>
      </c>
      <c r="D52" s="146">
        <v>108.3</v>
      </c>
      <c r="E52" s="147">
        <v>108.3</v>
      </c>
      <c r="F52" s="147">
        <v>107.6</v>
      </c>
      <c r="G52" s="147">
        <v>107.6</v>
      </c>
      <c r="H52" s="147">
        <v>107.6</v>
      </c>
      <c r="I52" s="146">
        <v>112.9</v>
      </c>
      <c r="J52" s="147">
        <v>112.9</v>
      </c>
      <c r="K52" s="146">
        <v>112.9</v>
      </c>
      <c r="L52" s="114">
        <v>112.5</v>
      </c>
      <c r="M52" s="122">
        <v>112.5</v>
      </c>
      <c r="N52" s="160">
        <v>112.5</v>
      </c>
      <c r="O52" s="86">
        <v>115.2</v>
      </c>
      <c r="P52" s="122">
        <v>115.2</v>
      </c>
      <c r="Q52" s="160">
        <v>115.2</v>
      </c>
      <c r="R52" s="114">
        <v>117</v>
      </c>
      <c r="S52" s="122">
        <v>117</v>
      </c>
      <c r="T52" s="205">
        <v>117</v>
      </c>
      <c r="U52" s="86">
        <v>133.5</v>
      </c>
      <c r="V52" s="122">
        <v>133.5</v>
      </c>
      <c r="W52" s="205">
        <v>133.5</v>
      </c>
      <c r="X52" s="114">
        <v>134.1</v>
      </c>
      <c r="Y52" s="122">
        <v>134.1</v>
      </c>
      <c r="Z52" s="205">
        <v>134.1</v>
      </c>
      <c r="AA52" s="114">
        <v>134.4</v>
      </c>
      <c r="AB52" s="122">
        <v>134.4</v>
      </c>
      <c r="AC52" s="128">
        <v>134.4</v>
      </c>
      <c r="AD52" s="114">
        <v>134.80000000000001</v>
      </c>
      <c r="AE52" s="122">
        <v>134.80000000000001</v>
      </c>
      <c r="AF52" s="199">
        <v>134.80000000000001</v>
      </c>
      <c r="AG52" s="90">
        <v>110.6</v>
      </c>
      <c r="AH52" s="115">
        <v>137</v>
      </c>
      <c r="AI52" s="203">
        <v>137</v>
      </c>
      <c r="AJ52" s="90">
        <v>138</v>
      </c>
      <c r="AK52" s="104">
        <v>138</v>
      </c>
      <c r="AL52" s="1231">
        <v>138</v>
      </c>
    </row>
    <row r="53" spans="1:38" x14ac:dyDescent="0.35">
      <c r="A53" s="135">
        <v>43</v>
      </c>
      <c r="B53" s="47" t="s">
        <v>244</v>
      </c>
      <c r="C53" s="144">
        <v>644.70000000000005</v>
      </c>
      <c r="D53" s="144">
        <v>606.4</v>
      </c>
      <c r="E53" s="145">
        <v>574.4</v>
      </c>
      <c r="F53" s="145">
        <v>577.4</v>
      </c>
      <c r="G53" s="145">
        <v>664.1</v>
      </c>
      <c r="H53" s="145">
        <v>702.3</v>
      </c>
      <c r="I53" s="144">
        <v>871.1</v>
      </c>
      <c r="J53" s="145">
        <v>926</v>
      </c>
      <c r="K53" s="144">
        <v>1047.5</v>
      </c>
      <c r="L53" s="113">
        <v>1042.5</v>
      </c>
      <c r="M53" s="121">
        <v>1060</v>
      </c>
      <c r="N53" s="159">
        <v>980.1</v>
      </c>
      <c r="O53" s="85">
        <v>890.7</v>
      </c>
      <c r="P53" s="121">
        <v>909.4</v>
      </c>
      <c r="Q53" s="159">
        <v>791.6</v>
      </c>
      <c r="R53" s="113">
        <v>781</v>
      </c>
      <c r="S53" s="121">
        <v>766</v>
      </c>
      <c r="T53" s="197">
        <v>732.3</v>
      </c>
      <c r="U53" s="85">
        <v>1173.5</v>
      </c>
      <c r="V53" s="121">
        <v>1146.2</v>
      </c>
      <c r="W53" s="197">
        <v>1124.5</v>
      </c>
      <c r="X53" s="113">
        <v>1098.0999999999999</v>
      </c>
      <c r="Y53" s="121">
        <v>1054.5999999999999</v>
      </c>
      <c r="Z53" s="197">
        <v>1030.5999999999999</v>
      </c>
      <c r="AA53" s="113">
        <v>931.9</v>
      </c>
      <c r="AB53" s="121">
        <v>904.3</v>
      </c>
      <c r="AC53" s="127">
        <v>830.7</v>
      </c>
      <c r="AD53" s="113">
        <v>892.7</v>
      </c>
      <c r="AE53" s="121">
        <v>845.6</v>
      </c>
      <c r="AF53" s="204">
        <v>765.1</v>
      </c>
      <c r="AG53" s="184">
        <v>918.8</v>
      </c>
      <c r="AH53" s="195">
        <v>986.2</v>
      </c>
      <c r="AI53" s="204">
        <v>985.1</v>
      </c>
      <c r="AJ53" s="90">
        <v>1126.8</v>
      </c>
      <c r="AK53" s="104">
        <v>1016.2</v>
      </c>
      <c r="AL53" s="1231">
        <v>1007.8</v>
      </c>
    </row>
    <row r="54" spans="1:38" x14ac:dyDescent="0.35">
      <c r="A54" s="136">
        <v>44</v>
      </c>
      <c r="B54" s="212" t="s">
        <v>1780</v>
      </c>
      <c r="C54" s="144">
        <v>3.5</v>
      </c>
      <c r="D54" s="144">
        <v>3.2</v>
      </c>
      <c r="E54" s="145">
        <v>3</v>
      </c>
      <c r="F54" s="145">
        <v>3</v>
      </c>
      <c r="G54" s="145">
        <v>3.5</v>
      </c>
      <c r="H54" s="145">
        <v>3.7</v>
      </c>
      <c r="I54" s="144">
        <v>4.4000000000000004</v>
      </c>
      <c r="J54" s="145">
        <v>4.7</v>
      </c>
      <c r="K54" s="144">
        <v>5.2</v>
      </c>
      <c r="L54" s="113">
        <v>5.2</v>
      </c>
      <c r="M54" s="121">
        <v>5.3</v>
      </c>
      <c r="N54" s="159">
        <v>4.8</v>
      </c>
      <c r="O54" s="85">
        <v>4.4000000000000004</v>
      </c>
      <c r="P54" s="121">
        <v>4.5</v>
      </c>
      <c r="Q54" s="159">
        <v>3.9</v>
      </c>
      <c r="R54" s="113">
        <v>3.8</v>
      </c>
      <c r="S54" s="121">
        <v>3.7</v>
      </c>
      <c r="T54" s="197">
        <v>3.6</v>
      </c>
      <c r="U54" s="85">
        <v>5.5</v>
      </c>
      <c r="V54" s="121">
        <v>5.4</v>
      </c>
      <c r="W54" s="197">
        <v>5.2</v>
      </c>
      <c r="X54" s="113">
        <v>5.0999999999999996</v>
      </c>
      <c r="Y54" s="121">
        <v>4.9000000000000004</v>
      </c>
      <c r="Z54" s="197">
        <v>4.8</v>
      </c>
      <c r="AA54" s="113">
        <v>4.3</v>
      </c>
      <c r="AB54" s="121">
        <v>4.2</v>
      </c>
      <c r="AC54" s="127">
        <v>3.8</v>
      </c>
      <c r="AD54" s="113">
        <v>4.0999999999999996</v>
      </c>
      <c r="AE54" s="121">
        <v>3.9</v>
      </c>
      <c r="AF54" s="204">
        <v>3.5</v>
      </c>
      <c r="AG54" s="184">
        <v>4.2</v>
      </c>
      <c r="AH54" s="195">
        <v>4.4000000000000004</v>
      </c>
      <c r="AI54" s="204">
        <v>4.4000000000000004</v>
      </c>
      <c r="AJ54" s="90">
        <v>5</v>
      </c>
      <c r="AK54" s="104">
        <v>4.5</v>
      </c>
      <c r="AL54" s="1231">
        <v>4.5</v>
      </c>
    </row>
    <row r="55" spans="1:38" x14ac:dyDescent="0.35">
      <c r="A55" s="135"/>
      <c r="B55" s="47" t="s">
        <v>1732</v>
      </c>
      <c r="C55" s="144"/>
      <c r="D55" s="144"/>
      <c r="E55" s="145"/>
      <c r="F55" s="145"/>
      <c r="G55" s="145"/>
      <c r="H55" s="145"/>
      <c r="I55" s="144"/>
      <c r="J55" s="145"/>
      <c r="K55" s="144"/>
      <c r="L55" s="113"/>
      <c r="M55" s="121"/>
      <c r="N55" s="159"/>
      <c r="O55" s="85"/>
      <c r="P55" s="121"/>
      <c r="Q55" s="159"/>
      <c r="R55" s="113"/>
      <c r="S55" s="121"/>
      <c r="T55" s="197"/>
      <c r="U55" s="85"/>
      <c r="V55" s="121"/>
      <c r="W55" s="197"/>
      <c r="X55" s="113"/>
      <c r="Y55" s="121"/>
      <c r="Z55" s="197"/>
      <c r="AA55" s="113"/>
      <c r="AB55" s="121"/>
      <c r="AC55" s="127"/>
      <c r="AD55" s="113"/>
      <c r="AE55" s="121"/>
      <c r="AF55" s="203"/>
      <c r="AG55" s="90"/>
      <c r="AH55" s="115"/>
      <c r="AI55" s="203"/>
      <c r="AJ55" s="90"/>
      <c r="AK55" s="104"/>
      <c r="AL55" s="1231"/>
    </row>
    <row r="56" spans="1:38" ht="31" customHeight="1" x14ac:dyDescent="0.35">
      <c r="A56" s="136">
        <v>45</v>
      </c>
      <c r="B56" s="212" t="s">
        <v>1781</v>
      </c>
      <c r="C56" s="144">
        <v>14559.1</v>
      </c>
      <c r="D56" s="144">
        <v>14618.2</v>
      </c>
      <c r="E56" s="145">
        <v>14653.2</v>
      </c>
      <c r="F56" s="145">
        <v>14618.1</v>
      </c>
      <c r="G56" s="145">
        <v>14607</v>
      </c>
      <c r="H56" s="145">
        <v>14604.2</v>
      </c>
      <c r="I56" s="144">
        <v>15496.1</v>
      </c>
      <c r="J56" s="145">
        <v>15529.2</v>
      </c>
      <c r="K56" s="144">
        <v>15596.8</v>
      </c>
      <c r="L56" s="113">
        <v>15592.2</v>
      </c>
      <c r="M56" s="121">
        <v>15622.4</v>
      </c>
      <c r="N56" s="159">
        <v>15638</v>
      </c>
      <c r="O56" s="85">
        <v>15691.7</v>
      </c>
      <c r="P56" s="121">
        <v>15726.6</v>
      </c>
      <c r="Q56" s="159">
        <v>15741.9</v>
      </c>
      <c r="R56" s="113">
        <v>15749.7</v>
      </c>
      <c r="S56" s="121">
        <v>15795.9</v>
      </c>
      <c r="T56" s="197">
        <v>15823.3</v>
      </c>
      <c r="U56" s="85">
        <v>16227.8</v>
      </c>
      <c r="V56" s="121">
        <v>16232.7</v>
      </c>
      <c r="W56" s="197">
        <v>16269.5</v>
      </c>
      <c r="X56" s="113">
        <v>16240.4</v>
      </c>
      <c r="Y56" s="121">
        <v>16291.7</v>
      </c>
      <c r="Z56" s="197">
        <v>16292.1</v>
      </c>
      <c r="AA56" s="113">
        <v>16281.1</v>
      </c>
      <c r="AB56" s="121">
        <v>16279.2</v>
      </c>
      <c r="AC56" s="127">
        <v>16283.1</v>
      </c>
      <c r="AD56" s="113">
        <v>16359.2</v>
      </c>
      <c r="AE56" s="121">
        <v>16412.099999999999</v>
      </c>
      <c r="AF56" s="204">
        <v>16434.599999999999</v>
      </c>
      <c r="AG56" s="184">
        <v>16430.3</v>
      </c>
      <c r="AH56" s="195">
        <v>16428.599999999999</v>
      </c>
      <c r="AI56" s="204">
        <v>16522.599999999999</v>
      </c>
      <c r="AJ56" s="90">
        <v>16552.2</v>
      </c>
      <c r="AK56" s="104">
        <v>16522.8</v>
      </c>
      <c r="AL56" s="1231">
        <v>16496</v>
      </c>
    </row>
    <row r="57" spans="1:38" x14ac:dyDescent="0.35">
      <c r="A57" s="135"/>
      <c r="B57" s="168" t="s">
        <v>1782</v>
      </c>
      <c r="C57" s="144"/>
      <c r="D57" s="144"/>
      <c r="E57" s="145"/>
      <c r="F57" s="145"/>
      <c r="G57" s="145"/>
      <c r="H57" s="145"/>
      <c r="I57" s="144"/>
      <c r="J57" s="145"/>
      <c r="K57" s="144"/>
      <c r="L57" s="113"/>
      <c r="M57" s="121"/>
      <c r="N57" s="159"/>
      <c r="O57" s="85"/>
      <c r="P57" s="121"/>
      <c r="Q57" s="159"/>
      <c r="R57" s="113"/>
      <c r="S57" s="121"/>
      <c r="T57" s="197"/>
      <c r="U57" s="85"/>
      <c r="V57" s="121"/>
      <c r="W57" s="197"/>
      <c r="X57" s="113"/>
      <c r="Y57" s="121"/>
      <c r="Z57" s="197"/>
      <c r="AA57" s="113"/>
      <c r="AB57" s="121"/>
      <c r="AC57" s="127"/>
      <c r="AD57" s="113"/>
      <c r="AE57" s="121"/>
      <c r="AF57" s="203"/>
      <c r="AG57" s="90"/>
      <c r="AH57" s="115"/>
      <c r="AI57" s="203"/>
      <c r="AJ57" s="90"/>
      <c r="AK57" s="104"/>
      <c r="AL57" s="1231"/>
    </row>
    <row r="58" spans="1:38" ht="16.399999999999999" customHeight="1" x14ac:dyDescent="0.35">
      <c r="A58" s="135">
        <v>46</v>
      </c>
      <c r="B58" s="171" t="s">
        <v>1783</v>
      </c>
      <c r="C58" s="146">
        <v>15100.2</v>
      </c>
      <c r="D58" s="146">
        <v>15149.6</v>
      </c>
      <c r="E58" s="147">
        <v>15172.2</v>
      </c>
      <c r="F58" s="147">
        <v>15218.9</v>
      </c>
      <c r="G58" s="147">
        <v>15238.7</v>
      </c>
      <c r="H58" s="147">
        <v>15250.6</v>
      </c>
      <c r="I58" s="146">
        <v>16601.900000000001</v>
      </c>
      <c r="J58" s="147">
        <v>16656.099999999999</v>
      </c>
      <c r="K58" s="146">
        <v>16730.2</v>
      </c>
      <c r="L58" s="114">
        <v>16763.900000000001</v>
      </c>
      <c r="M58" s="122">
        <v>16818.5</v>
      </c>
      <c r="N58" s="160">
        <v>16809.5</v>
      </c>
      <c r="O58" s="86">
        <v>16816.400000000001</v>
      </c>
      <c r="P58" s="122">
        <v>16826.2</v>
      </c>
      <c r="Q58" s="160">
        <v>16816.3</v>
      </c>
      <c r="R58" s="114">
        <v>16819.900000000001</v>
      </c>
      <c r="S58" s="122">
        <v>16859.599999999999</v>
      </c>
      <c r="T58" s="205">
        <v>16889.2</v>
      </c>
      <c r="U58" s="86">
        <v>17426.2</v>
      </c>
      <c r="V58" s="122">
        <v>17442.400000000001</v>
      </c>
      <c r="W58" s="205">
        <v>17486.900000000001</v>
      </c>
      <c r="X58" s="114">
        <v>17464.900000000001</v>
      </c>
      <c r="Y58" s="122">
        <v>17511.099999999999</v>
      </c>
      <c r="Z58" s="205">
        <v>17515.599999999999</v>
      </c>
      <c r="AA58" s="114">
        <v>17505</v>
      </c>
      <c r="AB58" s="122">
        <v>17494.599999999999</v>
      </c>
      <c r="AC58" s="128">
        <v>17519.599999999999</v>
      </c>
      <c r="AD58" s="114">
        <v>17586.3</v>
      </c>
      <c r="AE58" s="122">
        <v>17618</v>
      </c>
      <c r="AF58" s="203">
        <v>17638.599999999999</v>
      </c>
      <c r="AG58" s="90">
        <v>17647.900000000001</v>
      </c>
      <c r="AH58" s="115">
        <v>17702.900000000001</v>
      </c>
      <c r="AI58" s="203">
        <v>17814.8</v>
      </c>
      <c r="AJ58" s="90">
        <v>17934.2</v>
      </c>
      <c r="AK58" s="104">
        <v>17810.8</v>
      </c>
      <c r="AL58" s="1231">
        <v>17809.099999999999</v>
      </c>
    </row>
    <row r="59" spans="1:38" x14ac:dyDescent="0.35">
      <c r="A59" s="135"/>
      <c r="B59" s="45" t="s">
        <v>1784</v>
      </c>
      <c r="C59" s="146"/>
      <c r="D59" s="146"/>
      <c r="E59" s="147"/>
      <c r="F59" s="147"/>
      <c r="G59" s="147"/>
      <c r="H59" s="147"/>
      <c r="I59" s="146"/>
      <c r="J59" s="147"/>
      <c r="K59" s="146"/>
      <c r="L59" s="114"/>
      <c r="M59" s="122"/>
      <c r="N59" s="160"/>
      <c r="O59" s="86"/>
      <c r="P59" s="122"/>
      <c r="Q59" s="160"/>
      <c r="R59" s="114"/>
      <c r="S59" s="122"/>
      <c r="T59" s="205"/>
      <c r="U59" s="86"/>
      <c r="V59" s="122"/>
      <c r="W59" s="205"/>
      <c r="X59" s="114"/>
      <c r="Y59" s="122"/>
      <c r="Z59" s="205"/>
      <c r="AA59" s="114"/>
      <c r="AB59" s="122"/>
      <c r="AC59" s="128"/>
      <c r="AD59" s="114"/>
      <c r="AE59" s="122"/>
      <c r="AF59" s="203"/>
      <c r="AG59" s="90"/>
      <c r="AH59" s="115"/>
      <c r="AI59" s="203"/>
      <c r="AJ59" s="90"/>
      <c r="AK59" s="104"/>
      <c r="AL59" s="1231"/>
    </row>
    <row r="60" spans="1:38" x14ac:dyDescent="0.35">
      <c r="A60" s="135">
        <v>47</v>
      </c>
      <c r="B60" s="173" t="s">
        <v>1785</v>
      </c>
      <c r="C60" s="148">
        <v>55836</v>
      </c>
      <c r="D60" s="148">
        <v>56139</v>
      </c>
      <c r="E60" s="149">
        <v>56387</v>
      </c>
      <c r="F60" s="149">
        <v>56770</v>
      </c>
      <c r="G60" s="149">
        <v>56917</v>
      </c>
      <c r="H60" s="149">
        <v>57053</v>
      </c>
      <c r="I60" s="148">
        <v>59062</v>
      </c>
      <c r="J60" s="149">
        <v>59423</v>
      </c>
      <c r="K60" s="148">
        <v>59738</v>
      </c>
      <c r="L60" s="116">
        <v>60018</v>
      </c>
      <c r="M60" s="123">
        <v>60253</v>
      </c>
      <c r="N60" s="161">
        <v>60309</v>
      </c>
      <c r="O60" s="88">
        <v>60380</v>
      </c>
      <c r="P60" s="123">
        <v>60598</v>
      </c>
      <c r="Q60" s="161">
        <v>60762</v>
      </c>
      <c r="R60" s="116">
        <v>60767</v>
      </c>
      <c r="S60" s="123">
        <v>60876</v>
      </c>
      <c r="T60" s="210">
        <v>61033</v>
      </c>
      <c r="U60" s="88">
        <v>63293</v>
      </c>
      <c r="V60" s="123">
        <v>63527</v>
      </c>
      <c r="W60" s="210">
        <v>63885</v>
      </c>
      <c r="X60" s="116">
        <v>63947</v>
      </c>
      <c r="Y60" s="123">
        <v>64085</v>
      </c>
      <c r="Z60" s="210">
        <v>64149</v>
      </c>
      <c r="AA60" s="116">
        <v>63536</v>
      </c>
      <c r="AB60" s="123">
        <v>63541</v>
      </c>
      <c r="AC60" s="129">
        <v>63706</v>
      </c>
      <c r="AD60" s="116">
        <v>64083</v>
      </c>
      <c r="AE60" s="123">
        <v>64236</v>
      </c>
      <c r="AF60" s="203">
        <v>64474</v>
      </c>
      <c r="AG60" s="90">
        <v>64726</v>
      </c>
      <c r="AH60" s="115">
        <v>65178</v>
      </c>
      <c r="AI60" s="203">
        <v>65573</v>
      </c>
      <c r="AJ60" s="90">
        <v>66089</v>
      </c>
      <c r="AK60" s="104">
        <v>65714</v>
      </c>
      <c r="AL60" s="1231">
        <v>65860</v>
      </c>
    </row>
    <row r="61" spans="1:38" x14ac:dyDescent="0.35">
      <c r="A61" s="135">
        <v>48</v>
      </c>
      <c r="B61" s="173" t="s">
        <v>1786</v>
      </c>
      <c r="C61" s="148">
        <v>45261</v>
      </c>
      <c r="D61" s="148">
        <v>45385</v>
      </c>
      <c r="E61" s="149">
        <v>45429</v>
      </c>
      <c r="F61" s="149">
        <v>45546</v>
      </c>
      <c r="G61" s="149">
        <v>45586</v>
      </c>
      <c r="H61" s="149">
        <v>45603</v>
      </c>
      <c r="I61" s="148">
        <v>49627</v>
      </c>
      <c r="J61" s="149">
        <v>49774</v>
      </c>
      <c r="K61" s="148">
        <v>49978</v>
      </c>
      <c r="L61" s="116">
        <v>50060</v>
      </c>
      <c r="M61" s="123">
        <v>50203</v>
      </c>
      <c r="N61" s="161">
        <v>50166</v>
      </c>
      <c r="O61" s="88">
        <v>50161</v>
      </c>
      <c r="P61" s="123">
        <v>50163</v>
      </c>
      <c r="Q61" s="161">
        <v>50106</v>
      </c>
      <c r="R61" s="116">
        <v>50093</v>
      </c>
      <c r="S61" s="123">
        <v>50188</v>
      </c>
      <c r="T61" s="210">
        <v>50255</v>
      </c>
      <c r="U61" s="88">
        <v>51834</v>
      </c>
      <c r="V61" s="123">
        <v>51865</v>
      </c>
      <c r="W61" s="210">
        <v>51979</v>
      </c>
      <c r="X61" s="116">
        <v>51894</v>
      </c>
      <c r="Y61" s="123">
        <v>52010</v>
      </c>
      <c r="Z61" s="210">
        <v>52000</v>
      </c>
      <c r="AA61" s="116">
        <v>51418</v>
      </c>
      <c r="AB61" s="123">
        <v>51359</v>
      </c>
      <c r="AC61" s="129">
        <v>51404</v>
      </c>
      <c r="AD61" s="116">
        <v>51572</v>
      </c>
      <c r="AE61" s="123">
        <v>51640</v>
      </c>
      <c r="AF61" s="203">
        <v>51678</v>
      </c>
      <c r="AG61" s="90">
        <v>51685</v>
      </c>
      <c r="AH61" s="115">
        <v>51825</v>
      </c>
      <c r="AI61" s="203">
        <v>52131</v>
      </c>
      <c r="AJ61" s="90">
        <v>52459</v>
      </c>
      <c r="AK61" s="104">
        <v>52074</v>
      </c>
      <c r="AL61" s="1231">
        <v>52044</v>
      </c>
    </row>
    <row r="62" spans="1:38" ht="15" customHeight="1" x14ac:dyDescent="0.35">
      <c r="A62" s="137">
        <v>49</v>
      </c>
      <c r="B62" s="102" t="s">
        <v>1787</v>
      </c>
      <c r="C62" s="150">
        <v>333624</v>
      </c>
      <c r="D62" s="150">
        <v>333799</v>
      </c>
      <c r="E62" s="151">
        <v>333976</v>
      </c>
      <c r="F62" s="151">
        <v>334141</v>
      </c>
      <c r="G62" s="151">
        <v>334287</v>
      </c>
      <c r="H62" s="151">
        <v>334420</v>
      </c>
      <c r="I62" s="150">
        <v>334533</v>
      </c>
      <c r="J62" s="151">
        <v>334637</v>
      </c>
      <c r="K62" s="150">
        <v>334753</v>
      </c>
      <c r="L62" s="118">
        <v>334880</v>
      </c>
      <c r="M62" s="124">
        <v>335013</v>
      </c>
      <c r="N62" s="162">
        <v>335080</v>
      </c>
      <c r="O62" s="91">
        <v>335248</v>
      </c>
      <c r="P62" s="124">
        <v>335431</v>
      </c>
      <c r="Q62" s="162">
        <v>335612</v>
      </c>
      <c r="R62" s="118">
        <v>335773</v>
      </c>
      <c r="S62" s="124">
        <v>335925</v>
      </c>
      <c r="T62" s="211">
        <v>336070</v>
      </c>
      <c r="U62" s="91">
        <v>336194</v>
      </c>
      <c r="V62" s="124">
        <v>336306</v>
      </c>
      <c r="W62" s="211">
        <v>336423</v>
      </c>
      <c r="X62" s="118">
        <v>336550</v>
      </c>
      <c r="Y62" s="124">
        <v>336687</v>
      </c>
      <c r="Z62" s="211">
        <v>336839</v>
      </c>
      <c r="AA62" s="118">
        <v>340448</v>
      </c>
      <c r="AB62" s="124">
        <v>340637</v>
      </c>
      <c r="AC62" s="130">
        <v>340825</v>
      </c>
      <c r="AD62" s="116">
        <v>341002</v>
      </c>
      <c r="AE62" s="123">
        <v>341169</v>
      </c>
      <c r="AF62" s="203">
        <v>341320</v>
      </c>
      <c r="AG62" s="90">
        <v>341454</v>
      </c>
      <c r="AH62" s="115">
        <v>341588</v>
      </c>
      <c r="AI62" s="203">
        <v>341729</v>
      </c>
      <c r="AJ62" s="90">
        <v>341874</v>
      </c>
      <c r="AK62" s="104">
        <v>342032</v>
      </c>
      <c r="AL62" s="1231">
        <v>342197</v>
      </c>
    </row>
    <row r="63" spans="1:38" x14ac:dyDescent="0.35">
      <c r="A63" s="1316" t="s">
        <v>1788</v>
      </c>
      <c r="B63" s="1316"/>
      <c r="C63" s="1316"/>
      <c r="D63" s="1316"/>
      <c r="E63" s="1316"/>
      <c r="F63" s="1316"/>
      <c r="G63" s="1316"/>
      <c r="H63" s="1316"/>
      <c r="I63" s="1316"/>
      <c r="J63" s="1316"/>
      <c r="K63" s="140"/>
      <c r="L63" s="189"/>
      <c r="M63" s="97"/>
      <c r="N63" s="177"/>
      <c r="O63" s="189"/>
      <c r="P63" s="97"/>
      <c r="Q63" s="177"/>
      <c r="R63" s="189"/>
      <c r="S63" s="97"/>
      <c r="T63" s="177"/>
      <c r="U63" s="189"/>
      <c r="V63" s="97"/>
      <c r="W63" s="177"/>
      <c r="X63" s="189"/>
      <c r="Y63" s="97"/>
      <c r="Z63" s="177"/>
      <c r="AA63" s="189"/>
      <c r="AB63" s="97"/>
      <c r="AC63" s="177"/>
      <c r="AD63" s="189"/>
      <c r="AE63" s="97"/>
      <c r="AF63" s="203"/>
      <c r="AG63" s="90"/>
      <c r="AH63" s="115"/>
      <c r="AI63" s="203"/>
      <c r="AJ63" s="90"/>
      <c r="AK63" s="104"/>
      <c r="AL63" s="1231"/>
    </row>
    <row r="64" spans="1:38" x14ac:dyDescent="0.35">
      <c r="A64" s="1299" t="s">
        <v>1789</v>
      </c>
      <c r="B64" s="1299"/>
      <c r="C64" s="1299"/>
      <c r="D64" s="1299"/>
      <c r="E64" s="1299"/>
      <c r="F64" s="1299"/>
      <c r="G64" s="1299"/>
      <c r="H64" s="1299"/>
      <c r="I64" s="1299"/>
      <c r="J64" s="1299"/>
      <c r="K64" s="100"/>
      <c r="L64" s="190"/>
      <c r="M64" s="98"/>
      <c r="N64" s="178"/>
      <c r="O64" s="190"/>
      <c r="P64" s="98"/>
      <c r="Q64" s="178"/>
      <c r="R64" s="190"/>
      <c r="S64" s="98"/>
      <c r="T64" s="178"/>
      <c r="U64" s="190"/>
      <c r="V64" s="98"/>
      <c r="W64" s="178"/>
      <c r="X64" s="190"/>
      <c r="Y64" s="98"/>
      <c r="Z64" s="178"/>
      <c r="AA64" s="190"/>
      <c r="AB64" s="98"/>
      <c r="AC64" s="178"/>
      <c r="AD64" s="190"/>
      <c r="AE64" s="98"/>
      <c r="AF64" s="203"/>
      <c r="AG64" s="90"/>
      <c r="AH64" s="115"/>
      <c r="AI64" s="203"/>
      <c r="AJ64" s="90"/>
      <c r="AK64" s="104"/>
      <c r="AL64" s="1231"/>
    </row>
    <row r="65" spans="1:38" x14ac:dyDescent="0.35">
      <c r="A65" s="1299" t="s">
        <v>1790</v>
      </c>
      <c r="B65" s="1299"/>
      <c r="C65" s="1299"/>
      <c r="D65" s="1299"/>
      <c r="E65" s="1299"/>
      <c r="F65" s="1299"/>
      <c r="G65" s="1299"/>
      <c r="H65" s="1299"/>
      <c r="I65" s="1299"/>
      <c r="J65" s="1299"/>
      <c r="K65" s="100"/>
      <c r="L65" s="190"/>
      <c r="M65" s="98"/>
      <c r="N65" s="178"/>
      <c r="O65" s="190"/>
      <c r="P65" s="98"/>
      <c r="Q65" s="178"/>
      <c r="R65" s="190"/>
      <c r="S65" s="98"/>
      <c r="T65" s="178"/>
      <c r="U65" s="190"/>
      <c r="V65" s="98"/>
      <c r="W65" s="178"/>
      <c r="X65" s="190"/>
      <c r="Y65" s="98"/>
      <c r="Z65" s="178"/>
      <c r="AA65" s="190"/>
      <c r="AB65" s="98"/>
      <c r="AC65" s="178"/>
      <c r="AD65" s="190"/>
      <c r="AE65" s="98"/>
      <c r="AF65" s="203"/>
      <c r="AG65" s="90"/>
      <c r="AH65" s="115"/>
      <c r="AI65" s="203"/>
      <c r="AJ65" s="90"/>
      <c r="AK65" s="104"/>
      <c r="AL65" s="1231"/>
    </row>
    <row r="66" spans="1:38" x14ac:dyDescent="0.35">
      <c r="A66" s="1299" t="s">
        <v>1791</v>
      </c>
      <c r="B66" s="1299"/>
      <c r="C66" s="1299"/>
      <c r="D66" s="1299"/>
      <c r="E66" s="1299"/>
      <c r="F66" s="1299"/>
      <c r="G66" s="1299"/>
      <c r="H66" s="1299"/>
      <c r="I66" s="1299"/>
      <c r="J66" s="1299"/>
      <c r="K66" s="100"/>
      <c r="L66" s="190"/>
      <c r="M66" s="98"/>
      <c r="N66" s="178"/>
      <c r="O66" s="190"/>
      <c r="P66" s="98"/>
      <c r="Q66" s="178"/>
      <c r="R66" s="190"/>
      <c r="S66" s="98"/>
      <c r="T66" s="178"/>
      <c r="U66" s="190"/>
      <c r="V66" s="98"/>
      <c r="W66" s="178"/>
      <c r="X66" s="190"/>
      <c r="Y66" s="98"/>
      <c r="Z66" s="178"/>
      <c r="AA66" s="190"/>
      <c r="AB66" s="98"/>
      <c r="AC66" s="178"/>
      <c r="AD66" s="190"/>
      <c r="AE66" s="98"/>
      <c r="AF66" s="203"/>
      <c r="AG66" s="90"/>
      <c r="AH66" s="115"/>
      <c r="AI66" s="203"/>
      <c r="AJ66" s="90"/>
      <c r="AK66" s="104"/>
      <c r="AL66" s="1231"/>
    </row>
    <row r="67" spans="1:38" x14ac:dyDescent="0.35">
      <c r="A67" s="1299" t="s">
        <v>1792</v>
      </c>
      <c r="B67" s="1299"/>
      <c r="C67" s="1299"/>
      <c r="D67" s="1299"/>
      <c r="E67" s="1299"/>
      <c r="F67" s="1299"/>
      <c r="G67" s="1299"/>
      <c r="H67" s="1299"/>
      <c r="I67" s="1299"/>
      <c r="J67" s="1299"/>
      <c r="K67" s="100"/>
      <c r="L67" s="190"/>
      <c r="M67" s="98"/>
      <c r="N67" s="178"/>
      <c r="O67" s="190"/>
      <c r="P67" s="98"/>
      <c r="Q67" s="178"/>
      <c r="R67" s="190"/>
      <c r="S67" s="98"/>
      <c r="T67" s="178"/>
      <c r="U67" s="190"/>
      <c r="V67" s="98"/>
      <c r="W67" s="178"/>
      <c r="X67" s="190"/>
      <c r="Y67" s="98"/>
      <c r="Z67" s="178"/>
      <c r="AA67" s="190"/>
      <c r="AB67" s="98"/>
      <c r="AC67" s="178"/>
      <c r="AD67" s="190"/>
      <c r="AE67" s="98"/>
      <c r="AF67" s="203"/>
      <c r="AG67" s="90"/>
      <c r="AH67" s="115"/>
      <c r="AI67" s="203"/>
      <c r="AJ67" s="90"/>
      <c r="AK67" s="104"/>
      <c r="AL67" s="1231"/>
    </row>
    <row r="68" spans="1:38" x14ac:dyDescent="0.35">
      <c r="A68" s="1299" t="s">
        <v>1793</v>
      </c>
      <c r="B68" s="1299"/>
      <c r="C68" s="1299"/>
      <c r="D68" s="1299"/>
      <c r="E68" s="1299"/>
      <c r="F68" s="1299"/>
      <c r="G68" s="1299"/>
      <c r="H68" s="1299"/>
      <c r="I68" s="1299"/>
      <c r="J68" s="1299"/>
      <c r="K68" s="100"/>
      <c r="L68" s="190"/>
      <c r="M68" s="98"/>
      <c r="N68" s="178"/>
      <c r="O68" s="190"/>
      <c r="P68" s="98"/>
      <c r="Q68" s="178"/>
      <c r="R68" s="190"/>
      <c r="S68" s="98"/>
      <c r="T68" s="178"/>
      <c r="U68" s="190"/>
      <c r="V68" s="98"/>
      <c r="W68" s="178"/>
      <c r="X68" s="190"/>
      <c r="Y68" s="98"/>
      <c r="Z68" s="178"/>
      <c r="AA68" s="190"/>
      <c r="AB68" s="98"/>
      <c r="AC68" s="178"/>
      <c r="AD68" s="190"/>
      <c r="AE68" s="98"/>
      <c r="AF68" s="203"/>
      <c r="AG68" s="90"/>
      <c r="AH68" s="115"/>
      <c r="AI68" s="203"/>
      <c r="AJ68" s="90"/>
      <c r="AK68" s="104"/>
      <c r="AL68" s="1231"/>
    </row>
    <row r="69" spans="1:38" ht="14.5" customHeight="1" x14ac:dyDescent="0.35">
      <c r="A69" s="1299" t="s">
        <v>1794</v>
      </c>
      <c r="B69" s="1299"/>
      <c r="C69" s="1299"/>
      <c r="D69" s="1299"/>
      <c r="E69" s="1299"/>
      <c r="F69" s="1299"/>
      <c r="G69" s="1299"/>
      <c r="H69" s="1299"/>
      <c r="I69" s="1299"/>
      <c r="J69" s="1299"/>
      <c r="K69" s="100"/>
      <c r="L69" s="190"/>
      <c r="M69" s="98"/>
      <c r="N69" s="178"/>
      <c r="O69" s="190"/>
      <c r="P69" s="98"/>
      <c r="Q69" s="178"/>
      <c r="R69" s="190"/>
      <c r="S69" s="98"/>
      <c r="T69" s="178"/>
      <c r="U69" s="190"/>
      <c r="V69" s="98"/>
      <c r="W69" s="178"/>
      <c r="X69" s="190"/>
      <c r="Y69" s="98"/>
      <c r="Z69" s="178"/>
      <c r="AA69" s="190"/>
      <c r="AB69" s="98"/>
      <c r="AC69" s="178"/>
      <c r="AD69" s="190"/>
      <c r="AE69" s="98"/>
      <c r="AF69" s="203"/>
      <c r="AG69" s="90"/>
      <c r="AH69" s="115"/>
      <c r="AI69" s="203"/>
      <c r="AJ69" s="90"/>
      <c r="AK69" s="104"/>
      <c r="AL69" s="1231"/>
    </row>
    <row r="70" spans="1:38" ht="14.5" customHeight="1" x14ac:dyDescent="0.35">
      <c r="A70" s="1300" t="s">
        <v>1795</v>
      </c>
      <c r="B70" s="1300"/>
      <c r="C70" s="1300"/>
      <c r="D70" s="1300"/>
      <c r="E70" s="1300"/>
      <c r="F70" s="1300"/>
      <c r="G70" s="1300"/>
      <c r="H70" s="1300"/>
      <c r="I70" s="1300"/>
      <c r="J70" s="1300"/>
      <c r="K70" s="101"/>
      <c r="L70" s="191"/>
      <c r="M70" s="131"/>
      <c r="N70" s="179"/>
      <c r="O70" s="191"/>
      <c r="P70" s="131"/>
      <c r="Q70" s="179"/>
      <c r="R70" s="191"/>
      <c r="S70" s="131"/>
      <c r="T70" s="179"/>
      <c r="U70" s="191"/>
      <c r="V70" s="131"/>
      <c r="W70" s="179"/>
      <c r="X70" s="191"/>
      <c r="Y70" s="131"/>
      <c r="Z70" s="179"/>
      <c r="AA70" s="191"/>
      <c r="AB70" s="131"/>
      <c r="AC70" s="179"/>
      <c r="AD70" s="191"/>
      <c r="AE70" s="131"/>
      <c r="AF70" s="203"/>
      <c r="AG70" s="90"/>
      <c r="AH70" s="115"/>
      <c r="AI70" s="203"/>
      <c r="AJ70" s="90"/>
      <c r="AK70" s="104"/>
      <c r="AL70" s="1231"/>
    </row>
    <row r="71" spans="1:38" ht="14.5" customHeight="1" x14ac:dyDescent="0.35">
      <c r="A71" s="1301" t="s">
        <v>246</v>
      </c>
      <c r="B71" s="1301"/>
      <c r="C71" s="1301"/>
      <c r="D71" s="1301"/>
      <c r="E71" s="1301"/>
      <c r="F71" s="1301"/>
      <c r="G71" s="1301"/>
      <c r="H71" s="1301"/>
      <c r="I71" s="1301"/>
      <c r="J71" s="1301"/>
      <c r="K71" s="102"/>
      <c r="L71" s="192"/>
      <c r="M71" s="132"/>
      <c r="N71" s="180"/>
      <c r="O71" s="192"/>
      <c r="P71" s="132"/>
      <c r="Q71" s="180"/>
      <c r="R71" s="192"/>
      <c r="S71" s="132"/>
      <c r="T71" s="180"/>
      <c r="U71" s="192"/>
      <c r="V71" s="132"/>
      <c r="W71" s="180"/>
      <c r="X71" s="192"/>
      <c r="Y71" s="132"/>
      <c r="Z71" s="180"/>
      <c r="AA71" s="192"/>
      <c r="AB71" s="132"/>
      <c r="AC71" s="180"/>
      <c r="AD71" s="192"/>
      <c r="AE71" s="132"/>
      <c r="AF71" s="203"/>
      <c r="AG71" s="90"/>
      <c r="AH71" s="115"/>
      <c r="AI71" s="203"/>
      <c r="AJ71" s="90"/>
      <c r="AK71" s="104"/>
      <c r="AL71" s="1231"/>
    </row>
    <row r="72" spans="1:38" x14ac:dyDescent="0.35">
      <c r="A72" s="1298" t="s">
        <v>880</v>
      </c>
      <c r="B72" s="1298"/>
      <c r="C72" s="1298"/>
      <c r="D72" s="1298"/>
      <c r="E72" s="1298"/>
      <c r="F72" s="1298"/>
      <c r="G72" s="1298"/>
    </row>
    <row r="73" spans="1:38" x14ac:dyDescent="0.35">
      <c r="A73" s="1302" t="s">
        <v>881</v>
      </c>
      <c r="B73" s="1302"/>
      <c r="C73" s="1302"/>
      <c r="D73" s="1302"/>
      <c r="E73" s="1302"/>
      <c r="F73" s="1302"/>
      <c r="G73" s="1302"/>
    </row>
    <row r="74" spans="1:38" x14ac:dyDescent="0.35">
      <c r="A74" s="1297" t="s">
        <v>882</v>
      </c>
      <c r="B74" s="1297"/>
      <c r="C74" s="1297"/>
      <c r="D74" s="1297"/>
      <c r="E74" s="1297"/>
      <c r="F74" s="1297"/>
      <c r="G74" s="1297"/>
    </row>
    <row r="75" spans="1:38" x14ac:dyDescent="0.35">
      <c r="A75" s="1296" t="s">
        <v>883</v>
      </c>
      <c r="B75" s="1296"/>
      <c r="C75" s="1296"/>
      <c r="D75" s="1296"/>
      <c r="E75" s="1296"/>
      <c r="F75" s="1296"/>
      <c r="G75" s="1296"/>
    </row>
    <row r="76" spans="1:38" x14ac:dyDescent="0.35">
      <c r="A76" s="1296" t="s">
        <v>884</v>
      </c>
      <c r="B76" s="1296"/>
      <c r="C76" s="1296"/>
      <c r="D76" s="1296"/>
      <c r="E76" s="1296"/>
      <c r="F76" s="1296"/>
      <c r="G76" s="1296"/>
    </row>
    <row r="77" spans="1:38" x14ac:dyDescent="0.35">
      <c r="A77" s="1297" t="s">
        <v>885</v>
      </c>
      <c r="B77" s="1297"/>
      <c r="C77" s="1297"/>
      <c r="D77" s="1297"/>
      <c r="E77" s="1297"/>
      <c r="F77" s="1297"/>
      <c r="G77" s="1297"/>
    </row>
    <row r="79" spans="1:38" x14ac:dyDescent="0.35">
      <c r="A79" s="1298" t="s">
        <v>886</v>
      </c>
      <c r="B79" s="1298"/>
      <c r="C79" s="1298"/>
      <c r="D79" s="1298"/>
      <c r="E79" s="1298"/>
      <c r="F79" s="1298"/>
      <c r="G79" s="1298"/>
    </row>
    <row r="81" spans="1:39" x14ac:dyDescent="0.35">
      <c r="A81" s="56" t="s">
        <v>245</v>
      </c>
    </row>
    <row r="83" spans="1:39" x14ac:dyDescent="0.35">
      <c r="A83" s="56" t="s">
        <v>246</v>
      </c>
    </row>
    <row r="85" spans="1:39" x14ac:dyDescent="0.35">
      <c r="A85" t="s">
        <v>876</v>
      </c>
      <c r="B85" t="s">
        <v>877</v>
      </c>
      <c r="C85" s="139">
        <v>44743</v>
      </c>
      <c r="D85" s="139">
        <v>44774</v>
      </c>
      <c r="E85" s="139">
        <v>44805</v>
      </c>
      <c r="F85" s="139">
        <v>44835</v>
      </c>
      <c r="G85" s="139">
        <v>44866</v>
      </c>
      <c r="H85" s="139">
        <v>44896</v>
      </c>
      <c r="I85" s="139">
        <v>44927</v>
      </c>
      <c r="J85" s="139">
        <v>44958</v>
      </c>
      <c r="K85" s="139">
        <v>44986</v>
      </c>
      <c r="L85" s="193">
        <v>45017</v>
      </c>
      <c r="M85" s="133">
        <v>45047</v>
      </c>
      <c r="N85" s="181">
        <v>45078</v>
      </c>
      <c r="O85" s="193">
        <v>45108</v>
      </c>
      <c r="P85" s="133">
        <v>45139</v>
      </c>
      <c r="Q85" s="181">
        <v>45170</v>
      </c>
      <c r="R85" s="193">
        <v>45200</v>
      </c>
      <c r="S85" s="133">
        <v>45231</v>
      </c>
      <c r="T85" s="181">
        <v>45261</v>
      </c>
      <c r="U85" s="193">
        <v>45292</v>
      </c>
      <c r="V85" s="133">
        <v>45323</v>
      </c>
      <c r="W85" s="181">
        <v>45352</v>
      </c>
      <c r="X85" s="193">
        <v>45383</v>
      </c>
      <c r="Y85" s="133">
        <v>45413</v>
      </c>
      <c r="Z85" s="181">
        <v>45444</v>
      </c>
      <c r="AA85" s="193">
        <v>45474</v>
      </c>
      <c r="AB85" s="133">
        <v>45505</v>
      </c>
      <c r="AC85" s="181">
        <v>45536</v>
      </c>
      <c r="AD85" s="193">
        <v>45566</v>
      </c>
      <c r="AE85" s="133">
        <v>45597</v>
      </c>
      <c r="AF85" s="181">
        <v>45627</v>
      </c>
      <c r="AG85" s="193">
        <v>45658</v>
      </c>
      <c r="AH85" s="133">
        <v>45689</v>
      </c>
      <c r="AI85" s="181">
        <v>45717</v>
      </c>
      <c r="AJ85" s="193">
        <v>45748</v>
      </c>
      <c r="AK85" s="133">
        <v>45778</v>
      </c>
      <c r="AL85" s="181">
        <v>45809</v>
      </c>
    </row>
    <row r="86" spans="1:39" x14ac:dyDescent="0.35">
      <c r="A86" s="153" t="s">
        <v>1899</v>
      </c>
      <c r="B86" t="s">
        <v>394</v>
      </c>
      <c r="C86">
        <v>5140</v>
      </c>
      <c r="D86">
        <v>5146</v>
      </c>
      <c r="E86">
        <v>5148</v>
      </c>
      <c r="F86">
        <v>5139</v>
      </c>
      <c r="G86">
        <v>5162</v>
      </c>
      <c r="H86">
        <v>5136</v>
      </c>
      <c r="I86">
        <v>5199</v>
      </c>
      <c r="J86">
        <v>5219</v>
      </c>
      <c r="K86">
        <v>5235</v>
      </c>
      <c r="L86" s="90">
        <v>5251</v>
      </c>
      <c r="M86" s="115">
        <v>5272</v>
      </c>
      <c r="N86" s="203">
        <v>5294</v>
      </c>
      <c r="O86" s="90">
        <v>5303</v>
      </c>
      <c r="P86" s="115">
        <v>5324</v>
      </c>
      <c r="Q86" s="203">
        <v>5337</v>
      </c>
      <c r="R86" s="90">
        <v>5359</v>
      </c>
      <c r="S86" s="115">
        <v>5366</v>
      </c>
      <c r="T86" s="203">
        <v>5378</v>
      </c>
      <c r="U86" s="90">
        <v>5390</v>
      </c>
      <c r="V86" s="115">
        <v>5404</v>
      </c>
      <c r="W86" s="203">
        <v>5414</v>
      </c>
      <c r="X86" s="90">
        <v>5418</v>
      </c>
      <c r="Y86" s="115">
        <v>5420</v>
      </c>
      <c r="Z86" s="110">
        <v>5429</v>
      </c>
      <c r="AA86" s="111">
        <v>5444</v>
      </c>
      <c r="AB86" s="104">
        <v>5453</v>
      </c>
      <c r="AC86" s="110">
        <v>5468</v>
      </c>
      <c r="AD86" s="111">
        <v>5484</v>
      </c>
      <c r="AE86" s="104">
        <v>5493</v>
      </c>
      <c r="AF86" s="110">
        <v>5512</v>
      </c>
      <c r="AG86" s="111">
        <v>5524</v>
      </c>
      <c r="AH86" s="104">
        <v>5514</v>
      </c>
      <c r="AI86" s="1231">
        <v>5515</v>
      </c>
      <c r="AJ86" s="1234">
        <v>5526</v>
      </c>
      <c r="AK86" s="1235">
        <v>5533</v>
      </c>
      <c r="AL86" s="1231">
        <v>5580</v>
      </c>
    </row>
    <row r="87" spans="1:39" x14ac:dyDescent="0.35">
      <c r="A87" t="s">
        <v>396</v>
      </c>
      <c r="B87" t="s">
        <v>395</v>
      </c>
      <c r="C87">
        <v>14280</v>
      </c>
      <c r="D87">
        <v>14264</v>
      </c>
      <c r="E87">
        <v>14269</v>
      </c>
      <c r="F87">
        <v>14301</v>
      </c>
      <c r="G87">
        <v>14337</v>
      </c>
      <c r="H87">
        <v>14364</v>
      </c>
      <c r="I87">
        <v>14411</v>
      </c>
      <c r="J87">
        <v>14439</v>
      </c>
      <c r="K87">
        <v>14453</v>
      </c>
      <c r="L87" s="90">
        <v>14478</v>
      </c>
      <c r="M87" s="115">
        <v>14509</v>
      </c>
      <c r="N87" s="203">
        <v>14565</v>
      </c>
      <c r="O87" s="90">
        <v>14589</v>
      </c>
      <c r="P87" s="115">
        <v>14603</v>
      </c>
      <c r="Q87" s="203">
        <v>14653</v>
      </c>
      <c r="R87" s="90">
        <v>14693</v>
      </c>
      <c r="S87" s="115">
        <v>14728</v>
      </c>
      <c r="T87" s="203">
        <v>14763</v>
      </c>
      <c r="U87" s="90">
        <v>14786</v>
      </c>
      <c r="V87" s="115">
        <v>14835</v>
      </c>
      <c r="W87" s="203">
        <v>14890</v>
      </c>
      <c r="X87" s="90">
        <v>14877</v>
      </c>
      <c r="Y87" s="115">
        <v>14905</v>
      </c>
      <c r="Z87" s="110">
        <v>14915</v>
      </c>
      <c r="AA87" s="111">
        <v>14946</v>
      </c>
      <c r="AB87" s="104">
        <v>14973</v>
      </c>
      <c r="AC87" s="110">
        <v>14986</v>
      </c>
      <c r="AD87" s="111">
        <v>15012</v>
      </c>
      <c r="AE87" s="104">
        <v>15022</v>
      </c>
      <c r="AF87" s="110">
        <v>15036</v>
      </c>
      <c r="AG87" s="111">
        <v>15053</v>
      </c>
      <c r="AH87" s="104">
        <v>15071</v>
      </c>
      <c r="AI87" s="1231">
        <v>15087</v>
      </c>
      <c r="AJ87" s="1234">
        <v>15114</v>
      </c>
      <c r="AK87" s="1235">
        <v>15139</v>
      </c>
      <c r="AL87" s="1231">
        <v>15172</v>
      </c>
    </row>
    <row r="88" spans="1:39" x14ac:dyDescent="0.35">
      <c r="B88" t="s">
        <v>1891</v>
      </c>
      <c r="C88">
        <f>'Federal and State Purchases'!V43</f>
        <v>19420</v>
      </c>
      <c r="D88">
        <f>'Federal and State Purchases'!W43</f>
        <v>19410</v>
      </c>
      <c r="E88">
        <f>'Federal and State Purchases'!X43</f>
        <v>19417</v>
      </c>
      <c r="F88">
        <f>'Federal and State Purchases'!Y43</f>
        <v>19440</v>
      </c>
      <c r="G88">
        <f>'Federal and State Purchases'!Z43</f>
        <v>19499</v>
      </c>
      <c r="H88">
        <f>'Federal and State Purchases'!AA43</f>
        <v>19500</v>
      </c>
      <c r="I88">
        <f>'Federal and State Purchases'!AB43</f>
        <v>19610</v>
      </c>
      <c r="J88">
        <f>'Federal and State Purchases'!AC43</f>
        <v>19658</v>
      </c>
      <c r="K88">
        <f>'Federal and State Purchases'!AD43</f>
        <v>19688</v>
      </c>
      <c r="L88" s="90">
        <f>'Federal and State Purchases'!AE43</f>
        <v>19729</v>
      </c>
      <c r="M88" s="115">
        <f>'Federal and State Purchases'!AF43</f>
        <v>19781</v>
      </c>
      <c r="N88" s="203">
        <f>'Federal and State Purchases'!AG43</f>
        <v>19859</v>
      </c>
      <c r="O88" s="90">
        <f>'Federal and State Purchases'!AH43</f>
        <v>19892</v>
      </c>
      <c r="P88" s="115">
        <f>'Federal and State Purchases'!AI43</f>
        <v>19927</v>
      </c>
      <c r="Q88" s="203">
        <f>'Federal and State Purchases'!AJ43</f>
        <v>19990</v>
      </c>
      <c r="R88" s="90">
        <f>'Federal and State Purchases'!AK43</f>
        <v>20052</v>
      </c>
      <c r="S88" s="115">
        <f>'Federal and State Purchases'!AL43</f>
        <v>20094</v>
      </c>
      <c r="T88" s="203">
        <f>'Federal and State Purchases'!AM43</f>
        <v>20141</v>
      </c>
      <c r="U88" s="90">
        <f>'Federal and State Purchases'!AN43</f>
        <v>20176</v>
      </c>
      <c r="V88" s="115">
        <f>'Federal and State Purchases'!AO43</f>
        <v>20239</v>
      </c>
      <c r="W88" s="203">
        <f>'Federal and State Purchases'!AP43</f>
        <v>20304</v>
      </c>
      <c r="X88" s="90">
        <f>'Federal and State Purchases'!AQ43</f>
        <v>20295</v>
      </c>
      <c r="Y88" s="115">
        <f>'Federal and State Purchases'!AR43</f>
        <v>20325</v>
      </c>
      <c r="Z88" s="203">
        <f>Z86+Z87</f>
        <v>20344</v>
      </c>
      <c r="AA88" s="90">
        <f t="shared" ref="AA88:AL88" si="0">AA86+AA87</f>
        <v>20390</v>
      </c>
      <c r="AB88" s="115">
        <f t="shared" si="0"/>
        <v>20426</v>
      </c>
      <c r="AC88" s="203">
        <f t="shared" si="0"/>
        <v>20454</v>
      </c>
      <c r="AD88" s="90">
        <f t="shared" si="0"/>
        <v>20496</v>
      </c>
      <c r="AE88" s="115">
        <f t="shared" si="0"/>
        <v>20515</v>
      </c>
      <c r="AF88" s="203">
        <f t="shared" si="0"/>
        <v>20548</v>
      </c>
      <c r="AG88" s="90">
        <f t="shared" si="0"/>
        <v>20577</v>
      </c>
      <c r="AH88" s="115">
        <f t="shared" si="0"/>
        <v>20585</v>
      </c>
      <c r="AI88" s="203">
        <f>AI86+AI87</f>
        <v>20602</v>
      </c>
      <c r="AJ88" s="90">
        <f t="shared" si="0"/>
        <v>20640</v>
      </c>
      <c r="AK88" s="115">
        <f t="shared" si="0"/>
        <v>20672</v>
      </c>
      <c r="AL88" s="203">
        <f t="shared" si="0"/>
        <v>20752</v>
      </c>
    </row>
    <row r="89" spans="1:39" x14ac:dyDescent="0.35">
      <c r="A89" t="s">
        <v>398</v>
      </c>
      <c r="B89" t="s">
        <v>397</v>
      </c>
      <c r="C89">
        <v>350972</v>
      </c>
      <c r="D89">
        <v>350286</v>
      </c>
      <c r="E89">
        <v>355116</v>
      </c>
      <c r="F89">
        <v>354474</v>
      </c>
      <c r="G89">
        <v>359543</v>
      </c>
      <c r="H89">
        <v>361033</v>
      </c>
      <c r="I89">
        <v>364867</v>
      </c>
      <c r="J89">
        <v>371673</v>
      </c>
      <c r="K89">
        <v>374555</v>
      </c>
      <c r="L89">
        <v>382073</v>
      </c>
      <c r="M89">
        <v>388978</v>
      </c>
      <c r="N89">
        <v>396538</v>
      </c>
      <c r="O89">
        <v>404059</v>
      </c>
      <c r="P89">
        <v>407847</v>
      </c>
      <c r="Q89">
        <v>418897</v>
      </c>
      <c r="R89">
        <v>432334</v>
      </c>
      <c r="S89">
        <v>440095</v>
      </c>
      <c r="T89">
        <v>446894</v>
      </c>
      <c r="U89">
        <v>445408</v>
      </c>
      <c r="V89">
        <v>448458</v>
      </c>
      <c r="W89">
        <v>453062</v>
      </c>
      <c r="X89">
        <v>451154</v>
      </c>
      <c r="Y89">
        <v>450559</v>
      </c>
      <c r="Z89">
        <v>452201</v>
      </c>
      <c r="AA89">
        <v>456588</v>
      </c>
      <c r="AB89">
        <v>458308</v>
      </c>
      <c r="AC89">
        <v>466887</v>
      </c>
      <c r="AD89">
        <v>468844</v>
      </c>
      <c r="AE89">
        <v>469357</v>
      </c>
      <c r="AF89">
        <v>469232</v>
      </c>
      <c r="AG89">
        <v>468748</v>
      </c>
    </row>
    <row r="90" spans="1:39" x14ac:dyDescent="0.35">
      <c r="C90" s="75"/>
      <c r="D90" s="75"/>
      <c r="E90" s="75"/>
      <c r="F90" s="75"/>
      <c r="G90" s="75"/>
      <c r="H90" s="75"/>
      <c r="I90" s="75"/>
      <c r="J90" s="75"/>
      <c r="K90" s="75"/>
      <c r="L90" s="75"/>
      <c r="M90" s="75"/>
      <c r="N90" s="75"/>
      <c r="O90" s="75"/>
      <c r="P90" s="75"/>
      <c r="Q90" s="75"/>
      <c r="R90" s="75"/>
      <c r="S90" s="75"/>
      <c r="T90" s="75"/>
      <c r="U90" s="75"/>
      <c r="V90" s="75"/>
      <c r="W90" s="75"/>
      <c r="X90" s="75"/>
      <c r="Y90" s="75"/>
      <c r="Z90" s="75"/>
    </row>
    <row r="91" spans="1:39" x14ac:dyDescent="0.35">
      <c r="A91" s="167"/>
    </row>
    <row r="92" spans="1:39" ht="16.5" customHeight="1" x14ac:dyDescent="0.35">
      <c r="A92" s="167"/>
      <c r="B92" t="s">
        <v>1928</v>
      </c>
      <c r="I92">
        <v>119.00700000000001</v>
      </c>
      <c r="J92">
        <v>119.401</v>
      </c>
      <c r="K92">
        <v>119.553</v>
      </c>
      <c r="L92">
        <v>119.97</v>
      </c>
      <c r="M92">
        <v>120.14</v>
      </c>
      <c r="N92">
        <v>120.435</v>
      </c>
      <c r="O92">
        <v>120.598</v>
      </c>
      <c r="P92">
        <v>120.965</v>
      </c>
      <c r="Q92">
        <v>121.387</v>
      </c>
      <c r="R92">
        <v>121.42100000000001</v>
      </c>
      <c r="S92">
        <v>121.41500000000001</v>
      </c>
      <c r="T92">
        <v>121.602</v>
      </c>
      <c r="U92" s="206">
        <v>122.11499999999999</v>
      </c>
      <c r="V92" s="206">
        <v>122.494</v>
      </c>
      <c r="W92" s="206">
        <v>122.91200000000001</v>
      </c>
      <c r="X92" s="206">
        <v>123.23399999999999</v>
      </c>
      <c r="Y92" s="206">
        <v>123.224</v>
      </c>
      <c r="Z92" s="206">
        <v>123.369</v>
      </c>
      <c r="AA92" s="206">
        <v>123.575</v>
      </c>
      <c r="AB92" s="206">
        <v>123.727</v>
      </c>
      <c r="AC92" s="206">
        <v>123.93899999999999</v>
      </c>
      <c r="AD92" s="206">
        <v>124.265</v>
      </c>
      <c r="AE92" s="206">
        <v>124.399</v>
      </c>
      <c r="AF92" s="206">
        <v>124.76900000000001</v>
      </c>
      <c r="AG92" s="206">
        <v>125.239</v>
      </c>
      <c r="AH92" s="206">
        <v>125.77200000000001</v>
      </c>
      <c r="AI92" s="206">
        <v>125.791</v>
      </c>
      <c r="AJ92" s="206">
        <v>125.99</v>
      </c>
      <c r="AK92" s="206">
        <v>126.20099999999999</v>
      </c>
      <c r="AL92">
        <v>126.55500000000001</v>
      </c>
    </row>
    <row r="93" spans="1:39" ht="72.650000000000006" customHeight="1" x14ac:dyDescent="0.35">
      <c r="A93" s="167"/>
      <c r="B93" s="1236" t="s">
        <v>1927</v>
      </c>
      <c r="AB93" s="96">
        <f>(AB92/Y92)^4-1</f>
        <v>1.6428236597993751E-2</v>
      </c>
      <c r="AC93" s="96">
        <f t="shared" ref="AC93" si="1">(AC92/Z92)^4-1</f>
        <v>1.8609619141146228E-2</v>
      </c>
      <c r="AD93" s="96">
        <f t="shared" ref="AD93:AH93" si="2">(AD92/AA92)^4-1</f>
        <v>2.2522375037620002E-2</v>
      </c>
      <c r="AE93" s="96">
        <f t="shared" si="2"/>
        <v>2.1902886624113549E-2</v>
      </c>
      <c r="AF93" s="96">
        <f t="shared" si="2"/>
        <v>2.7057660791266036E-2</v>
      </c>
      <c r="AG93" s="96">
        <f t="shared" si="2"/>
        <v>3.1722895491297809E-2</v>
      </c>
      <c r="AH93" s="96">
        <f t="shared" si="2"/>
        <v>4.4884558682197762E-2</v>
      </c>
      <c r="AI93" s="96">
        <f>(AI92/AF92)^4-1</f>
        <v>3.3169320090469689E-2</v>
      </c>
      <c r="AJ93" s="96">
        <f>(AJ92/AG92)^4-1</f>
        <v>2.4202752865122967E-2</v>
      </c>
      <c r="AK93" s="96">
        <f>(AK92/AH92)^4-1</f>
        <v>1.3713701985151205E-2</v>
      </c>
      <c r="AL93" s="96">
        <f>(AL92/AI92)^4-1</f>
        <v>2.4516492676284418E-2</v>
      </c>
      <c r="AM93" s="109">
        <f>Deflators!AE12</f>
        <v>2.3874932014508632E-2</v>
      </c>
    </row>
    <row r="94" spans="1:39" x14ac:dyDescent="0.35">
      <c r="AB94" s="96">
        <f t="shared" ref="AB94:AI94" si="3">AB93-AA93</f>
        <v>1.6428236597993751E-2</v>
      </c>
      <c r="AC94" s="96">
        <f t="shared" si="3"/>
        <v>2.1813825431524769E-3</v>
      </c>
      <c r="AD94" s="96">
        <f t="shared" si="3"/>
        <v>3.9127558964737741E-3</v>
      </c>
      <c r="AE94" s="96">
        <f t="shared" si="3"/>
        <v>-6.1948841350645267E-4</v>
      </c>
      <c r="AF94" s="96">
        <f t="shared" si="3"/>
        <v>5.1547741671524872E-3</v>
      </c>
      <c r="AG94" s="96">
        <f t="shared" si="3"/>
        <v>4.6652347000317729E-3</v>
      </c>
      <c r="AH94" s="96">
        <f t="shared" si="3"/>
        <v>1.3161663190899953E-2</v>
      </c>
      <c r="AI94" s="96">
        <f t="shared" si="3"/>
        <v>-1.1715238591728072E-2</v>
      </c>
      <c r="AJ94" s="96">
        <f>AJ93-AI93</f>
        <v>-8.9665672253467221E-3</v>
      </c>
      <c r="AK94" s="96">
        <f>AK93-AJ93</f>
        <v>-1.0489050879971762E-2</v>
      </c>
      <c r="AL94" s="96"/>
    </row>
    <row r="95" spans="1:39" x14ac:dyDescent="0.35">
      <c r="AB95">
        <f t="shared" ref="AB95:AI95" si="4">(AB92/AA92)^12-1</f>
        <v>1.4860532605712073E-2</v>
      </c>
      <c r="AC95">
        <f t="shared" si="4"/>
        <v>2.0756278333904365E-2</v>
      </c>
      <c r="AD95">
        <f t="shared" si="4"/>
        <v>3.2024570562052768E-2</v>
      </c>
      <c r="AE95">
        <f t="shared" si="4"/>
        <v>1.3017110271217547E-2</v>
      </c>
      <c r="AF95">
        <f t="shared" si="4"/>
        <v>3.628129937393143E-2</v>
      </c>
      <c r="AG95">
        <f t="shared" si="4"/>
        <v>4.6151935960390578E-2</v>
      </c>
      <c r="AH95">
        <f t="shared" si="4"/>
        <v>5.2282891703768319E-2</v>
      </c>
      <c r="AI95">
        <f t="shared" si="4"/>
        <v>1.8143110824007103E-3</v>
      </c>
      <c r="AJ95">
        <f>(AJ92/AI92)^12-1</f>
        <v>1.9149921731614894E-2</v>
      </c>
      <c r="AK95">
        <f>(AK92/AJ92)^12-1</f>
        <v>2.0282983274734656E-2</v>
      </c>
    </row>
    <row r="96" spans="1:39" x14ac:dyDescent="0.35">
      <c r="W96" s="89"/>
      <c r="X96" s="89"/>
      <c r="Y96" s="89"/>
      <c r="Z96" s="89"/>
      <c r="AA96" s="89"/>
      <c r="AB96" s="89"/>
      <c r="AC96" s="89"/>
      <c r="AD96" s="89"/>
      <c r="AE96" s="89"/>
      <c r="AF96" s="89"/>
      <c r="AG96" s="89"/>
      <c r="AH96" s="89"/>
      <c r="AI96" s="89"/>
      <c r="AJ96" s="89"/>
      <c r="AK96" s="89"/>
    </row>
  </sheetData>
  <mergeCells count="23">
    <mergeCell ref="A68:J68"/>
    <mergeCell ref="A2:J2"/>
    <mergeCell ref="A4:C4"/>
    <mergeCell ref="A5:A7"/>
    <mergeCell ref="B5:B7"/>
    <mergeCell ref="C5:J5"/>
    <mergeCell ref="C6:H6"/>
    <mergeCell ref="I6:K6"/>
    <mergeCell ref="A63:J63"/>
    <mergeCell ref="A64:J64"/>
    <mergeCell ref="A65:J65"/>
    <mergeCell ref="A66:J66"/>
    <mergeCell ref="A67:J67"/>
    <mergeCell ref="A75:G75"/>
    <mergeCell ref="A76:G76"/>
    <mergeCell ref="A77:G77"/>
    <mergeCell ref="A79:G79"/>
    <mergeCell ref="A69:J69"/>
    <mergeCell ref="A70:J70"/>
    <mergeCell ref="A71:J71"/>
    <mergeCell ref="A72:G72"/>
    <mergeCell ref="A73:G73"/>
    <mergeCell ref="A74:G74"/>
  </mergeCells>
  <hyperlinks>
    <hyperlink ref="A77:G77" r:id="rId1"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0000000}"/>
    <hyperlink ref="A79:G79" r:id="rId2"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1000000}"/>
    <hyperlink ref="A72" r:id="rId3" display="5. Unemployment insurance benefits were expanded through several programs that were initially established through the CARES Act. For more information, see How will the expansion of unemployment benefits in response to the COVID-19 pandemic be recorded in the NIPAs?" xr:uid="{00000000-0004-0000-0900-000002000000}"/>
    <hyperlink ref="A74:G74" r:id="rId4"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3000000}"/>
    <hyperlink ref="C77:H77" r:id="rId5"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4000000}"/>
    <hyperlink ref="C79:H79" r:id="rId6"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5000000}"/>
    <hyperlink ref="C74:H74" r:id="rId7"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6000000}"/>
    <hyperlink ref="A86" r:id="rId8" xr:uid="{00000000-0004-0000-0900-000007000000}"/>
    <hyperlink ref="B93" r:id="rId9" location="eyJhcHBpZCI6MTksInN0ZXBzIjpbMSwyLDNdLCJkYXRhIjpbWyJOSVBBX1RhYmxlX0xpc3QiLCI4MSJdLFsiQ2F0ZWdvcmllcyIsIlN1cnZleSJdXX0=" display="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 xr:uid="{00000000-0004-0000-0900-000008000000}"/>
  </hyperlinks>
  <pageMargins left="0.7" right="0.7" top="0.75" bottom="0.75" header="0.3" footer="0.3"/>
  <pageSetup paperSize="9" orientation="portrait" horizontalDpi="300" verticalDpi="300"/>
  <drawing r:id="rId10"/>
  <legacyDrawing r:id="rId1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28"/>
  <sheetViews>
    <sheetView tabSelected="1" zoomScale="115" zoomScaleNormal="115" workbookViewId="0">
      <selection activeCell="M8" sqref="M8"/>
    </sheetView>
  </sheetViews>
  <sheetFormatPr defaultColWidth="10.90625" defaultRowHeight="14.5" x14ac:dyDescent="0.35"/>
  <cols>
    <col min="1" max="1" width="41.1796875" customWidth="1"/>
    <col min="2" max="2" width="23.453125" customWidth="1"/>
  </cols>
  <sheetData>
    <row r="1" spans="1:10" x14ac:dyDescent="0.35">
      <c r="A1" s="69" t="s">
        <v>178</v>
      </c>
      <c r="B1" s="69" t="s">
        <v>179</v>
      </c>
      <c r="C1" s="78" t="s">
        <v>764</v>
      </c>
      <c r="D1" s="78" t="s">
        <v>765</v>
      </c>
      <c r="E1" s="78" t="s">
        <v>1151</v>
      </c>
      <c r="F1" s="78" t="s">
        <v>1152</v>
      </c>
      <c r="G1" s="78" t="s">
        <v>1153</v>
      </c>
      <c r="H1" s="78" t="s">
        <v>1154</v>
      </c>
      <c r="I1" s="78" t="s">
        <v>1155</v>
      </c>
      <c r="J1" s="78" t="s">
        <v>1156</v>
      </c>
    </row>
    <row r="2" spans="1:10" x14ac:dyDescent="0.35">
      <c r="A2" t="s">
        <v>192</v>
      </c>
      <c r="B2" t="s">
        <v>193</v>
      </c>
      <c r="C2" s="80">
        <f>Grants!AE73</f>
        <v>403.22655010069974</v>
      </c>
      <c r="D2" s="80">
        <f>Grants!AF73</f>
        <v>401.86440476318199</v>
      </c>
      <c r="E2" s="80">
        <f>Grants!AG73</f>
        <v>404.53896501683153</v>
      </c>
      <c r="F2" s="80">
        <f>Grants!AH73</f>
        <v>404.43687879999999</v>
      </c>
      <c r="G2" s="80">
        <f>Grants!AI73</f>
        <v>408.16440578472771</v>
      </c>
      <c r="H2" s="80">
        <f>Grants!AJ73</f>
        <v>409.91880820170923</v>
      </c>
      <c r="I2" s="80">
        <f>Grants!AK73</f>
        <v>412.70035086550473</v>
      </c>
      <c r="J2" s="80">
        <f>Grants!AL73</f>
        <v>415.50930119999992</v>
      </c>
    </row>
    <row r="3" spans="1:10" x14ac:dyDescent="0.35">
      <c r="A3" t="s">
        <v>134</v>
      </c>
      <c r="B3" t="s">
        <v>194</v>
      </c>
      <c r="C3" s="80">
        <f>Grants!AE94</f>
        <v>75.203000000000003</v>
      </c>
      <c r="D3" s="80">
        <f>Grants!AF94</f>
        <v>75.203000000000003</v>
      </c>
      <c r="E3" s="80">
        <f>Grants!AG94</f>
        <v>75.203000000000003</v>
      </c>
      <c r="F3" s="80">
        <f>Grants!AH94</f>
        <v>75.203000000000003</v>
      </c>
      <c r="G3" s="80">
        <f>Grants!AI94</f>
        <v>75.203000000000003</v>
      </c>
      <c r="H3" s="80">
        <f>Grants!AJ94</f>
        <v>75.203000000000003</v>
      </c>
      <c r="I3" s="80">
        <f>Grants!AK94</f>
        <v>75.203000000000003</v>
      </c>
      <c r="J3" s="80">
        <f>Grants!AL94</f>
        <v>75.203000000000003</v>
      </c>
    </row>
    <row r="4" spans="1:10" x14ac:dyDescent="0.35">
      <c r="A4" t="s">
        <v>195</v>
      </c>
      <c r="B4" t="s">
        <v>196</v>
      </c>
      <c r="C4" s="80">
        <f>'Federal and State Purchases'!AE14</f>
        <v>1963.8634270162768</v>
      </c>
      <c r="D4" s="80">
        <f>'Federal and State Purchases'!AF14</f>
        <v>1975.6334170722771</v>
      </c>
      <c r="E4" s="80">
        <f>'Federal and State Purchases'!AG14</f>
        <v>2011.1463181033128</v>
      </c>
      <c r="F4" s="80">
        <f>'Federal and State Purchases'!AH14</f>
        <v>2026.7719945569688</v>
      </c>
      <c r="G4" s="80">
        <f>'Federal and State Purchases'!AI14</f>
        <v>2044.2240487779352</v>
      </c>
      <c r="H4" s="80">
        <f>'Federal and State Purchases'!AJ14</f>
        <v>2054.5735227926943</v>
      </c>
      <c r="I4" s="80">
        <f>'Federal and State Purchases'!AK14</f>
        <v>2064.3142042183495</v>
      </c>
      <c r="J4" s="80">
        <f>'Federal and State Purchases'!AL14</f>
        <v>2075.5768671167639</v>
      </c>
    </row>
    <row r="5" spans="1:10" x14ac:dyDescent="0.35">
      <c r="A5" t="s">
        <v>197</v>
      </c>
      <c r="B5" t="s">
        <v>198</v>
      </c>
      <c r="C5" s="80">
        <f>'Federal and State Purchases'!AE35</f>
        <v>3280.7107402320066</v>
      </c>
      <c r="D5" s="80">
        <f>'Federal and State Purchases'!AF35</f>
        <v>3311.5306881871875</v>
      </c>
      <c r="E5" s="80">
        <f>'Federal and State Purchases'!AG35</f>
        <v>3343.2276497584216</v>
      </c>
      <c r="F5" s="80">
        <f>'Federal and State Purchases'!AH35</f>
        <v>3372.7804447870926</v>
      </c>
      <c r="G5" s="80">
        <f>'Federal and State Purchases'!AI35</f>
        <v>3402.8900768752223</v>
      </c>
      <c r="H5" s="80">
        <f>'Federal and State Purchases'!AJ35</f>
        <v>3432.2740655832567</v>
      </c>
      <c r="I5" s="80">
        <f>'Federal and State Purchases'!AK35</f>
        <v>3461.0166842644189</v>
      </c>
      <c r="J5" s="80">
        <f>'Federal and State Purchases'!AL35</f>
        <v>3490.556824672482</v>
      </c>
    </row>
    <row r="6" spans="1:10" x14ac:dyDescent="0.35">
      <c r="A6" t="s">
        <v>199</v>
      </c>
      <c r="B6" t="s">
        <v>200</v>
      </c>
      <c r="C6" s="80">
        <f>Subsidies!AE46</f>
        <v>117.401</v>
      </c>
      <c r="D6" s="80">
        <f>Subsidies!AF46</f>
        <v>121.74</v>
      </c>
      <c r="E6" s="80">
        <f>Subsidies!AG46</f>
        <v>119.58999999999999</v>
      </c>
      <c r="F6" s="80">
        <f>Subsidies!AH46</f>
        <v>119.58999999999999</v>
      </c>
      <c r="G6" s="80">
        <f>Subsidies!AI46</f>
        <v>119.58999999999999</v>
      </c>
      <c r="H6" s="80">
        <f>Subsidies!AJ46</f>
        <v>119.58999999999999</v>
      </c>
      <c r="I6" s="80">
        <f>Subsidies!AK46</f>
        <v>119.58999999999999</v>
      </c>
      <c r="J6" s="80">
        <f>Subsidies!AL46</f>
        <v>119.58999999999999</v>
      </c>
    </row>
    <row r="7" spans="1:10" x14ac:dyDescent="0.35">
      <c r="A7" t="s">
        <v>201</v>
      </c>
      <c r="B7" t="s">
        <v>202</v>
      </c>
      <c r="C7" s="80">
        <f>Subsidies!AE45</f>
        <v>-0.90100000000000025</v>
      </c>
      <c r="D7" s="80">
        <f>Subsidies!AF45</f>
        <v>-2.1500000000000004</v>
      </c>
      <c r="E7" s="80">
        <f>Subsidies!AG45</f>
        <v>0</v>
      </c>
      <c r="F7" s="80">
        <f>Subsidies!AH45</f>
        <v>0</v>
      </c>
      <c r="G7" s="80">
        <f>Subsidies!AI45</f>
        <v>0</v>
      </c>
      <c r="H7" s="80">
        <f>Subsidies!AJ45</f>
        <v>0</v>
      </c>
      <c r="I7" s="80">
        <f>Subsidies!AK45</f>
        <v>0</v>
      </c>
      <c r="J7" s="80">
        <f>Subsidies!AL45</f>
        <v>0</v>
      </c>
    </row>
    <row r="8" spans="1:10" x14ac:dyDescent="0.35">
      <c r="A8" t="s">
        <v>203</v>
      </c>
      <c r="B8" t="s">
        <v>204</v>
      </c>
      <c r="C8" s="80">
        <f>'Unemployment Insurance'!AE20</f>
        <v>0</v>
      </c>
      <c r="D8" s="80">
        <f>'Unemployment Insurance'!AF20</f>
        <v>0</v>
      </c>
      <c r="E8" s="80">
        <f>'Unemployment Insurance'!AG20</f>
        <v>0</v>
      </c>
      <c r="F8" s="80">
        <f>'Unemployment Insurance'!AH20</f>
        <v>0</v>
      </c>
      <c r="G8" s="80">
        <f>'Unemployment Insurance'!AI20</f>
        <v>0</v>
      </c>
      <c r="H8" s="80">
        <f>'Unemployment Insurance'!AJ20</f>
        <v>0</v>
      </c>
      <c r="I8" s="80">
        <f>'Unemployment Insurance'!AK20</f>
        <v>0</v>
      </c>
      <c r="J8" s="80">
        <f>'Unemployment Insurance'!AL20</f>
        <v>0</v>
      </c>
    </row>
    <row r="9" spans="1:10" x14ac:dyDescent="0.35">
      <c r="A9" t="s">
        <v>205</v>
      </c>
      <c r="B9" t="s">
        <v>206</v>
      </c>
      <c r="C9" s="80">
        <f>'Unemployment Insurance'!AE21</f>
        <v>35.700000000000003</v>
      </c>
      <c r="D9" s="80">
        <f>'Unemployment Insurance'!AF21</f>
        <v>35.700000000000003</v>
      </c>
      <c r="E9" s="80">
        <f>'Unemployment Insurance'!AG21</f>
        <v>35.700000000000003</v>
      </c>
      <c r="F9" s="80">
        <f>'Unemployment Insurance'!AH21</f>
        <v>35.700000000000003</v>
      </c>
      <c r="G9" s="80">
        <f>'Unemployment Insurance'!AI21</f>
        <v>35.700000000000003</v>
      </c>
      <c r="H9" s="80">
        <f>'Unemployment Insurance'!AJ21</f>
        <v>35.700000000000003</v>
      </c>
      <c r="I9" s="80">
        <f>'Unemployment Insurance'!AK21</f>
        <v>36.700000000000003</v>
      </c>
      <c r="J9" s="80">
        <f>'Unemployment Insurance'!AL21</f>
        <v>37.700000000000003</v>
      </c>
    </row>
    <row r="10" spans="1:10" x14ac:dyDescent="0.35">
      <c r="A10" s="56" t="s">
        <v>207</v>
      </c>
      <c r="B10" s="56" t="s">
        <v>208</v>
      </c>
      <c r="C10" s="80">
        <f>Medicaid!AE28</f>
        <v>687.27647550115967</v>
      </c>
      <c r="D10" s="80">
        <f>Medicaid!AF28</f>
        <v>696.93582719454662</v>
      </c>
      <c r="E10" s="80">
        <f>Medicaid!AG28</f>
        <v>705.26255480190014</v>
      </c>
      <c r="F10" s="80">
        <f>Medicaid!AH28</f>
        <v>717.91329963031671</v>
      </c>
      <c r="G10" s="80">
        <f>Medicaid!AI28</f>
        <v>727.02732439110707</v>
      </c>
      <c r="H10" s="80">
        <f>Medicaid!AJ28</f>
        <v>725.13821376854708</v>
      </c>
      <c r="I10" s="80">
        <f>Medicaid!AK28</f>
        <v>735.90864725010715</v>
      </c>
      <c r="J10" s="80">
        <f>Medicaid!AL28</f>
        <v>747.25096753268917</v>
      </c>
    </row>
    <row r="11" spans="1:10" x14ac:dyDescent="0.35">
      <c r="A11" s="56" t="s">
        <v>209</v>
      </c>
      <c r="B11" s="56" t="s">
        <v>210</v>
      </c>
      <c r="C11" s="80">
        <f>Medicaid!AE26</f>
        <v>999.95898678189383</v>
      </c>
      <c r="D11" s="80">
        <f>Medicaid!AF26</f>
        <v>1014.1688795114242</v>
      </c>
      <c r="E11" s="80">
        <f>Medicaid!AG26</f>
        <v>1028.6263410455106</v>
      </c>
      <c r="F11" s="80">
        <f>Medicaid!AH26</f>
        <v>1043.2899005956497</v>
      </c>
      <c r="G11" s="80">
        <f>Medicaid!AI26</f>
        <v>1058.1624961874497</v>
      </c>
      <c r="H11" s="80">
        <f>Medicaid!AJ26</f>
        <v>1055.5046787071888</v>
      </c>
      <c r="I11" s="80">
        <f>Medicaid!AK26</f>
        <v>1071.2571955433457</v>
      </c>
      <c r="J11" s="80">
        <f>Medicaid!AL26</f>
        <v>1087.2448054034173</v>
      </c>
    </row>
    <row r="12" spans="1:10" x14ac:dyDescent="0.35">
      <c r="A12" t="s">
        <v>55</v>
      </c>
      <c r="B12" t="s">
        <v>211</v>
      </c>
      <c r="C12" s="80">
        <f>Medicare!AE10</f>
        <v>1197.1541359637888</v>
      </c>
      <c r="D12" s="80">
        <f>Medicare!AF10</f>
        <v>1215.0695436191259</v>
      </c>
      <c r="E12" s="80">
        <f>Medicare!AG10</f>
        <v>1233.2530552903243</v>
      </c>
      <c r="F12" s="80">
        <f>Medicare!AH10</f>
        <v>1251.7086831530878</v>
      </c>
      <c r="G12" s="80">
        <f>Medicare!AI10</f>
        <v>1270.4404994253166</v>
      </c>
      <c r="H12" s="80">
        <f>Medicare!AJ10</f>
        <v>1289.616636754057</v>
      </c>
      <c r="I12" s="80">
        <f>Medicare!AK10</f>
        <v>1309.0822203362954</v>
      </c>
      <c r="J12" s="80">
        <f>Medicare!AL10</f>
        <v>1328.8416190984858</v>
      </c>
    </row>
    <row r="13" spans="1:10" x14ac:dyDescent="0.35">
      <c r="A13" t="s">
        <v>212</v>
      </c>
      <c r="B13" t="s">
        <v>213</v>
      </c>
      <c r="C13" s="80">
        <f>'Rebate Checks (expired)'!AE11</f>
        <v>0</v>
      </c>
      <c r="D13" s="80">
        <f>'Rebate Checks (expired)'!AF11</f>
        <v>0</v>
      </c>
      <c r="E13" s="80">
        <f>'Rebate Checks (expired)'!AG11</f>
        <v>0</v>
      </c>
      <c r="F13" s="80">
        <f>'Rebate Checks (expired)'!AH11</f>
        <v>0</v>
      </c>
      <c r="G13" s="80">
        <f>'Rebate Checks (expired)'!AI11</f>
        <v>0</v>
      </c>
      <c r="H13" s="80">
        <f>'Rebate Checks (expired)'!AJ11</f>
        <v>0</v>
      </c>
      <c r="I13" s="80">
        <f>'Rebate Checks (expired)'!AK11</f>
        <v>0</v>
      </c>
      <c r="J13" s="80">
        <f>'Rebate Checks (expired)'!AL11</f>
        <v>0</v>
      </c>
    </row>
    <row r="14" spans="1:10" x14ac:dyDescent="0.35">
      <c r="A14" t="s">
        <v>214</v>
      </c>
      <c r="B14" t="s">
        <v>215</v>
      </c>
      <c r="C14" s="80">
        <f>'Rebate Checks (expired)'!AE10</f>
        <v>0</v>
      </c>
      <c r="D14" s="80">
        <f>'Rebate Checks (expired)'!AF10</f>
        <v>0</v>
      </c>
      <c r="E14" s="80">
        <f>'Rebate Checks (expired)'!AG10</f>
        <v>0</v>
      </c>
      <c r="F14" s="80">
        <f>'Rebate Checks (expired)'!AH10</f>
        <v>0</v>
      </c>
      <c r="G14" s="80">
        <f>'Rebate Checks (expired)'!AI10</f>
        <v>0</v>
      </c>
      <c r="H14" s="80">
        <f>'Rebate Checks (expired)'!AJ10</f>
        <v>0</v>
      </c>
      <c r="I14" s="80">
        <f>'Rebate Checks (expired)'!AK10</f>
        <v>0</v>
      </c>
      <c r="J14" s="80">
        <f>'Rebate Checks (expired)'!AL10</f>
        <v>0</v>
      </c>
    </row>
    <row r="15" spans="1:10" x14ac:dyDescent="0.35">
      <c r="A15" t="s">
        <v>216</v>
      </c>
      <c r="B15" t="s">
        <v>217</v>
      </c>
      <c r="C15" s="80">
        <f>'Social Benefits - old'!AE24</f>
        <v>2.3719999999999999</v>
      </c>
      <c r="D15" s="80">
        <f>'Social Benefits - old'!AF24</f>
        <v>0.49</v>
      </c>
      <c r="E15" s="80">
        <f>'Social Benefits - old'!AG24</f>
        <v>0</v>
      </c>
      <c r="F15" s="80">
        <f>'Social Benefits - old'!AH24</f>
        <v>0</v>
      </c>
      <c r="G15" s="80">
        <f>'Social Benefits - old'!AI24</f>
        <v>0</v>
      </c>
      <c r="H15" s="80">
        <f>'Social Benefits - old'!AJ24</f>
        <v>0</v>
      </c>
      <c r="I15" s="80">
        <f>'Social Benefits - old'!AK24</f>
        <v>0</v>
      </c>
      <c r="J15" s="80">
        <f>'Social Benefits - old'!AL24</f>
        <v>0</v>
      </c>
    </row>
    <row r="16" spans="1:10" x14ac:dyDescent="0.35">
      <c r="A16" t="s">
        <v>795</v>
      </c>
      <c r="B16" t="s">
        <v>219</v>
      </c>
      <c r="C16" s="80">
        <f>'Social Benefits - old'!AE30</f>
        <v>1.63</v>
      </c>
      <c r="D16" s="80">
        <f>'Social Benefits - old'!AF30</f>
        <v>1.671</v>
      </c>
      <c r="E16" s="80">
        <f>'Social Benefits - old'!AG30</f>
        <v>0</v>
      </c>
      <c r="F16" s="80">
        <f>'Social Benefits - old'!AH30</f>
        <v>0</v>
      </c>
      <c r="G16" s="80">
        <f>'Social Benefits - old'!AI30</f>
        <v>0</v>
      </c>
      <c r="H16" s="80">
        <f>'Social Benefits - old'!AJ30</f>
        <v>0</v>
      </c>
      <c r="I16" s="80">
        <f>'Social Benefits - old'!AK30</f>
        <v>0</v>
      </c>
      <c r="J16" s="80">
        <f>'Social Benefits - old'!AL30</f>
        <v>0</v>
      </c>
    </row>
    <row r="17" spans="1:10" x14ac:dyDescent="0.35">
      <c r="A17" t="s">
        <v>220</v>
      </c>
      <c r="B17" t="s">
        <v>221</v>
      </c>
      <c r="C17" s="80">
        <f>'Social Benefits'!AE33</f>
        <v>2359.3871549999999</v>
      </c>
      <c r="D17" s="80">
        <f>'Social Benefits'!AF33</f>
        <v>2351.4927557750002</v>
      </c>
      <c r="E17" s="80">
        <f>'Social Benefits'!AG33</f>
        <v>2405.1255305538753</v>
      </c>
      <c r="F17" s="80">
        <f>'Social Benefits'!AH33</f>
        <v>2420.7362699766445</v>
      </c>
      <c r="G17" s="80">
        <f>'Social Benefits'!AI33</f>
        <v>2438.0917030965275</v>
      </c>
      <c r="H17" s="80">
        <f>'Social Benefits'!AJ33</f>
        <v>2447.3089133820104</v>
      </c>
      <c r="I17" s="80">
        <f>'Social Benefits'!AK33</f>
        <v>2504.0627755769201</v>
      </c>
      <c r="J17" s="80">
        <f>'Social Benefits'!AL33</f>
        <v>2521.4687922705148</v>
      </c>
    </row>
    <row r="18" spans="1:10" x14ac:dyDescent="0.35">
      <c r="A18" t="s">
        <v>222</v>
      </c>
      <c r="B18" t="s">
        <v>223</v>
      </c>
      <c r="C18" s="80">
        <f>'Social Benefits - old'!AE39</f>
        <v>234.7446086945757</v>
      </c>
      <c r="D18" s="80">
        <f>'Social Benefits - old'!AF39</f>
        <v>238.17619541011769</v>
      </c>
      <c r="E18" s="80">
        <f>'Social Benefits - old'!AG39</f>
        <v>241.65794637629688</v>
      </c>
      <c r="F18" s="80">
        <f>'Social Benefits - old'!AH39</f>
        <v>245.19059491336728</v>
      </c>
      <c r="G18" s="80">
        <f>'Social Benefits - old'!AI39</f>
        <v>248.77488506153966</v>
      </c>
      <c r="H18" s="80">
        <f>'Social Benefits - old'!AJ39</f>
        <v>252.41157173768991</v>
      </c>
      <c r="I18" s="80">
        <f>'Social Benefits - old'!AK39</f>
        <v>256.10142089435828</v>
      </c>
      <c r="J18" s="80">
        <f>'Social Benefits - old'!AL39</f>
        <v>259.84520968107307</v>
      </c>
    </row>
    <row r="19" spans="1:10" x14ac:dyDescent="0.35">
      <c r="A19" t="s">
        <v>224</v>
      </c>
      <c r="B19" t="s">
        <v>225</v>
      </c>
      <c r="C19" s="80">
        <f>Taxes!AE9</f>
        <v>4884.2781359110913</v>
      </c>
      <c r="D19" s="80">
        <f>Taxes!AF9</f>
        <v>4968.9296934101849</v>
      </c>
      <c r="E19" s="80">
        <f>Taxes!AG9</f>
        <v>4977.9314512572364</v>
      </c>
      <c r="F19" s="80">
        <f>Taxes!AH9</f>
        <v>5018.6866160468144</v>
      </c>
      <c r="G19" s="80">
        <f>Taxes!AI9</f>
        <v>5059.8310346733906</v>
      </c>
      <c r="H19" s="80">
        <f>Taxes!AJ9</f>
        <v>5101.3688751467243</v>
      </c>
      <c r="I19" s="80">
        <f>Taxes!AK9</f>
        <v>5247.5311088139333</v>
      </c>
      <c r="J19" s="80">
        <f>Taxes!AL9</f>
        <v>5279.9627728218538</v>
      </c>
    </row>
    <row r="20" spans="1:10" x14ac:dyDescent="0.35">
      <c r="A20" t="s">
        <v>226</v>
      </c>
      <c r="B20" t="s">
        <v>227</v>
      </c>
      <c r="C20" s="80">
        <f>Taxes!AE22</f>
        <v>2610.4179349654814</v>
      </c>
      <c r="D20" s="80">
        <f>Taxes!AF22</f>
        <v>2637.2590525097935</v>
      </c>
      <c r="E20" s="80">
        <f>Taxes!AG22</f>
        <v>2661.9450087697264</v>
      </c>
      <c r="F20" s="80">
        <f>Taxes!AH22</f>
        <v>2687.6209509421678</v>
      </c>
      <c r="G20" s="80">
        <f>Taxes!AI22</f>
        <v>2711.0655175084648</v>
      </c>
      <c r="H20" s="80">
        <f>Taxes!AJ22</f>
        <v>2736.4520878263743</v>
      </c>
      <c r="I20" s="80">
        <f>Taxes!AK22</f>
        <v>2763.2785072824095</v>
      </c>
      <c r="J20" s="80">
        <f>Taxes!AL22</f>
        <v>2788.0558611126189</v>
      </c>
    </row>
    <row r="21" spans="1:10" x14ac:dyDescent="0.35">
      <c r="A21" t="s">
        <v>228</v>
      </c>
      <c r="B21" t="s">
        <v>229</v>
      </c>
      <c r="C21" s="80">
        <f>Taxes!AE19</f>
        <v>140.19200586458146</v>
      </c>
      <c r="D21" s="80">
        <f>Taxes!AF19</f>
        <v>394.32577705384216</v>
      </c>
      <c r="E21" s="80">
        <f>Taxes!AG19</f>
        <v>391.88928756362725</v>
      </c>
      <c r="F21" s="80">
        <f>Taxes!AH19</f>
        <v>389.46785283620335</v>
      </c>
      <c r="G21" s="80">
        <f>Taxes!AI19</f>
        <v>387.06137985008053</v>
      </c>
      <c r="H21" s="80">
        <f>Taxes!AJ19</f>
        <v>384.66977615853688</v>
      </c>
      <c r="I21" s="80">
        <f>Taxes!AK19</f>
        <v>392.29294988606722</v>
      </c>
      <c r="J21" s="80">
        <f>Taxes!AL19</f>
        <v>389.8690209798109</v>
      </c>
    </row>
    <row r="22" spans="1:10" x14ac:dyDescent="0.35">
      <c r="A22" t="s">
        <v>230</v>
      </c>
      <c r="B22" t="s">
        <v>231</v>
      </c>
      <c r="C22" s="80">
        <f>Taxes!AE29</f>
        <v>172.4420004657662</v>
      </c>
      <c r="D22" s="80">
        <f>Taxes!AF29</f>
        <v>172.35554552864465</v>
      </c>
      <c r="E22" s="80">
        <f>Taxes!AG29</f>
        <v>172.5640544946437</v>
      </c>
      <c r="F22" s="80">
        <f>Taxes!AH29</f>
        <v>172.90478865859339</v>
      </c>
      <c r="G22" s="80">
        <f>Taxes!AI29</f>
        <v>172.73187878435027</v>
      </c>
      <c r="H22" s="80">
        <f>Taxes!AJ29</f>
        <v>172.94038775034934</v>
      </c>
      <c r="I22" s="80">
        <f>Taxes!AK29</f>
        <v>172.60982475547277</v>
      </c>
      <c r="J22" s="80">
        <f>Taxes!AL29</f>
        <v>171.97412668840244</v>
      </c>
    </row>
    <row r="23" spans="1:10" x14ac:dyDescent="0.35">
      <c r="A23" s="56" t="s">
        <v>1379</v>
      </c>
      <c r="B23" t="s">
        <v>1378</v>
      </c>
      <c r="C23" s="80">
        <f>'Student loans'!AE12</f>
        <v>-8.3069939999999995</v>
      </c>
      <c r="D23" s="80">
        <f>'Student loans'!AF12</f>
        <v>-8.2824600000000004</v>
      </c>
      <c r="E23" s="80">
        <f>'Student loans'!AG12</f>
        <v>-8.2824600000000004</v>
      </c>
      <c r="F23" s="80">
        <f>'Student loans'!AH12</f>
        <v>-8.2824600000000004</v>
      </c>
      <c r="G23" s="80">
        <f>'Student loans'!AI12</f>
        <v>-11</v>
      </c>
      <c r="H23" s="80">
        <f>'Student loans'!AJ12</f>
        <v>-11</v>
      </c>
      <c r="I23" s="80">
        <f>'Student loans'!AK12</f>
        <v>-11</v>
      </c>
      <c r="J23" s="80">
        <f>'Student loans'!AL12</f>
        <v>-11</v>
      </c>
    </row>
    <row r="24" spans="1:10" x14ac:dyDescent="0.35">
      <c r="A24" s="77" t="s">
        <v>1929</v>
      </c>
      <c r="B24" t="s">
        <v>1877</v>
      </c>
      <c r="C24" s="80">
        <f>'Supply Side IRA'!AE14</f>
        <v>103.08351069330931</v>
      </c>
      <c r="D24" s="80">
        <f>'Supply Side IRA'!AF14</f>
        <v>109.65876198766387</v>
      </c>
      <c r="E24" s="80">
        <f>'Supply Side IRA'!AG14</f>
        <v>134.70903635555658</v>
      </c>
      <c r="F24" s="80">
        <f>'Supply Side IRA'!AH14</f>
        <v>155.20684462483894</v>
      </c>
      <c r="G24" s="80">
        <f>'Supply Side IRA'!AI14</f>
        <v>162.82034425593883</v>
      </c>
      <c r="H24" s="80">
        <f>'Supply Side IRA'!AJ14</f>
        <v>160.44502735686868</v>
      </c>
      <c r="I24" s="80">
        <f>'Supply Side IRA'!AK14</f>
        <v>146.43535339516106</v>
      </c>
      <c r="J24" s="80">
        <f>'Supply Side IRA'!AL14</f>
        <v>123.27491260136317</v>
      </c>
    </row>
    <row r="25" spans="1:10" x14ac:dyDescent="0.35">
      <c r="A25" s="67" t="s">
        <v>1988</v>
      </c>
      <c r="B25" t="s">
        <v>1989</v>
      </c>
      <c r="C25">
        <v>-0.3</v>
      </c>
      <c r="D25">
        <v>-0.3</v>
      </c>
      <c r="E25">
        <v>-0.3</v>
      </c>
      <c r="F25">
        <v>-0.2</v>
      </c>
      <c r="G25">
        <v>-0.2</v>
      </c>
      <c r="H25">
        <v>-0.2</v>
      </c>
      <c r="I25">
        <v>-0.1</v>
      </c>
      <c r="J25">
        <v>-0.1</v>
      </c>
    </row>
    <row r="26" spans="1:10" x14ac:dyDescent="0.35">
      <c r="A26" s="67"/>
    </row>
    <row r="27" spans="1:10" x14ac:dyDescent="0.35">
      <c r="A27" s="67"/>
    </row>
    <row r="28" spans="1:10" x14ac:dyDescent="0.35">
      <c r="A28" s="56"/>
    </row>
  </sheetData>
  <phoneticPr fontId="70" type="noConversion"/>
  <pageMargins left="0.7" right="0.7" top="0.75" bottom="0.75" header="0.3" footer="0.3"/>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00B13-ED5B-4C07-BBD7-9ACED8789D12}">
  <dimension ref="B4:L8"/>
  <sheetViews>
    <sheetView workbookViewId="0">
      <selection activeCell="B5" sqref="B5:I5"/>
    </sheetView>
  </sheetViews>
  <sheetFormatPr defaultRowHeight="14.5" x14ac:dyDescent="0.35"/>
  <sheetData>
    <row r="4" spans="2:12" x14ac:dyDescent="0.35">
      <c r="B4" s="78" t="s">
        <v>764</v>
      </c>
      <c r="C4" s="78" t="s">
        <v>765</v>
      </c>
      <c r="D4" s="78" t="s">
        <v>1151</v>
      </c>
      <c r="E4" s="78" t="s">
        <v>1152</v>
      </c>
      <c r="F4" s="78" t="s">
        <v>1153</v>
      </c>
      <c r="G4" s="78" t="s">
        <v>1154</v>
      </c>
      <c r="H4" s="78" t="s">
        <v>1155</v>
      </c>
      <c r="I4" s="78" t="s">
        <v>1156</v>
      </c>
    </row>
    <row r="5" spans="2:12" x14ac:dyDescent="0.35">
      <c r="B5">
        <v>-0.3</v>
      </c>
      <c r="C5">
        <v>-0.3</v>
      </c>
      <c r="D5">
        <v>-0.3</v>
      </c>
      <c r="E5" s="214">
        <v>-0.2</v>
      </c>
      <c r="F5" s="214">
        <v>-0.2</v>
      </c>
      <c r="G5" s="214">
        <v>-0.2</v>
      </c>
      <c r="H5" s="214">
        <v>-0.1</v>
      </c>
      <c r="I5" s="214">
        <v>-0.1</v>
      </c>
    </row>
    <row r="7" spans="2:12" x14ac:dyDescent="0.35">
      <c r="B7" t="s">
        <v>241</v>
      </c>
    </row>
    <row r="8" spans="2:12" x14ac:dyDescent="0.35">
      <c r="B8">
        <v>267</v>
      </c>
      <c r="C8" s="802">
        <f>377</f>
        <v>377</v>
      </c>
      <c r="D8" s="802">
        <f>C8+60</f>
        <v>437</v>
      </c>
      <c r="E8" s="802">
        <f>D8*(1.038)^0.25</f>
        <v>441.09361916881272</v>
      </c>
      <c r="F8" s="802">
        <f t="shared" ref="F8:L8" si="0">E8*(1.038)^0.25</f>
        <v>445.22558551817298</v>
      </c>
      <c r="G8" s="802">
        <f t="shared" si="0"/>
        <v>449.396258267196</v>
      </c>
      <c r="H8" s="802">
        <f t="shared" si="0"/>
        <v>453.60599999999988</v>
      </c>
      <c r="I8" s="802">
        <f t="shared" si="0"/>
        <v>457.85517669722748</v>
      </c>
      <c r="J8" s="802">
        <f t="shared" si="0"/>
        <v>462.14415776786342</v>
      </c>
      <c r="K8" s="802">
        <f t="shared" si="0"/>
        <v>466.47331608134931</v>
      </c>
      <c r="L8" s="802">
        <f t="shared" si="0"/>
        <v>470.84302799999972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tint="0.59999389629810485"/>
  </sheetPr>
  <dimension ref="A1:AS15"/>
  <sheetViews>
    <sheetView zoomScale="89" zoomScaleNormal="110" workbookViewId="0">
      <selection activeCell="B27" sqref="B27"/>
    </sheetView>
  </sheetViews>
  <sheetFormatPr defaultColWidth="10.90625" defaultRowHeight="14.5" x14ac:dyDescent="0.35"/>
  <cols>
    <col min="1" max="2" width="70.81640625" customWidth="1"/>
  </cols>
  <sheetData>
    <row r="1" spans="1:45" ht="15.65" customHeight="1" x14ac:dyDescent="0.35">
      <c r="A1" s="1317" t="s">
        <v>253</v>
      </c>
      <c r="B1" s="1317"/>
      <c r="C1" s="1317"/>
      <c r="D1" s="1317"/>
      <c r="E1" s="1317"/>
      <c r="F1" s="1317"/>
      <c r="G1" s="1317"/>
      <c r="H1" s="1317"/>
      <c r="I1" s="1317"/>
      <c r="J1" s="1317"/>
      <c r="K1" s="1317"/>
      <c r="L1" s="1317"/>
      <c r="M1" s="1317"/>
      <c r="N1" s="1317"/>
      <c r="O1" s="1317"/>
    </row>
    <row r="2" spans="1:45" ht="31.4" customHeight="1" x14ac:dyDescent="0.35">
      <c r="A2" s="215"/>
      <c r="B2" s="215" t="s">
        <v>179</v>
      </c>
      <c r="C2" s="221">
        <v>1</v>
      </c>
      <c r="D2" s="221">
        <f>C2+1</f>
        <v>2</v>
      </c>
      <c r="E2" s="221">
        <f t="shared" ref="E2:N2" si="0">D2+1</f>
        <v>3</v>
      </c>
      <c r="F2" s="221">
        <f t="shared" si="0"/>
        <v>4</v>
      </c>
      <c r="G2" s="221">
        <f t="shared" si="0"/>
        <v>5</v>
      </c>
      <c r="H2" s="221">
        <f t="shared" si="0"/>
        <v>6</v>
      </c>
      <c r="I2" s="221">
        <f t="shared" si="0"/>
        <v>7</v>
      </c>
      <c r="J2" s="221">
        <f t="shared" si="0"/>
        <v>8</v>
      </c>
      <c r="K2" s="221">
        <f t="shared" si="0"/>
        <v>9</v>
      </c>
      <c r="L2" s="221">
        <f t="shared" si="0"/>
        <v>10</v>
      </c>
      <c r="M2" s="221">
        <f t="shared" si="0"/>
        <v>11</v>
      </c>
      <c r="N2" s="221">
        <f t="shared" si="0"/>
        <v>12</v>
      </c>
      <c r="O2" s="219" t="s">
        <v>254</v>
      </c>
    </row>
    <row r="3" spans="1:45" ht="15.65" customHeight="1" x14ac:dyDescent="0.35">
      <c r="A3" s="216" t="s">
        <v>255</v>
      </c>
      <c r="B3" s="216" t="s">
        <v>256</v>
      </c>
      <c r="C3" s="79">
        <v>0.22500000000000001</v>
      </c>
      <c r="D3" s="79">
        <v>0.22500000000000001</v>
      </c>
      <c r="E3" s="79">
        <v>0.22500000000000001</v>
      </c>
      <c r="F3" s="79">
        <v>0.22500000000000001</v>
      </c>
      <c r="G3" s="222">
        <v>0</v>
      </c>
      <c r="H3" s="222">
        <v>0</v>
      </c>
      <c r="I3" s="222">
        <v>0</v>
      </c>
      <c r="J3" s="222">
        <v>0</v>
      </c>
      <c r="K3" s="222">
        <v>0</v>
      </c>
      <c r="L3" s="222">
        <v>0</v>
      </c>
      <c r="M3" s="222">
        <v>0</v>
      </c>
      <c r="N3" s="222">
        <v>0</v>
      </c>
      <c r="O3" s="220">
        <f>SUM(C3:N3)</f>
        <v>0.9</v>
      </c>
      <c r="P3" s="79"/>
      <c r="Q3" s="79"/>
      <c r="R3" s="79"/>
      <c r="S3" s="79"/>
      <c r="T3" s="222"/>
      <c r="U3" s="222"/>
      <c r="V3" s="222"/>
      <c r="W3" s="222"/>
      <c r="X3" s="222"/>
      <c r="Y3" s="222"/>
      <c r="Z3" s="222"/>
      <c r="AA3" s="222"/>
      <c r="AC3" s="82"/>
      <c r="AD3" s="82"/>
      <c r="AE3" s="82"/>
      <c r="AF3" s="82"/>
      <c r="AG3" s="82"/>
      <c r="AH3" s="82"/>
      <c r="AI3" s="82"/>
      <c r="AJ3" s="82"/>
      <c r="AK3" s="82"/>
      <c r="AL3" s="82"/>
      <c r="AM3" s="82"/>
      <c r="AN3" s="82"/>
      <c r="AO3" s="82"/>
      <c r="AP3" s="82"/>
      <c r="AQ3" s="82"/>
      <c r="AR3" s="82"/>
      <c r="AS3" s="82"/>
    </row>
    <row r="4" spans="1:45" ht="15.65" customHeight="1" x14ac:dyDescent="0.35">
      <c r="A4" s="218" t="s">
        <v>257</v>
      </c>
      <c r="B4" s="218" t="s">
        <v>258</v>
      </c>
      <c r="C4" s="79">
        <v>-3.3333333333333333E-2</v>
      </c>
      <c r="D4" s="79">
        <v>-3.3333333333333333E-2</v>
      </c>
      <c r="E4" s="79">
        <v>-3.3333333333333333E-2</v>
      </c>
      <c r="F4" s="79">
        <v>-3.3333333333333333E-2</v>
      </c>
      <c r="G4" s="79">
        <v>-3.3333333333333333E-2</v>
      </c>
      <c r="H4" s="79">
        <v>-3.3333333333333333E-2</v>
      </c>
      <c r="I4" s="79">
        <v>-3.3333333333333333E-2</v>
      </c>
      <c r="J4" s="79">
        <v>-3.3333333333333333E-2</v>
      </c>
      <c r="K4" s="79">
        <v>-3.3333333333333333E-2</v>
      </c>
      <c r="L4" s="79">
        <v>-3.3333333333333333E-2</v>
      </c>
      <c r="M4" s="79">
        <v>-3.3333333333333333E-2</v>
      </c>
      <c r="N4" s="79">
        <v>-3.3333333333333333E-2</v>
      </c>
      <c r="O4" s="220">
        <f>SUM(C4:N4)</f>
        <v>-0.39999999999999997</v>
      </c>
      <c r="P4" s="79"/>
      <c r="Q4" s="79"/>
      <c r="R4" s="79"/>
      <c r="S4" s="79"/>
      <c r="T4" s="79"/>
      <c r="U4" s="79"/>
      <c r="V4" s="79"/>
      <c r="W4" s="79"/>
      <c r="X4" s="79"/>
      <c r="Y4" s="79"/>
      <c r="Z4" s="79"/>
      <c r="AA4" s="79"/>
      <c r="AC4" s="82"/>
      <c r="AD4" s="82"/>
      <c r="AE4" s="82"/>
      <c r="AF4" s="82"/>
      <c r="AG4" s="82"/>
      <c r="AH4" s="82"/>
      <c r="AI4" s="82"/>
      <c r="AJ4" s="82"/>
      <c r="AK4" s="82"/>
      <c r="AL4" s="82"/>
      <c r="AM4" s="82"/>
      <c r="AN4" s="82"/>
    </row>
    <row r="5" spans="1:45" ht="15.65" customHeight="1" x14ac:dyDescent="0.35">
      <c r="A5" s="218" t="s">
        <v>259</v>
      </c>
      <c r="B5" s="218" t="s">
        <v>260</v>
      </c>
      <c r="C5" s="79">
        <v>-0.12</v>
      </c>
      <c r="D5" s="79">
        <v>-0.12</v>
      </c>
      <c r="E5" s="79">
        <v>-0.06</v>
      </c>
      <c r="F5" s="79">
        <v>-0.06</v>
      </c>
      <c r="G5" s="79">
        <v>-0.06</v>
      </c>
      <c r="H5" s="79">
        <v>-0.06</v>
      </c>
      <c r="I5" s="79">
        <v>-0.06</v>
      </c>
      <c r="J5" s="79">
        <v>-0.06</v>
      </c>
      <c r="K5" s="79">
        <v>0</v>
      </c>
      <c r="L5" s="79">
        <v>0</v>
      </c>
      <c r="M5" s="79">
        <v>0</v>
      </c>
      <c r="N5" s="79">
        <v>0</v>
      </c>
      <c r="O5" s="220">
        <f t="shared" ref="O5:O13" si="1">SUM(C5:N5)</f>
        <v>-0.60000000000000009</v>
      </c>
      <c r="P5" s="79"/>
      <c r="Q5" s="79"/>
      <c r="R5" s="79"/>
      <c r="S5" s="79"/>
      <c r="T5" s="79"/>
      <c r="U5" s="79"/>
      <c r="V5" s="79"/>
      <c r="W5" s="79"/>
      <c r="X5" s="79"/>
      <c r="Y5" s="79"/>
      <c r="Z5" s="79"/>
      <c r="AA5" s="79"/>
      <c r="AC5" s="82"/>
      <c r="AD5" s="82"/>
      <c r="AE5" s="82"/>
      <c r="AF5" s="82"/>
      <c r="AG5" s="82"/>
      <c r="AH5" s="82"/>
      <c r="AI5" s="82"/>
      <c r="AJ5" s="82"/>
      <c r="AK5" s="82"/>
      <c r="AL5" s="82"/>
      <c r="AM5" s="82"/>
      <c r="AN5" s="82"/>
    </row>
    <row r="6" spans="1:45" ht="15.65" customHeight="1" x14ac:dyDescent="0.35">
      <c r="A6" s="216" t="s">
        <v>261</v>
      </c>
      <c r="B6" s="216" t="s">
        <v>213</v>
      </c>
      <c r="C6" s="79">
        <v>0.24499999999999997</v>
      </c>
      <c r="D6" s="79">
        <v>0.105</v>
      </c>
      <c r="E6" s="79">
        <v>5.5999999999999994E-2</v>
      </c>
      <c r="F6" s="79">
        <v>5.5999999999999994E-2</v>
      </c>
      <c r="G6" s="79">
        <v>5.5999999999999994E-2</v>
      </c>
      <c r="H6" s="79">
        <v>5.5999999999999994E-2</v>
      </c>
      <c r="I6" s="79">
        <v>5.5999999999999994E-2</v>
      </c>
      <c r="J6" s="79">
        <v>5.5999999999999994E-2</v>
      </c>
      <c r="K6" s="79">
        <v>0</v>
      </c>
      <c r="L6" s="79">
        <v>0</v>
      </c>
      <c r="M6" s="79">
        <v>0</v>
      </c>
      <c r="N6" s="79">
        <v>0</v>
      </c>
      <c r="O6" s="220">
        <f t="shared" si="1"/>
        <v>0.68600000000000017</v>
      </c>
      <c r="P6" s="79"/>
      <c r="Q6" s="79"/>
      <c r="R6" s="79"/>
      <c r="S6" s="79"/>
      <c r="T6" s="79"/>
      <c r="U6" s="79"/>
      <c r="V6" s="79"/>
      <c r="W6" s="79"/>
      <c r="X6" s="79"/>
      <c r="Y6" s="79"/>
      <c r="Z6" s="79"/>
      <c r="AA6" s="79"/>
      <c r="AC6" s="82"/>
      <c r="AD6" s="82"/>
      <c r="AE6" s="82"/>
      <c r="AF6" s="82"/>
      <c r="AG6" s="82"/>
      <c r="AH6" s="82"/>
      <c r="AI6" s="82"/>
      <c r="AJ6" s="82"/>
      <c r="AK6" s="82"/>
      <c r="AL6" s="82"/>
      <c r="AM6" s="82"/>
      <c r="AN6" s="82"/>
    </row>
    <row r="7" spans="1:45" ht="15.65" customHeight="1" x14ac:dyDescent="0.35">
      <c r="A7" s="216" t="s">
        <v>262</v>
      </c>
      <c r="B7" s="216" t="s">
        <v>263</v>
      </c>
      <c r="C7" s="79">
        <v>0.315</v>
      </c>
      <c r="D7" s="79">
        <v>0.315</v>
      </c>
      <c r="E7" s="79">
        <v>9.0000000000000011E-2</v>
      </c>
      <c r="F7" s="79">
        <v>9.0000000000000011E-2</v>
      </c>
      <c r="G7" s="79">
        <v>4.5000000000000005E-2</v>
      </c>
      <c r="H7" s="79">
        <v>4.5000000000000005E-2</v>
      </c>
      <c r="I7" s="79">
        <v>0</v>
      </c>
      <c r="J7" s="79">
        <v>0</v>
      </c>
      <c r="K7" s="79">
        <v>0</v>
      </c>
      <c r="L7" s="79">
        <v>0</v>
      </c>
      <c r="M7" s="79">
        <v>0</v>
      </c>
      <c r="N7" s="79">
        <v>0</v>
      </c>
      <c r="O7" s="220">
        <f t="shared" si="1"/>
        <v>0.9</v>
      </c>
      <c r="P7" s="79"/>
      <c r="Q7" s="79"/>
      <c r="R7" s="79"/>
      <c r="S7" s="79"/>
      <c r="T7" s="79"/>
      <c r="U7" s="79"/>
      <c r="V7" s="79"/>
      <c r="W7" s="79"/>
      <c r="X7" s="79"/>
      <c r="Y7" s="79"/>
      <c r="Z7" s="79"/>
      <c r="AA7" s="79"/>
      <c r="AC7" s="82"/>
      <c r="AD7" s="82"/>
      <c r="AE7" s="82"/>
      <c r="AF7" s="82"/>
      <c r="AG7" s="82"/>
      <c r="AH7" s="82"/>
      <c r="AI7" s="82"/>
      <c r="AJ7" s="82"/>
      <c r="AK7" s="82"/>
      <c r="AL7" s="82"/>
      <c r="AM7" s="82"/>
      <c r="AN7" s="82"/>
    </row>
    <row r="8" spans="1:45" ht="15.65" customHeight="1" x14ac:dyDescent="0.35">
      <c r="A8" s="216" t="s">
        <v>264</v>
      </c>
      <c r="B8" s="216" t="s">
        <v>265</v>
      </c>
      <c r="C8" s="79">
        <v>0.22500000000000001</v>
      </c>
      <c r="D8" s="79">
        <v>0.22500000000000001</v>
      </c>
      <c r="E8" s="79">
        <v>0.22500000000000001</v>
      </c>
      <c r="F8" s="79">
        <v>0.22500000000000001</v>
      </c>
      <c r="G8" s="79">
        <v>0</v>
      </c>
      <c r="H8" s="79">
        <v>0</v>
      </c>
      <c r="I8" s="79">
        <v>0</v>
      </c>
      <c r="J8" s="79">
        <v>0</v>
      </c>
      <c r="K8" s="79">
        <v>0</v>
      </c>
      <c r="L8" s="79">
        <v>0</v>
      </c>
      <c r="M8" s="79">
        <v>0</v>
      </c>
      <c r="N8" s="79">
        <v>0</v>
      </c>
      <c r="O8" s="220">
        <f t="shared" si="1"/>
        <v>0.9</v>
      </c>
      <c r="P8" s="79"/>
      <c r="Q8" s="79"/>
      <c r="R8" s="79"/>
      <c r="S8" s="79"/>
      <c r="T8" s="79"/>
      <c r="U8" s="79"/>
      <c r="V8" s="79"/>
      <c r="W8" s="79"/>
      <c r="X8" s="79"/>
      <c r="Y8" s="79"/>
      <c r="Z8" s="79"/>
      <c r="AA8" s="79"/>
      <c r="AC8" s="82"/>
      <c r="AD8" s="82"/>
      <c r="AE8" s="82"/>
      <c r="AF8" s="82"/>
      <c r="AG8" s="82"/>
      <c r="AH8" s="82"/>
      <c r="AI8" s="82"/>
      <c r="AJ8" s="82"/>
      <c r="AK8" s="82"/>
      <c r="AL8" s="82"/>
      <c r="AM8" s="82"/>
      <c r="AN8" s="82"/>
    </row>
    <row r="9" spans="1:45" ht="15.65" customHeight="1" x14ac:dyDescent="0.35">
      <c r="A9" s="216" t="s">
        <v>266</v>
      </c>
      <c r="B9" s="216" t="s">
        <v>267</v>
      </c>
      <c r="C9" s="79">
        <v>4.9500000000000002E-2</v>
      </c>
      <c r="D9" s="79">
        <v>4.2750000000000003E-2</v>
      </c>
      <c r="E9" s="79">
        <v>4.0500000000000001E-2</v>
      </c>
      <c r="F9" s="79">
        <v>3.8250000000000006E-2</v>
      </c>
      <c r="G9" s="79">
        <v>3.6000000000000004E-2</v>
      </c>
      <c r="H9" s="79">
        <v>3.6000000000000004E-2</v>
      </c>
      <c r="I9" s="79">
        <v>3.6000000000000004E-2</v>
      </c>
      <c r="J9" s="79">
        <v>3.6000000000000004E-2</v>
      </c>
      <c r="K9" s="79">
        <v>3.3750000000000002E-2</v>
      </c>
      <c r="L9" s="79">
        <v>3.3750000000000002E-2</v>
      </c>
      <c r="M9" s="79">
        <v>3.3750000000000002E-2</v>
      </c>
      <c r="N9" s="79">
        <v>3.3750000000000002E-2</v>
      </c>
      <c r="O9" s="220">
        <f t="shared" si="1"/>
        <v>0.45000000000000007</v>
      </c>
      <c r="P9" s="79"/>
      <c r="Q9" s="79"/>
      <c r="R9" s="79"/>
      <c r="S9" s="79"/>
      <c r="T9" s="79"/>
      <c r="U9" s="79"/>
      <c r="V9" s="79"/>
      <c r="W9" s="79"/>
      <c r="X9" s="79"/>
      <c r="Y9" s="79"/>
      <c r="Z9" s="79"/>
      <c r="AA9" s="79"/>
      <c r="AC9" s="82"/>
      <c r="AD9" s="82"/>
      <c r="AE9" s="82"/>
      <c r="AF9" s="82"/>
      <c r="AG9" s="82"/>
      <c r="AH9" s="82"/>
      <c r="AI9" s="82"/>
      <c r="AJ9" s="82"/>
      <c r="AK9" s="82"/>
      <c r="AL9" s="82"/>
      <c r="AM9" s="82"/>
      <c r="AN9" s="82"/>
    </row>
    <row r="10" spans="1:45" ht="15.65" customHeight="1" x14ac:dyDescent="0.35">
      <c r="A10" s="216" t="s">
        <v>268</v>
      </c>
      <c r="B10" s="216" t="s">
        <v>215</v>
      </c>
      <c r="C10" s="79">
        <v>0.14000000000000001</v>
      </c>
      <c r="D10" s="79">
        <v>0.1</v>
      </c>
      <c r="E10" s="79">
        <v>0.1</v>
      </c>
      <c r="F10" s="79">
        <v>0.05</v>
      </c>
      <c r="G10" s="79">
        <v>0.05</v>
      </c>
      <c r="H10" s="79">
        <v>0.05</v>
      </c>
      <c r="I10" s="79">
        <v>0.05</v>
      </c>
      <c r="J10" s="79">
        <v>0.05</v>
      </c>
      <c r="K10" s="79">
        <v>0.05</v>
      </c>
      <c r="L10" s="79">
        <v>0.03</v>
      </c>
      <c r="M10" s="79">
        <v>0.03</v>
      </c>
      <c r="N10" s="79">
        <v>0.03</v>
      </c>
      <c r="O10" s="220">
        <f>SUM(C10:N10)</f>
        <v>0.7300000000000002</v>
      </c>
      <c r="P10" s="79"/>
      <c r="Q10" s="79"/>
      <c r="R10" s="79"/>
      <c r="S10" s="79"/>
      <c r="T10" s="79"/>
      <c r="U10" s="79"/>
      <c r="V10" s="79"/>
      <c r="W10" s="79"/>
      <c r="X10" s="79"/>
      <c r="Y10" s="79"/>
      <c r="Z10" s="79"/>
      <c r="AA10" s="79"/>
      <c r="AC10" s="82"/>
      <c r="AD10" s="82"/>
      <c r="AE10" s="82"/>
      <c r="AF10" s="82"/>
      <c r="AG10" s="82"/>
      <c r="AH10" s="82"/>
      <c r="AI10" s="82"/>
      <c r="AJ10" s="82"/>
      <c r="AK10" s="82"/>
      <c r="AL10" s="82"/>
      <c r="AM10" s="82"/>
      <c r="AN10" s="82"/>
    </row>
    <row r="11" spans="1:45" ht="15.65" customHeight="1" x14ac:dyDescent="0.35">
      <c r="A11" s="216" t="s">
        <v>269</v>
      </c>
      <c r="B11" s="216" t="s">
        <v>270</v>
      </c>
      <c r="C11" s="79">
        <v>0.2</v>
      </c>
      <c r="D11" s="79">
        <v>0.17</v>
      </c>
      <c r="E11" s="79">
        <v>0.16</v>
      </c>
      <c r="F11" s="79">
        <v>0.15</v>
      </c>
      <c r="G11" s="79">
        <v>0.09</v>
      </c>
      <c r="H11" s="79">
        <v>0.05</v>
      </c>
      <c r="I11" s="79">
        <v>0.05</v>
      </c>
      <c r="J11" s="79">
        <v>0.04</v>
      </c>
      <c r="K11" s="79">
        <v>0</v>
      </c>
      <c r="L11" s="79">
        <v>0</v>
      </c>
      <c r="M11" s="79">
        <v>0</v>
      </c>
      <c r="N11" s="79">
        <v>0</v>
      </c>
      <c r="O11" s="220">
        <f>SUM(C11:N11)</f>
        <v>0.91000000000000014</v>
      </c>
      <c r="P11" s="79"/>
      <c r="Q11" s="79"/>
      <c r="R11" s="79"/>
      <c r="S11" s="79"/>
      <c r="T11" s="79"/>
      <c r="U11" s="79"/>
      <c r="V11" s="79"/>
      <c r="W11" s="79"/>
      <c r="X11" s="79"/>
      <c r="Y11" s="79"/>
      <c r="Z11" s="79"/>
      <c r="AA11" s="79"/>
      <c r="AC11" s="82"/>
      <c r="AD11" s="82"/>
      <c r="AE11" s="82"/>
      <c r="AF11" s="82"/>
      <c r="AG11" s="82"/>
      <c r="AH11" s="82"/>
      <c r="AI11" s="82"/>
      <c r="AJ11" s="82"/>
      <c r="AK11" s="82"/>
      <c r="AL11" s="82"/>
      <c r="AM11" s="82"/>
      <c r="AN11" s="82"/>
    </row>
    <row r="12" spans="1:45" ht="47.15" customHeight="1" x14ac:dyDescent="0.35">
      <c r="A12" s="217" t="s">
        <v>271</v>
      </c>
      <c r="B12" s="217" t="s">
        <v>272</v>
      </c>
      <c r="C12" s="79">
        <v>0.2</v>
      </c>
      <c r="D12" s="79">
        <v>0.17</v>
      </c>
      <c r="E12" s="79">
        <v>0.16</v>
      </c>
      <c r="F12" s="79">
        <v>0.15</v>
      </c>
      <c r="G12" s="79">
        <v>0.09</v>
      </c>
      <c r="H12" s="79">
        <v>0.05</v>
      </c>
      <c r="I12" s="79">
        <v>0.05</v>
      </c>
      <c r="J12" s="79">
        <v>0.04</v>
      </c>
      <c r="K12" s="79">
        <v>0</v>
      </c>
      <c r="L12" s="79">
        <v>0</v>
      </c>
      <c r="M12" s="79">
        <v>0</v>
      </c>
      <c r="N12" s="79">
        <v>0</v>
      </c>
      <c r="O12" s="220">
        <f t="shared" si="1"/>
        <v>0.91000000000000014</v>
      </c>
      <c r="P12" s="79"/>
      <c r="Q12" s="79"/>
      <c r="R12" s="79"/>
      <c r="S12" s="79"/>
      <c r="T12" s="79"/>
      <c r="U12" s="79"/>
      <c r="V12" s="79"/>
      <c r="W12" s="79"/>
      <c r="X12" s="79"/>
      <c r="Y12" s="79"/>
      <c r="Z12" s="79"/>
      <c r="AA12" s="79"/>
      <c r="AC12" s="82"/>
      <c r="AD12" s="82"/>
      <c r="AE12" s="82"/>
      <c r="AF12" s="82"/>
      <c r="AG12" s="82"/>
      <c r="AH12" s="82"/>
      <c r="AI12" s="82"/>
      <c r="AJ12" s="82"/>
      <c r="AK12" s="82"/>
      <c r="AL12" s="82"/>
      <c r="AM12" s="82"/>
      <c r="AN12" s="82"/>
    </row>
    <row r="13" spans="1:45" ht="31.4" customHeight="1" x14ac:dyDescent="0.35">
      <c r="A13" s="217" t="s">
        <v>273</v>
      </c>
      <c r="B13" s="217" t="s">
        <v>274</v>
      </c>
      <c r="C13" s="79">
        <v>0.14000000000000001</v>
      </c>
      <c r="D13" s="79">
        <v>0.1</v>
      </c>
      <c r="E13" s="79">
        <v>0.1</v>
      </c>
      <c r="F13" s="79">
        <v>0.05</v>
      </c>
      <c r="G13" s="79">
        <v>0.05</v>
      </c>
      <c r="H13" s="79">
        <v>0.05</v>
      </c>
      <c r="I13" s="79">
        <v>0.05</v>
      </c>
      <c r="J13" s="79">
        <v>0.05</v>
      </c>
      <c r="K13" s="79">
        <v>0.05</v>
      </c>
      <c r="L13" s="79">
        <v>0</v>
      </c>
      <c r="M13" s="79">
        <v>0</v>
      </c>
      <c r="N13" s="79">
        <v>0</v>
      </c>
      <c r="O13" s="220">
        <f t="shared" si="1"/>
        <v>0.64000000000000012</v>
      </c>
      <c r="P13" s="79"/>
      <c r="Q13" s="79"/>
      <c r="R13" s="79"/>
      <c r="S13" s="79"/>
      <c r="T13" s="79"/>
      <c r="U13" s="79"/>
      <c r="V13" s="79"/>
      <c r="W13" s="79"/>
      <c r="X13" s="79"/>
      <c r="Y13" s="79"/>
      <c r="Z13" s="79"/>
      <c r="AA13" s="79"/>
      <c r="AC13" s="82"/>
      <c r="AD13" s="82"/>
      <c r="AE13" s="82"/>
      <c r="AF13" s="82"/>
      <c r="AG13" s="82"/>
      <c r="AH13" s="82"/>
      <c r="AI13" s="82"/>
      <c r="AJ13" s="82"/>
      <c r="AK13" s="82"/>
      <c r="AL13" s="82"/>
      <c r="AM13" s="82"/>
      <c r="AN13" s="82"/>
    </row>
    <row r="14" spans="1:45" ht="47.15" customHeight="1" x14ac:dyDescent="0.35">
      <c r="A14" s="217" t="s">
        <v>275</v>
      </c>
      <c r="B14" s="217" t="s">
        <v>276</v>
      </c>
      <c r="C14" s="79">
        <v>0.04</v>
      </c>
      <c r="D14" s="79">
        <v>0.04</v>
      </c>
      <c r="E14" s="79">
        <v>1.7000000000000001E-2</v>
      </c>
      <c r="F14" s="79">
        <v>1.7000000000000001E-2</v>
      </c>
      <c r="G14" s="79">
        <v>1.7000000000000001E-2</v>
      </c>
      <c r="H14" s="79">
        <v>1.7000000000000001E-2</v>
      </c>
      <c r="I14" s="79">
        <v>1.7000000000000001E-2</v>
      </c>
      <c r="J14" s="79">
        <v>1.7000000000000001E-2</v>
      </c>
      <c r="K14" s="79">
        <v>1.7000000000000001E-2</v>
      </c>
      <c r="L14" s="79">
        <v>1.7000000000000001E-2</v>
      </c>
      <c r="M14" s="79">
        <v>1.7000000000000001E-2</v>
      </c>
      <c r="N14" s="79">
        <v>1.7000000000000001E-2</v>
      </c>
      <c r="O14" s="220">
        <f>SUM(C14:N14)</f>
        <v>0.25000000000000011</v>
      </c>
      <c r="P14" s="79"/>
      <c r="Q14" s="79"/>
      <c r="R14" s="79"/>
      <c r="S14" s="79"/>
      <c r="T14" s="79"/>
      <c r="U14" s="79"/>
      <c r="V14" s="79"/>
      <c r="W14" s="79"/>
      <c r="X14" s="79"/>
      <c r="Y14" s="79"/>
      <c r="Z14" s="79"/>
      <c r="AA14" s="79"/>
      <c r="AC14" s="82"/>
      <c r="AD14" s="82"/>
      <c r="AE14" s="82"/>
      <c r="AF14" s="82"/>
      <c r="AG14" s="82"/>
      <c r="AH14" s="82"/>
      <c r="AI14" s="82"/>
      <c r="AJ14" s="82"/>
      <c r="AK14" s="82"/>
      <c r="AL14" s="82"/>
      <c r="AM14" s="82"/>
      <c r="AN14" s="82"/>
    </row>
    <row r="15" spans="1:45" ht="15.75" customHeight="1" x14ac:dyDescent="0.35">
      <c r="B15" s="217"/>
    </row>
  </sheetData>
  <mergeCells count="1">
    <mergeCell ref="A1:O1"/>
  </mergeCells>
  <pageMargins left="0.7" right="0.7" top="0.75" bottom="0.75" header="0.3" footer="0.3"/>
  <pageSetup paperSize="9" orientation="portrait" horizontalDpi="300" verticalDpi="300"/>
  <drawing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Q102"/>
  <sheetViews>
    <sheetView zoomScaleNormal="100" workbookViewId="0">
      <pane xSplit="2" ySplit="6" topLeftCell="U7" activePane="bottomRight" state="frozen"/>
      <selection pane="topRight" activeCell="C1" sqref="C1"/>
      <selection pane="bottomLeft" activeCell="A7" sqref="A7"/>
      <selection pane="bottomRight" activeCell="AC29" sqref="AC29"/>
    </sheetView>
  </sheetViews>
  <sheetFormatPr defaultColWidth="10.90625" defaultRowHeight="14.5" x14ac:dyDescent="0.35"/>
  <cols>
    <col min="2" max="2" width="52.453125" customWidth="1"/>
    <col min="3" max="7" width="11.453125" customWidth="1"/>
    <col min="8" max="8" width="12.1796875" customWidth="1"/>
    <col min="9" max="9" width="8.453125" customWidth="1"/>
    <col min="10" max="10" width="10.453125" customWidth="1"/>
    <col min="11" max="11" width="8.453125" customWidth="1"/>
    <col min="12" max="12" width="11.453125" customWidth="1"/>
    <col min="13" max="20" width="9.453125" customWidth="1"/>
    <col min="21" max="25" width="10.81640625" customWidth="1"/>
    <col min="26" max="26" width="11.1796875" customWidth="1"/>
    <col min="27" max="37" width="9.453125" customWidth="1"/>
    <col min="38" max="41" width="8.453125" customWidth="1"/>
  </cols>
  <sheetData>
    <row r="1" spans="2:41" x14ac:dyDescent="0.35">
      <c r="B1" s="1318" t="s">
        <v>53</v>
      </c>
      <c r="C1" s="1318"/>
      <c r="D1" s="1318"/>
      <c r="E1" s="1318"/>
      <c r="F1" s="1318"/>
      <c r="G1" s="1318"/>
      <c r="H1" s="1318"/>
      <c r="I1" s="1318"/>
      <c r="J1" s="1318"/>
      <c r="K1" s="1318"/>
      <c r="L1" s="1318"/>
      <c r="M1" s="1318"/>
      <c r="N1" s="1318"/>
      <c r="O1" s="1318"/>
      <c r="P1" s="1318"/>
      <c r="Q1" s="1318"/>
      <c r="R1" s="1318"/>
      <c r="S1" s="1318"/>
      <c r="T1" s="1318"/>
      <c r="U1" s="1318"/>
      <c r="V1" s="1318"/>
      <c r="W1" s="1318"/>
      <c r="X1" s="1318"/>
      <c r="Y1" s="1318"/>
      <c r="Z1" s="1318"/>
      <c r="AA1" s="1318"/>
      <c r="AB1" s="1318"/>
      <c r="AC1" s="1318"/>
      <c r="AD1" s="223"/>
      <c r="AE1" s="223"/>
      <c r="AF1" s="223"/>
      <c r="AG1" s="223"/>
      <c r="AH1" s="223"/>
    </row>
    <row r="2" spans="2:41" ht="14.25" customHeight="1" x14ac:dyDescent="0.35">
      <c r="B2" s="1319" t="s">
        <v>277</v>
      </c>
      <c r="C2" s="1319"/>
      <c r="D2" s="1319"/>
      <c r="E2" s="1319"/>
      <c r="F2" s="1319"/>
      <c r="G2" s="1319"/>
      <c r="H2" s="1319"/>
      <c r="I2" s="1319"/>
      <c r="J2" s="1319"/>
      <c r="K2" s="1319"/>
      <c r="L2" s="1319"/>
      <c r="M2" s="1319"/>
      <c r="N2" s="1319"/>
      <c r="O2" s="1319"/>
      <c r="P2" s="1319"/>
      <c r="Q2" s="1319"/>
      <c r="R2" s="1319"/>
      <c r="S2" s="1319"/>
      <c r="T2" s="1319"/>
      <c r="U2" s="1319"/>
      <c r="V2" s="1319"/>
      <c r="W2" s="1319"/>
      <c r="X2" s="1319"/>
      <c r="Y2" s="1319"/>
      <c r="Z2" s="1319"/>
      <c r="AA2" s="1319"/>
      <c r="AB2" s="1319"/>
      <c r="AC2" s="1319"/>
      <c r="AD2" s="224"/>
      <c r="AE2" s="224"/>
      <c r="AF2" s="224"/>
      <c r="AG2" s="224"/>
      <c r="AH2" s="224"/>
    </row>
    <row r="3" spans="2:41" x14ac:dyDescent="0.35">
      <c r="B3" s="1319"/>
      <c r="C3" s="1319"/>
      <c r="D3" s="1319"/>
      <c r="E3" s="1319"/>
      <c r="F3" s="1319"/>
      <c r="G3" s="1319"/>
      <c r="H3" s="1319"/>
      <c r="I3" s="1319"/>
      <c r="J3" s="1319"/>
      <c r="K3" s="1319"/>
      <c r="L3" s="1319"/>
      <c r="M3" s="1319"/>
      <c r="N3" s="1319"/>
      <c r="O3" s="1319"/>
      <c r="P3" s="1319"/>
      <c r="Q3" s="1319"/>
      <c r="R3" s="1319"/>
      <c r="S3" s="1319"/>
      <c r="T3" s="1319"/>
      <c r="U3" s="1319"/>
      <c r="V3" s="1319"/>
      <c r="W3" s="1319"/>
      <c r="X3" s="1319"/>
      <c r="Y3" s="1319"/>
      <c r="Z3" s="1319"/>
      <c r="AA3" s="1319"/>
      <c r="AB3" s="1319"/>
      <c r="AC3" s="1319"/>
      <c r="AD3" s="224"/>
      <c r="AE3" s="224"/>
      <c r="AF3" s="224"/>
      <c r="AG3" s="224"/>
      <c r="AH3" s="224"/>
    </row>
    <row r="4" spans="2:41" x14ac:dyDescent="0.35">
      <c r="B4" s="1319"/>
      <c r="C4" s="1319"/>
      <c r="D4" s="1319"/>
      <c r="E4" s="1319"/>
      <c r="F4" s="1319"/>
      <c r="G4" s="1319"/>
      <c r="H4" s="1319"/>
      <c r="I4" s="1319"/>
      <c r="J4" s="1319"/>
      <c r="K4" s="1319"/>
      <c r="L4" s="1319"/>
      <c r="M4" s="1319"/>
      <c r="N4" s="1319"/>
      <c r="O4" s="1319"/>
      <c r="P4" s="1319"/>
      <c r="Q4" s="1319"/>
      <c r="R4" s="1319"/>
      <c r="S4" s="1319"/>
      <c r="T4" s="1319"/>
      <c r="U4" s="1319"/>
      <c r="V4" s="1319"/>
      <c r="W4" s="1319"/>
      <c r="X4" s="1319"/>
      <c r="Y4" s="1319"/>
      <c r="Z4" s="1319"/>
      <c r="AA4" s="1319"/>
      <c r="AB4" s="1319"/>
      <c r="AC4" s="1319"/>
      <c r="AD4" s="224"/>
      <c r="AE4" s="224"/>
      <c r="AF4" s="224"/>
      <c r="AG4" s="224"/>
      <c r="AH4" s="224"/>
    </row>
    <row r="5" spans="2:41" x14ac:dyDescent="0.35">
      <c r="B5" s="1319"/>
      <c r="C5" s="1319"/>
      <c r="D5" s="1319"/>
      <c r="E5" s="1319"/>
      <c r="F5" s="1319"/>
      <c r="G5" s="1319"/>
      <c r="H5" s="1319"/>
      <c r="I5" s="1319"/>
      <c r="J5" s="1319"/>
      <c r="K5" s="1319"/>
      <c r="L5" s="1319"/>
      <c r="M5" s="1319"/>
      <c r="N5" s="1319"/>
      <c r="O5" s="1319"/>
      <c r="P5" s="1319"/>
      <c r="Q5" s="1319"/>
      <c r="R5" s="1319"/>
      <c r="S5" s="1319"/>
      <c r="T5" s="1319"/>
      <c r="U5" s="1319"/>
      <c r="V5" s="1319"/>
      <c r="W5" s="1319"/>
      <c r="X5" s="1319"/>
      <c r="Y5" s="1319"/>
      <c r="Z5" s="1319"/>
      <c r="AA5" s="1319"/>
      <c r="AB5" s="1319"/>
      <c r="AC5" s="1319"/>
      <c r="AD5" s="224"/>
      <c r="AE5" s="224"/>
      <c r="AF5" s="224"/>
      <c r="AG5" s="224"/>
      <c r="AH5" s="224"/>
    </row>
    <row r="6" spans="2:41" ht="38.9" customHeight="1" x14ac:dyDescent="0.35">
      <c r="B6" s="1319"/>
      <c r="C6" s="1319"/>
      <c r="D6" s="1319"/>
      <c r="E6" s="1319"/>
      <c r="F6" s="1319"/>
      <c r="G6" s="1319"/>
      <c r="H6" s="1319"/>
      <c r="I6" s="1319"/>
      <c r="J6" s="1319"/>
      <c r="K6" s="1319"/>
      <c r="L6" s="1319"/>
      <c r="M6" s="1319"/>
      <c r="N6" s="1319"/>
      <c r="O6" s="1319"/>
      <c r="P6" s="1319"/>
      <c r="Q6" s="1319"/>
      <c r="R6" s="1319"/>
      <c r="S6" s="1319"/>
      <c r="T6" s="1319"/>
      <c r="U6" s="1319"/>
      <c r="V6" s="1319"/>
      <c r="W6" s="1319"/>
      <c r="X6" s="1319"/>
      <c r="Y6" s="1319"/>
      <c r="Z6" s="1319"/>
      <c r="AA6" s="1319"/>
      <c r="AB6" s="1319"/>
      <c r="AC6" s="1319"/>
      <c r="AD6" s="224"/>
      <c r="AE6" s="224"/>
      <c r="AF6" s="224"/>
      <c r="AG6" s="224"/>
      <c r="AH6" s="224"/>
    </row>
    <row r="7" spans="2:41" x14ac:dyDescent="0.35">
      <c r="B7" s="269"/>
      <c r="C7" s="269"/>
      <c r="D7" s="269"/>
      <c r="E7" s="269"/>
      <c r="F7" s="269"/>
      <c r="G7" s="269"/>
      <c r="H7" s="270"/>
      <c r="I7" s="270"/>
      <c r="J7" s="270"/>
      <c r="K7" s="270"/>
      <c r="L7" s="270"/>
      <c r="M7" s="270"/>
      <c r="N7" s="270"/>
      <c r="O7" s="270"/>
      <c r="P7" s="270"/>
      <c r="Q7" s="270"/>
      <c r="R7" s="270"/>
      <c r="S7" s="270"/>
      <c r="T7" s="270"/>
      <c r="U7" s="270"/>
      <c r="V7" s="270"/>
    </row>
    <row r="8" spans="2:41" ht="14.9" customHeight="1" x14ac:dyDescent="0.35">
      <c r="B8" s="1323" t="s">
        <v>278</v>
      </c>
      <c r="C8" s="1324"/>
      <c r="D8" s="1333" t="s">
        <v>279</v>
      </c>
      <c r="E8" s="1333"/>
      <c r="F8" s="1333"/>
      <c r="G8" s="1333"/>
      <c r="H8" s="1333"/>
      <c r="I8" s="1333"/>
      <c r="J8" s="1333"/>
      <c r="K8" s="1333"/>
      <c r="L8" s="1333"/>
      <c r="M8" s="1333"/>
      <c r="N8" s="1333"/>
      <c r="O8" s="1333"/>
      <c r="P8" s="1333"/>
      <c r="Q8" s="1333"/>
      <c r="R8" s="1333"/>
      <c r="S8" s="1333"/>
      <c r="T8" s="1333"/>
      <c r="U8" s="1333"/>
      <c r="V8" s="1333"/>
      <c r="W8" s="1333"/>
      <c r="X8" s="1333"/>
      <c r="Y8" s="1333"/>
      <c r="Z8" s="1333"/>
      <c r="AA8" s="1333"/>
      <c r="AB8" s="1333"/>
      <c r="AC8" s="1331" t="s">
        <v>280</v>
      </c>
      <c r="AD8" s="1331"/>
      <c r="AE8" s="1331"/>
      <c r="AF8" s="1331"/>
      <c r="AG8" s="1331"/>
      <c r="AH8" s="1331"/>
      <c r="AI8" s="1331"/>
      <c r="AJ8" s="1331"/>
      <c r="AK8" s="1331"/>
      <c r="AL8" s="1331"/>
      <c r="AM8" s="1331"/>
      <c r="AN8" s="1332"/>
    </row>
    <row r="9" spans="2:41" ht="12.75" customHeight="1" x14ac:dyDescent="0.35">
      <c r="B9" s="1325"/>
      <c r="C9" s="1326"/>
      <c r="D9" s="225">
        <v>2018</v>
      </c>
      <c r="E9" s="1320">
        <v>2019</v>
      </c>
      <c r="F9" s="1321"/>
      <c r="G9" s="1321"/>
      <c r="H9" s="1322"/>
      <c r="I9" s="1320">
        <v>2020</v>
      </c>
      <c r="J9" s="1321"/>
      <c r="K9" s="1321"/>
      <c r="L9" s="1322"/>
      <c r="M9" s="1320">
        <v>2021</v>
      </c>
      <c r="N9" s="1321"/>
      <c r="O9" s="1321"/>
      <c r="P9" s="1322"/>
      <c r="Q9" s="1320">
        <v>2022</v>
      </c>
      <c r="R9" s="1321"/>
      <c r="S9" s="1321"/>
      <c r="T9" s="1322"/>
      <c r="U9" s="1320">
        <v>2023</v>
      </c>
      <c r="V9" s="1321"/>
      <c r="W9" s="1321"/>
      <c r="X9" s="1322"/>
      <c r="Y9" s="293"/>
      <c r="Z9" s="231">
        <v>2024</v>
      </c>
      <c r="AA9" s="231"/>
      <c r="AB9" s="230"/>
      <c r="AC9" s="1329">
        <v>2025</v>
      </c>
      <c r="AD9" s="1330"/>
      <c r="AE9" s="1330"/>
      <c r="AF9" s="1330"/>
      <c r="AG9" s="1329">
        <v>2026</v>
      </c>
      <c r="AH9" s="1330"/>
      <c r="AI9" s="1330"/>
      <c r="AJ9" s="1334"/>
      <c r="AK9" s="1329">
        <v>2027</v>
      </c>
      <c r="AL9" s="1330"/>
      <c r="AM9" s="1330"/>
      <c r="AN9" s="1334"/>
    </row>
    <row r="10" spans="2:41" ht="14.9" customHeight="1" x14ac:dyDescent="0.35">
      <c r="B10" s="1327"/>
      <c r="C10" s="1328"/>
      <c r="D10" s="225" t="s">
        <v>281</v>
      </c>
      <c r="E10" s="225" t="s">
        <v>282</v>
      </c>
      <c r="F10" s="226" t="s">
        <v>283</v>
      </c>
      <c r="G10" s="226" t="s">
        <v>238</v>
      </c>
      <c r="H10" s="232" t="s">
        <v>281</v>
      </c>
      <c r="I10" s="226" t="s">
        <v>282</v>
      </c>
      <c r="J10" s="226" t="s">
        <v>283</v>
      </c>
      <c r="K10" s="226" t="s">
        <v>238</v>
      </c>
      <c r="L10" s="226" t="s">
        <v>281</v>
      </c>
      <c r="M10" s="286" t="s">
        <v>282</v>
      </c>
      <c r="N10" s="287" t="s">
        <v>283</v>
      </c>
      <c r="O10" s="287" t="s">
        <v>238</v>
      </c>
      <c r="P10" s="285" t="s">
        <v>281</v>
      </c>
      <c r="Q10" s="286" t="s">
        <v>282</v>
      </c>
      <c r="R10" s="287" t="s">
        <v>283</v>
      </c>
      <c r="S10" s="287" t="s">
        <v>238</v>
      </c>
      <c r="T10" s="285" t="s">
        <v>281</v>
      </c>
      <c r="U10" s="286" t="s">
        <v>282</v>
      </c>
      <c r="V10" s="287" t="s">
        <v>283</v>
      </c>
      <c r="W10" s="287" t="s">
        <v>238</v>
      </c>
      <c r="X10" s="285" t="s">
        <v>281</v>
      </c>
      <c r="Y10" s="286" t="s">
        <v>282</v>
      </c>
      <c r="Z10" s="292" t="s">
        <v>283</v>
      </c>
      <c r="AA10" s="287" t="s">
        <v>238</v>
      </c>
      <c r="AB10" s="285" t="s">
        <v>281</v>
      </c>
      <c r="AC10" s="286" t="s">
        <v>282</v>
      </c>
      <c r="AD10" s="292" t="s">
        <v>283</v>
      </c>
      <c r="AE10" s="273" t="s">
        <v>238</v>
      </c>
      <c r="AF10" s="273" t="s">
        <v>281</v>
      </c>
      <c r="AG10" s="236" t="s">
        <v>282</v>
      </c>
      <c r="AH10" s="271" t="s">
        <v>283</v>
      </c>
      <c r="AI10" s="271" t="s">
        <v>238</v>
      </c>
      <c r="AJ10" s="290" t="s">
        <v>281</v>
      </c>
      <c r="AK10" s="236" t="s">
        <v>282</v>
      </c>
      <c r="AL10" s="271" t="s">
        <v>283</v>
      </c>
      <c r="AM10" s="271" t="s">
        <v>238</v>
      </c>
      <c r="AN10" s="290" t="s">
        <v>281</v>
      </c>
    </row>
    <row r="11" spans="2:41" x14ac:dyDescent="0.35">
      <c r="B11" s="258" t="s">
        <v>102</v>
      </c>
      <c r="C11" s="274" t="s">
        <v>284</v>
      </c>
      <c r="D11" s="260">
        <f>'Haver Pivoted'!GO14</f>
        <v>27.1</v>
      </c>
      <c r="E11" s="288">
        <f>'Haver Pivoted'!GP14</f>
        <v>29.6</v>
      </c>
      <c r="F11" s="288">
        <f>'Haver Pivoted'!GQ14</f>
        <v>27.3</v>
      </c>
      <c r="G11" s="288">
        <f>'Haver Pivoted'!GR14</f>
        <v>26.4</v>
      </c>
      <c r="H11" s="288">
        <f>'Haver Pivoted'!GS14</f>
        <v>26.7</v>
      </c>
      <c r="I11" s="288">
        <f>'Haver Pivoted'!GT14</f>
        <v>40.1</v>
      </c>
      <c r="J11" s="288">
        <f>'Haver Pivoted'!GU14</f>
        <v>951.5</v>
      </c>
      <c r="K11" s="288">
        <f>'Haver Pivoted'!GV14</f>
        <v>800</v>
      </c>
      <c r="L11" s="288">
        <f>'Haver Pivoted'!GW14</f>
        <v>322.7</v>
      </c>
      <c r="M11" s="288">
        <f>'Haver Pivoted'!GX14</f>
        <v>583.79999999999995</v>
      </c>
      <c r="N11" s="288">
        <f>'Haver Pivoted'!GY14</f>
        <v>440.8</v>
      </c>
      <c r="O11" s="288">
        <f>'Haver Pivoted'!GZ14</f>
        <v>212.8</v>
      </c>
      <c r="P11" s="288">
        <f>'Haver Pivoted'!HA14</f>
        <v>31.8</v>
      </c>
      <c r="Q11" s="233">
        <f>'Haver Pivoted'!HB14</f>
        <v>24.5</v>
      </c>
      <c r="R11" s="233">
        <f>'Haver Pivoted'!HC14</f>
        <v>21.7</v>
      </c>
      <c r="S11" s="226">
        <f>'Haver Pivoted'!HD14</f>
        <v>23.1</v>
      </c>
      <c r="T11" s="226">
        <f>'Haver Pivoted'!HE14</f>
        <v>25.9</v>
      </c>
      <c r="U11" s="226">
        <f>'Haver Pivoted'!HF14</f>
        <v>30.1</v>
      </c>
      <c r="V11" s="226">
        <f>'Haver Pivoted'!HG14</f>
        <v>32.700000000000003</v>
      </c>
      <c r="W11" s="226">
        <f>'Haver Pivoted'!HH14</f>
        <v>34.700000000000003</v>
      </c>
      <c r="X11" s="226">
        <f>'Haver Pivoted'!HI14</f>
        <v>35.299999999999997</v>
      </c>
      <c r="Y11" s="226">
        <f>'Haver Pivoted'!HJ14</f>
        <v>34.9</v>
      </c>
      <c r="Z11" s="226">
        <f>'Haver Pivoted'!HK14</f>
        <v>34.9</v>
      </c>
      <c r="AA11" s="226">
        <f>'Haver Pivoted'!HL14</f>
        <v>35.700000000000003</v>
      </c>
      <c r="AB11" s="226">
        <f>'Haver Pivoted'!HM14</f>
        <v>36.1</v>
      </c>
      <c r="AC11" s="226">
        <f>'Haver Pivoted'!HN14</f>
        <v>35.799999999999997</v>
      </c>
      <c r="AD11" s="226">
        <f>'Haver Pivoted'!HO14</f>
        <v>36.700000000000003</v>
      </c>
      <c r="AE11" s="279">
        <f t="shared" ref="AE11:AG11" si="0">AE13+AE14+AE21</f>
        <v>35.700000000000003</v>
      </c>
      <c r="AF11" s="279">
        <f t="shared" si="0"/>
        <v>35.700000000000003</v>
      </c>
      <c r="AG11" s="235">
        <f t="shared" si="0"/>
        <v>35.700000000000003</v>
      </c>
      <c r="AH11" s="235">
        <f>AH13+AH14+AH21</f>
        <v>35.700000000000003</v>
      </c>
      <c r="AI11" s="235">
        <f t="shared" ref="AI11:AN11" si="1">AI13+AI14+AI21</f>
        <v>35.700000000000003</v>
      </c>
      <c r="AJ11" s="235">
        <f t="shared" si="1"/>
        <v>35.700000000000003</v>
      </c>
      <c r="AK11" s="235">
        <f t="shared" si="1"/>
        <v>36.700000000000003</v>
      </c>
      <c r="AL11" s="235">
        <f t="shared" si="1"/>
        <v>37.700000000000003</v>
      </c>
      <c r="AM11" s="235">
        <f t="shared" si="1"/>
        <v>38.700000000000003</v>
      </c>
      <c r="AN11" s="235">
        <f t="shared" si="1"/>
        <v>39.700000000000003</v>
      </c>
      <c r="AO11" s="249" t="s">
        <v>285</v>
      </c>
    </row>
    <row r="12" spans="2:41" x14ac:dyDescent="0.35">
      <c r="B12" s="291" t="s">
        <v>1952</v>
      </c>
      <c r="C12" s="234"/>
      <c r="D12" s="276"/>
      <c r="E12" s="233"/>
      <c r="F12" s="233"/>
      <c r="G12" s="233"/>
      <c r="H12" s="233"/>
      <c r="I12" s="233"/>
      <c r="J12" s="233"/>
      <c r="K12" s="233"/>
      <c r="L12" s="233"/>
      <c r="M12" s="233"/>
      <c r="N12" s="233"/>
      <c r="O12" s="233"/>
      <c r="P12" s="233"/>
      <c r="Q12" s="233"/>
      <c r="R12" s="233"/>
      <c r="S12" s="226"/>
      <c r="T12" s="226"/>
      <c r="U12" s="226"/>
      <c r="V12" s="226"/>
      <c r="W12" s="226"/>
      <c r="X12" s="226"/>
      <c r="Y12" s="226"/>
      <c r="Z12" s="226"/>
      <c r="AA12" s="226"/>
      <c r="AB12" s="226"/>
      <c r="AC12" s="226"/>
      <c r="AD12" s="226"/>
      <c r="AE12" s="235"/>
      <c r="AF12" s="235"/>
      <c r="AG12" s="235"/>
      <c r="AH12" s="235"/>
      <c r="AI12" s="235"/>
      <c r="AJ12" s="235"/>
      <c r="AK12" s="235"/>
      <c r="AL12" s="235"/>
      <c r="AM12" s="235"/>
      <c r="AN12" s="235"/>
    </row>
    <row r="13" spans="2:41" x14ac:dyDescent="0.35">
      <c r="B13" s="268" t="s">
        <v>286</v>
      </c>
      <c r="C13" s="261" t="s">
        <v>287</v>
      </c>
      <c r="D13" s="276">
        <f>'Haver Pivoted'!GO63</f>
        <v>0</v>
      </c>
      <c r="E13" s="233">
        <f>'Haver Pivoted'!GP63</f>
        <v>0</v>
      </c>
      <c r="F13" s="233">
        <f>'Haver Pivoted'!GQ63</f>
        <v>0</v>
      </c>
      <c r="G13" s="233">
        <f>'Haver Pivoted'!GR63</f>
        <v>0</v>
      </c>
      <c r="H13" s="233">
        <f>'Haver Pivoted'!GS63</f>
        <v>0</v>
      </c>
      <c r="I13" s="233">
        <f>'Haver Pivoted'!GT63</f>
        <v>0</v>
      </c>
      <c r="J13" s="233">
        <f>'Haver Pivoted'!GU63</f>
        <v>0.1</v>
      </c>
      <c r="K13" s="233">
        <f>'Haver Pivoted'!GV63</f>
        <v>3.7</v>
      </c>
      <c r="L13" s="233">
        <f>'Haver Pivoted'!GW63</f>
        <v>12.9</v>
      </c>
      <c r="M13" s="233">
        <f>'Haver Pivoted'!GX63</f>
        <v>25.5</v>
      </c>
      <c r="N13" s="233">
        <f>'Haver Pivoted'!GY63</f>
        <v>3.8</v>
      </c>
      <c r="O13" s="233">
        <f>'Haver Pivoted'!GZ63</f>
        <v>1.8</v>
      </c>
      <c r="P13" s="233">
        <f>'Haver Pivoted'!HA63</f>
        <v>0.6</v>
      </c>
      <c r="Q13" s="233">
        <f>'Haver Pivoted'!HB63</f>
        <v>0.2</v>
      </c>
      <c r="R13" s="233">
        <f>'Haver Pivoted'!HC63</f>
        <v>0.1</v>
      </c>
      <c r="S13" s="226">
        <f>'Haver Pivoted'!HD63</f>
        <v>0</v>
      </c>
      <c r="T13" s="226">
        <f>'Haver Pivoted'!HE63</f>
        <v>0</v>
      </c>
      <c r="U13" s="226">
        <f>'Haver Pivoted'!HF63</f>
        <v>0</v>
      </c>
      <c r="V13" s="226">
        <f>'Haver Pivoted'!HG63</f>
        <v>0</v>
      </c>
      <c r="W13" s="226">
        <f>'Haver Pivoted'!HH63</f>
        <v>0</v>
      </c>
      <c r="X13" s="226">
        <f>'Haver Pivoted'!HI63</f>
        <v>0</v>
      </c>
      <c r="Y13" s="226">
        <f>'Haver Pivoted'!HJ63</f>
        <v>0</v>
      </c>
      <c r="Z13" s="226">
        <f>'Haver Pivoted'!HK63</f>
        <v>0</v>
      </c>
      <c r="AA13" s="226">
        <f>'Haver Pivoted'!HL63</f>
        <v>0</v>
      </c>
      <c r="AB13" s="226">
        <f>'Haver Pivoted'!HM63</f>
        <v>0</v>
      </c>
      <c r="AC13" s="226">
        <f>'Haver Pivoted'!HN63</f>
        <v>0</v>
      </c>
      <c r="AD13" s="226">
        <f>'Haver Pivoted'!HO63</f>
        <v>0</v>
      </c>
      <c r="AE13" s="235">
        <f t="shared" ref="AE13:AH13" si="2">AD13*AE24/AD24</f>
        <v>0</v>
      </c>
      <c r="AF13" s="235">
        <f t="shared" si="2"/>
        <v>0</v>
      </c>
      <c r="AG13" s="235">
        <f t="shared" si="2"/>
        <v>0</v>
      </c>
      <c r="AH13" s="235">
        <f t="shared" si="2"/>
        <v>0</v>
      </c>
      <c r="AI13" s="235">
        <f t="shared" ref="AI13" si="3">AH13*AI24/AH24</f>
        <v>0</v>
      </c>
      <c r="AJ13" s="235">
        <f>AI13*AJ24/AI24</f>
        <v>0</v>
      </c>
      <c r="AK13" s="235">
        <f t="shared" ref="AK13:AN13" si="4">AJ13*AK24/AJ24</f>
        <v>0</v>
      </c>
      <c r="AL13" s="235">
        <f t="shared" si="4"/>
        <v>0</v>
      </c>
      <c r="AM13" s="235">
        <f t="shared" si="4"/>
        <v>0</v>
      </c>
      <c r="AN13" s="235">
        <f t="shared" si="4"/>
        <v>0</v>
      </c>
    </row>
    <row r="14" spans="2:41" x14ac:dyDescent="0.35">
      <c r="B14" s="268" t="s">
        <v>288</v>
      </c>
      <c r="C14" s="261"/>
      <c r="D14" s="276"/>
      <c r="E14" s="233"/>
      <c r="F14" s="233"/>
      <c r="G14" s="233"/>
      <c r="H14" s="241">
        <f>SUM(H15:H18)</f>
        <v>0</v>
      </c>
      <c r="I14" s="241">
        <f t="shared" ref="I14:M14" si="5">SUM(I15:I18)</f>
        <v>0</v>
      </c>
      <c r="J14" s="241">
        <f t="shared" si="5"/>
        <v>779.7</v>
      </c>
      <c r="K14" s="241">
        <f t="shared" si="5"/>
        <v>582.6</v>
      </c>
      <c r="L14" s="241">
        <f t="shared" si="5"/>
        <v>216.5</v>
      </c>
      <c r="M14" s="241">
        <f t="shared" si="5"/>
        <v>497.6</v>
      </c>
      <c r="N14" s="246">
        <f>SUM(N15:N18)</f>
        <v>401.5</v>
      </c>
      <c r="O14" s="246">
        <f t="shared" ref="O14:AC14" si="6">SUM(O15:O18)</f>
        <v>207.4</v>
      </c>
      <c r="P14" s="246">
        <f t="shared" si="6"/>
        <v>5.5</v>
      </c>
      <c r="Q14" s="246">
        <v>0</v>
      </c>
      <c r="R14" s="246">
        <f t="shared" si="6"/>
        <v>1</v>
      </c>
      <c r="S14" s="246">
        <f t="shared" si="6"/>
        <v>0.5</v>
      </c>
      <c r="T14" s="246">
        <f t="shared" si="6"/>
        <v>0.30000000000000004</v>
      </c>
      <c r="U14" s="246">
        <f t="shared" si="6"/>
        <v>0</v>
      </c>
      <c r="V14" s="241">
        <f t="shared" si="6"/>
        <v>0</v>
      </c>
      <c r="W14" s="241">
        <f t="shared" si="6"/>
        <v>0</v>
      </c>
      <c r="X14" s="235">
        <f>SUM(X15:X18)</f>
        <v>0</v>
      </c>
      <c r="Y14" s="235">
        <f t="shared" si="6"/>
        <v>0</v>
      </c>
      <c r="Z14" s="235">
        <f t="shared" si="6"/>
        <v>0</v>
      </c>
      <c r="AA14" s="235">
        <f t="shared" si="6"/>
        <v>0</v>
      </c>
      <c r="AB14" s="235">
        <f t="shared" si="6"/>
        <v>0</v>
      </c>
      <c r="AC14" s="235">
        <f t="shared" si="6"/>
        <v>0</v>
      </c>
      <c r="AD14" s="235">
        <f t="shared" ref="AD14:AG14" si="7">SUM(AD15:AD18)</f>
        <v>0</v>
      </c>
      <c r="AE14" s="235">
        <f t="shared" si="7"/>
        <v>0</v>
      </c>
      <c r="AF14" s="235">
        <f t="shared" si="7"/>
        <v>0</v>
      </c>
      <c r="AG14" s="235">
        <f t="shared" si="7"/>
        <v>0</v>
      </c>
      <c r="AH14" s="235">
        <f t="shared" ref="AH14:AI14" si="8">SUM(AH15:AH18)</f>
        <v>0</v>
      </c>
      <c r="AI14" s="235">
        <f t="shared" si="8"/>
        <v>0</v>
      </c>
      <c r="AJ14" s="235">
        <f>SUM(AJ15:AJ18)</f>
        <v>0</v>
      </c>
      <c r="AK14" s="235">
        <f t="shared" ref="AK14:AN14" si="9">SUM(AK15:AK18)</f>
        <v>0</v>
      </c>
      <c r="AL14" s="235">
        <f t="shared" si="9"/>
        <v>0</v>
      </c>
      <c r="AM14" s="235">
        <f t="shared" si="9"/>
        <v>0</v>
      </c>
      <c r="AN14" s="235">
        <f t="shared" si="9"/>
        <v>0</v>
      </c>
    </row>
    <row r="15" spans="2:41" ht="18" customHeight="1" x14ac:dyDescent="0.35">
      <c r="B15" s="254" t="s">
        <v>289</v>
      </c>
      <c r="C15" s="255" t="s">
        <v>287</v>
      </c>
      <c r="D15" s="275">
        <f>'Haver Pivoted'!GO63</f>
        <v>0</v>
      </c>
      <c r="E15" s="245">
        <f>'Haver Pivoted'!GP63</f>
        <v>0</v>
      </c>
      <c r="F15" s="245">
        <f>'Haver Pivoted'!GQ63</f>
        <v>0</v>
      </c>
      <c r="G15" s="245">
        <f>'Haver Pivoted'!GR63</f>
        <v>0</v>
      </c>
      <c r="H15" s="245">
        <f>'Haver Pivoted'!GS63</f>
        <v>0</v>
      </c>
      <c r="I15" s="245">
        <f>'Haver Pivoted'!GT63</f>
        <v>0</v>
      </c>
      <c r="J15" s="245">
        <f>'Haver Pivoted'!GU63</f>
        <v>0.1</v>
      </c>
      <c r="K15" s="245">
        <f>'Haver Pivoted'!GV63</f>
        <v>3.7</v>
      </c>
      <c r="L15" s="245">
        <f>'Haver Pivoted'!GW63</f>
        <v>12.9</v>
      </c>
      <c r="M15" s="245">
        <f>'Haver Pivoted'!GX63</f>
        <v>25.5</v>
      </c>
      <c r="N15" s="245">
        <f>'Haver Pivoted'!GY63</f>
        <v>3.8</v>
      </c>
      <c r="O15" s="245">
        <f>'Haver Pivoted'!GZ63</f>
        <v>1.8</v>
      </c>
      <c r="P15" s="245">
        <f>'Haver Pivoted'!HA63</f>
        <v>0.6</v>
      </c>
      <c r="Q15" s="245">
        <f>'Haver Pivoted'!HB63</f>
        <v>0.2</v>
      </c>
      <c r="R15" s="245">
        <f>'Haver Pivoted'!HC63</f>
        <v>0.1</v>
      </c>
      <c r="S15" s="247">
        <f>'Haver Pivoted'!HD63</f>
        <v>0</v>
      </c>
      <c r="T15" s="247">
        <f>'Haver Pivoted'!HE63</f>
        <v>0</v>
      </c>
      <c r="U15" s="247">
        <f>'Haver Pivoted'!HF63</f>
        <v>0</v>
      </c>
      <c r="V15" s="247">
        <f>'Haver Pivoted'!HG63</f>
        <v>0</v>
      </c>
      <c r="W15" s="247">
        <f>'Haver Pivoted'!HH63</f>
        <v>0</v>
      </c>
      <c r="X15" s="247">
        <f>'Haver Pivoted'!HI63</f>
        <v>0</v>
      </c>
      <c r="Y15" s="247">
        <f>'Haver Pivoted'!HJ63</f>
        <v>0</v>
      </c>
      <c r="Z15" s="247">
        <f>'Haver Pivoted'!HK63</f>
        <v>0</v>
      </c>
      <c r="AA15" s="247">
        <f>'Haver Pivoted'!HL63</f>
        <v>0</v>
      </c>
      <c r="AB15" s="247">
        <f>'Haver Pivoted'!HM63</f>
        <v>0</v>
      </c>
      <c r="AC15" s="247">
        <f>'Haver Pivoted'!HN63</f>
        <v>0</v>
      </c>
      <c r="AD15" s="247">
        <f>'Haver Pivoted'!HO63</f>
        <v>0</v>
      </c>
      <c r="AE15" s="235">
        <f t="shared" ref="AE15:AG15" si="10">AE13</f>
        <v>0</v>
      </c>
      <c r="AF15" s="235">
        <f>AF13</f>
        <v>0</v>
      </c>
      <c r="AG15" s="235">
        <f t="shared" si="10"/>
        <v>0</v>
      </c>
      <c r="AH15" s="235">
        <f t="shared" ref="AH15:AJ15" si="11">AH13</f>
        <v>0</v>
      </c>
      <c r="AI15" s="235">
        <f t="shared" si="11"/>
        <v>0</v>
      </c>
      <c r="AJ15" s="235">
        <f t="shared" si="11"/>
        <v>0</v>
      </c>
      <c r="AK15" s="235">
        <f t="shared" ref="AK15:AN15" si="12">AK13</f>
        <v>0</v>
      </c>
      <c r="AL15" s="235">
        <f t="shared" si="12"/>
        <v>0</v>
      </c>
      <c r="AM15" s="235">
        <f t="shared" si="12"/>
        <v>0</v>
      </c>
      <c r="AN15" s="235">
        <f t="shared" si="12"/>
        <v>0</v>
      </c>
    </row>
    <row r="16" spans="2:41" ht="18" customHeight="1" x14ac:dyDescent="0.35">
      <c r="B16" s="254" t="s">
        <v>290</v>
      </c>
      <c r="C16" s="255" t="s">
        <v>291</v>
      </c>
      <c r="D16" s="275">
        <f>'Haver Pivoted'!GO59</f>
        <v>0</v>
      </c>
      <c r="E16" s="245">
        <f>'Haver Pivoted'!GP59</f>
        <v>0</v>
      </c>
      <c r="F16" s="245">
        <f>'Haver Pivoted'!GQ59</f>
        <v>0</v>
      </c>
      <c r="G16" s="245">
        <f>'Haver Pivoted'!GR59</f>
        <v>0</v>
      </c>
      <c r="H16" s="245">
        <f>'Haver Pivoted'!GS59</f>
        <v>0</v>
      </c>
      <c r="I16" s="245">
        <f>'Haver Pivoted'!GT59</f>
        <v>0</v>
      </c>
      <c r="J16" s="245">
        <f>'Haver Pivoted'!GU59</f>
        <v>6.3</v>
      </c>
      <c r="K16" s="245">
        <f>'Haver Pivoted'!GV59</f>
        <v>26.7</v>
      </c>
      <c r="L16" s="245">
        <f>'Haver Pivoted'!GW59</f>
        <v>82.1</v>
      </c>
      <c r="M16" s="245">
        <f>'Haver Pivoted'!GX59</f>
        <v>94.7</v>
      </c>
      <c r="N16" s="245">
        <f>'Haver Pivoted'!GY59</f>
        <v>92.1</v>
      </c>
      <c r="O16" s="245">
        <f>'Haver Pivoted'!GZ59</f>
        <v>51.6</v>
      </c>
      <c r="P16" s="245">
        <f>'Haver Pivoted'!HA59</f>
        <v>2.8</v>
      </c>
      <c r="Q16" s="245">
        <f>'Haver Pivoted'!HB59</f>
        <v>0.8</v>
      </c>
      <c r="R16" s="245">
        <f>'Haver Pivoted'!HC59</f>
        <v>0.5</v>
      </c>
      <c r="S16" s="247">
        <f>'Haver Pivoted'!HD59</f>
        <v>0.3</v>
      </c>
      <c r="T16" s="247">
        <f>'Haver Pivoted'!HE59</f>
        <v>0.2</v>
      </c>
      <c r="U16" s="247">
        <f>'Haver Pivoted'!HF59</f>
        <v>0</v>
      </c>
      <c r="V16" s="247">
        <f>'Haver Pivoted'!HG59</f>
        <v>0</v>
      </c>
      <c r="W16" s="247">
        <f>'Haver Pivoted'!HH59</f>
        <v>0</v>
      </c>
      <c r="X16" s="247">
        <f>'Haver Pivoted'!HI59</f>
        <v>0</v>
      </c>
      <c r="Y16" s="247">
        <f>'Haver Pivoted'!HJ59</f>
        <v>0</v>
      </c>
      <c r="Z16" s="247">
        <f>'Haver Pivoted'!HK59</f>
        <v>0</v>
      </c>
      <c r="AA16" s="247">
        <f>'Haver Pivoted'!HL59</f>
        <v>0</v>
      </c>
      <c r="AB16" s="247">
        <f>'Haver Pivoted'!HM59</f>
        <v>0</v>
      </c>
      <c r="AC16" s="247">
        <f>'Haver Pivoted'!HN59</f>
        <v>0</v>
      </c>
      <c r="AD16" s="247">
        <f>'Haver Pivoted'!HO59</f>
        <v>0</v>
      </c>
      <c r="AE16" s="235">
        <f t="shared" ref="AE16:AH18" si="13">AD16*AE$24/AD$24</f>
        <v>0</v>
      </c>
      <c r="AF16" s="235">
        <f t="shared" si="13"/>
        <v>0</v>
      </c>
      <c r="AG16" s="235">
        <f t="shared" si="13"/>
        <v>0</v>
      </c>
      <c r="AH16" s="235">
        <f t="shared" si="13"/>
        <v>0</v>
      </c>
      <c r="AI16" s="235">
        <f t="shared" ref="AI16:AI18" si="14">AH16*AI$24/AH$24</f>
        <v>0</v>
      </c>
      <c r="AJ16" s="235">
        <f t="shared" ref="AJ16:AJ18" si="15">AI16*AJ$24/AI$24</f>
        <v>0</v>
      </c>
      <c r="AK16" s="235">
        <f t="shared" ref="AK16:AK18" si="16">AJ16*AK$24/AJ$24</f>
        <v>0</v>
      </c>
      <c r="AL16" s="235">
        <f t="shared" ref="AL16:AL18" si="17">AK16*AL$24/AK$24</f>
        <v>0</v>
      </c>
      <c r="AM16" s="235">
        <f t="shared" ref="AM16:AM18" si="18">AL16*AM$24/AL$24</f>
        <v>0</v>
      </c>
      <c r="AN16" s="235">
        <f t="shared" ref="AN16:AN18" si="19">AM16*AN$24/AM$24</f>
        <v>0</v>
      </c>
    </row>
    <row r="17" spans="2:69" ht="18" customHeight="1" x14ac:dyDescent="0.35">
      <c r="B17" s="254" t="s">
        <v>292</v>
      </c>
      <c r="C17" s="255" t="s">
        <v>293</v>
      </c>
      <c r="D17" s="275">
        <f>'Haver Pivoted'!GO60</f>
        <v>0</v>
      </c>
      <c r="E17" s="245">
        <f>'Haver Pivoted'!GP60</f>
        <v>0</v>
      </c>
      <c r="F17" s="245">
        <f>'Haver Pivoted'!GQ60</f>
        <v>0</v>
      </c>
      <c r="G17" s="245">
        <f>'Haver Pivoted'!GR60</f>
        <v>0</v>
      </c>
      <c r="H17" s="245">
        <f>'Haver Pivoted'!GS60</f>
        <v>0</v>
      </c>
      <c r="I17" s="245">
        <f>'Haver Pivoted'!GT60</f>
        <v>0</v>
      </c>
      <c r="J17" s="245">
        <f>'Haver Pivoted'!GU60</f>
        <v>74.400000000000006</v>
      </c>
      <c r="K17" s="245">
        <f>'Haver Pivoted'!GV60</f>
        <v>138.30000000000001</v>
      </c>
      <c r="L17" s="245">
        <f>'Haver Pivoted'!GW60</f>
        <v>106.8</v>
      </c>
      <c r="M17" s="245">
        <f>'Haver Pivoted'!GX60</f>
        <v>89.2</v>
      </c>
      <c r="N17" s="245">
        <f>'Haver Pivoted'!GY60</f>
        <v>72.3</v>
      </c>
      <c r="O17" s="245">
        <f>'Haver Pivoted'!GZ60</f>
        <v>43.5</v>
      </c>
      <c r="P17" s="245">
        <f>'Haver Pivoted'!HA60</f>
        <v>2.1</v>
      </c>
      <c r="Q17" s="245">
        <f>'Haver Pivoted'!HB60</f>
        <v>0.8</v>
      </c>
      <c r="R17" s="245">
        <f>'Haver Pivoted'!HC60</f>
        <v>0.4</v>
      </c>
      <c r="S17" s="247">
        <f>'Haver Pivoted'!HD60</f>
        <v>0.2</v>
      </c>
      <c r="T17" s="247">
        <f>'Haver Pivoted'!HE60</f>
        <v>0.1</v>
      </c>
      <c r="U17" s="247">
        <f>'Haver Pivoted'!HF60</f>
        <v>0</v>
      </c>
      <c r="V17" s="247">
        <f>'Haver Pivoted'!HG60</f>
        <v>0</v>
      </c>
      <c r="W17" s="247">
        <f>'Haver Pivoted'!HH60</f>
        <v>0</v>
      </c>
      <c r="X17" s="247">
        <f>'Haver Pivoted'!HI60</f>
        <v>0</v>
      </c>
      <c r="Y17" s="247">
        <f>'Haver Pivoted'!HJ60</f>
        <v>0</v>
      </c>
      <c r="Z17" s="247">
        <f>'Haver Pivoted'!HK60</f>
        <v>0</v>
      </c>
      <c r="AA17" s="247">
        <f>'Haver Pivoted'!HL60</f>
        <v>0</v>
      </c>
      <c r="AB17" s="247">
        <f>'Haver Pivoted'!HM60</f>
        <v>0</v>
      </c>
      <c r="AC17" s="247">
        <f>'Haver Pivoted'!HN60</f>
        <v>0</v>
      </c>
      <c r="AD17" s="247">
        <f>'Haver Pivoted'!HO60</f>
        <v>0</v>
      </c>
      <c r="AE17" s="235">
        <f t="shared" si="13"/>
        <v>0</v>
      </c>
      <c r="AF17" s="235">
        <f t="shared" si="13"/>
        <v>0</v>
      </c>
      <c r="AG17" s="235">
        <f t="shared" si="13"/>
        <v>0</v>
      </c>
      <c r="AH17" s="235">
        <f t="shared" si="13"/>
        <v>0</v>
      </c>
      <c r="AI17" s="235">
        <f t="shared" si="14"/>
        <v>0</v>
      </c>
      <c r="AJ17" s="235">
        <f t="shared" si="15"/>
        <v>0</v>
      </c>
      <c r="AK17" s="235">
        <f t="shared" si="16"/>
        <v>0</v>
      </c>
      <c r="AL17" s="235">
        <f t="shared" si="17"/>
        <v>0</v>
      </c>
      <c r="AM17" s="235">
        <f t="shared" si="18"/>
        <v>0</v>
      </c>
      <c r="AN17" s="235">
        <f t="shared" si="19"/>
        <v>0</v>
      </c>
    </row>
    <row r="18" spans="2:69" ht="18" customHeight="1" x14ac:dyDescent="0.35">
      <c r="B18" s="254" t="s">
        <v>294</v>
      </c>
      <c r="C18" s="255" t="s">
        <v>295</v>
      </c>
      <c r="D18" s="275">
        <f>'Haver Pivoted'!GO61</f>
        <v>0</v>
      </c>
      <c r="E18" s="245">
        <f>'Haver Pivoted'!GP61</f>
        <v>0</v>
      </c>
      <c r="F18" s="245">
        <f>'Haver Pivoted'!GQ61</f>
        <v>0</v>
      </c>
      <c r="G18" s="245">
        <f>'Haver Pivoted'!GR61</f>
        <v>0</v>
      </c>
      <c r="H18" s="245">
        <f>'Haver Pivoted'!GS61</f>
        <v>0</v>
      </c>
      <c r="I18" s="245">
        <f>'Haver Pivoted'!GT61</f>
        <v>0</v>
      </c>
      <c r="J18" s="245">
        <f>'Haver Pivoted'!GU61</f>
        <v>698.9</v>
      </c>
      <c r="K18" s="245">
        <f>'Haver Pivoted'!GV61</f>
        <v>413.9</v>
      </c>
      <c r="L18" s="245">
        <f>'Haver Pivoted'!GW61</f>
        <v>14.7</v>
      </c>
      <c r="M18" s="245">
        <f>'Haver Pivoted'!GX61</f>
        <v>288.2</v>
      </c>
      <c r="N18" s="245">
        <f>'Haver Pivoted'!GY61</f>
        <v>233.3</v>
      </c>
      <c r="O18" s="245">
        <f>'Haver Pivoted'!GZ61</f>
        <v>110.5</v>
      </c>
      <c r="P18" s="245">
        <f>'Haver Pivoted'!HA61</f>
        <v>0</v>
      </c>
      <c r="Q18" s="245">
        <f>'Haver Pivoted'!HB61</f>
        <v>0</v>
      </c>
      <c r="R18" s="245">
        <f>'Haver Pivoted'!HC61</f>
        <v>0</v>
      </c>
      <c r="S18" s="247">
        <f>'Haver Pivoted'!HD61</f>
        <v>0</v>
      </c>
      <c r="T18" s="247">
        <f>'Haver Pivoted'!HE61</f>
        <v>0</v>
      </c>
      <c r="U18" s="247">
        <f>'Haver Pivoted'!HF61</f>
        <v>0</v>
      </c>
      <c r="V18" s="247">
        <f>'Haver Pivoted'!HG61</f>
        <v>0</v>
      </c>
      <c r="W18" s="247">
        <f>'Haver Pivoted'!HH61</f>
        <v>0</v>
      </c>
      <c r="X18" s="247">
        <f>'Haver Pivoted'!HI61</f>
        <v>0</v>
      </c>
      <c r="Y18" s="247">
        <f>'Haver Pivoted'!HJ61</f>
        <v>0</v>
      </c>
      <c r="Z18" s="247">
        <f>'Haver Pivoted'!HK61</f>
        <v>0</v>
      </c>
      <c r="AA18" s="247">
        <f>'Haver Pivoted'!HL61</f>
        <v>0</v>
      </c>
      <c r="AB18" s="247">
        <f>'Haver Pivoted'!HM61</f>
        <v>0</v>
      </c>
      <c r="AC18" s="247">
        <f>'Haver Pivoted'!HN61</f>
        <v>0</v>
      </c>
      <c r="AD18" s="247">
        <f>'Haver Pivoted'!HO61</f>
        <v>0</v>
      </c>
      <c r="AE18" s="235">
        <f t="shared" si="13"/>
        <v>0</v>
      </c>
      <c r="AF18" s="235">
        <f t="shared" si="13"/>
        <v>0</v>
      </c>
      <c r="AG18" s="235">
        <f t="shared" si="13"/>
        <v>0</v>
      </c>
      <c r="AH18" s="235">
        <f t="shared" si="13"/>
        <v>0</v>
      </c>
      <c r="AI18" s="235">
        <f t="shared" si="14"/>
        <v>0</v>
      </c>
      <c r="AJ18" s="235">
        <f t="shared" si="15"/>
        <v>0</v>
      </c>
      <c r="AK18" s="235">
        <f t="shared" si="16"/>
        <v>0</v>
      </c>
      <c r="AL18" s="235">
        <f t="shared" si="17"/>
        <v>0</v>
      </c>
      <c r="AM18" s="235">
        <f t="shared" si="18"/>
        <v>0</v>
      </c>
      <c r="AN18" s="235">
        <f t="shared" si="19"/>
        <v>0</v>
      </c>
    </row>
    <row r="19" spans="2:69" x14ac:dyDescent="0.35">
      <c r="B19" s="256" t="s">
        <v>158</v>
      </c>
      <c r="C19" s="249" t="s">
        <v>296</v>
      </c>
      <c r="D19" s="276">
        <f>'Haver Pivoted'!GO64</f>
        <v>0</v>
      </c>
      <c r="E19" s="233">
        <f>'Haver Pivoted'!GP64</f>
        <v>0</v>
      </c>
      <c r="F19" s="233">
        <f>'Haver Pivoted'!GQ64</f>
        <v>0</v>
      </c>
      <c r="G19" s="233">
        <f>'Haver Pivoted'!GR64</f>
        <v>0</v>
      </c>
      <c r="H19" s="233">
        <f>'Haver Pivoted'!GS64</f>
        <v>0</v>
      </c>
      <c r="I19" s="233">
        <f>'Haver Pivoted'!GT64</f>
        <v>0</v>
      </c>
      <c r="J19" s="233">
        <f>'Haver Pivoted'!GU64</f>
        <v>0</v>
      </c>
      <c r="K19" s="233">
        <f>'Haver Pivoted'!GV64</f>
        <v>106.2</v>
      </c>
      <c r="L19" s="233">
        <f>'Haver Pivoted'!GW64</f>
        <v>35.9</v>
      </c>
      <c r="M19" s="233">
        <f>'Haver Pivoted'!GX64</f>
        <v>1.6</v>
      </c>
      <c r="N19" s="233">
        <f>'Haver Pivoted'!GY64</f>
        <v>0.6</v>
      </c>
      <c r="O19" s="233">
        <f>'Haver Pivoted'!GZ64</f>
        <v>0.1</v>
      </c>
      <c r="P19" s="233">
        <f>'Haver Pivoted'!HA64</f>
        <v>0</v>
      </c>
      <c r="Q19" s="245">
        <f>'Haver Pivoted'!HB64</f>
        <v>0</v>
      </c>
      <c r="R19" s="245">
        <f>'Haver Pivoted'!HC64</f>
        <v>0</v>
      </c>
      <c r="S19" s="247">
        <f>'Haver Pivoted'!HD64</f>
        <v>0</v>
      </c>
      <c r="T19" s="247">
        <f>'Haver Pivoted'!HE64</f>
        <v>0</v>
      </c>
      <c r="U19" s="247">
        <f>'Haver Pivoted'!HF64</f>
        <v>0</v>
      </c>
      <c r="V19" s="247">
        <f>'Haver Pivoted'!HG64</f>
        <v>0</v>
      </c>
      <c r="W19" s="247">
        <f>'Haver Pivoted'!HH64</f>
        <v>0</v>
      </c>
      <c r="X19" s="247">
        <f>'Haver Pivoted'!HI64</f>
        <v>0</v>
      </c>
      <c r="Y19" s="247">
        <f>'Haver Pivoted'!HJ64</f>
        <v>0</v>
      </c>
      <c r="Z19" s="247">
        <f>'Haver Pivoted'!HK64</f>
        <v>0</v>
      </c>
      <c r="AA19" s="247">
        <f>'Haver Pivoted'!HL64</f>
        <v>0</v>
      </c>
      <c r="AB19" s="247">
        <f>'Haver Pivoted'!HM64</f>
        <v>0</v>
      </c>
      <c r="AC19" s="247">
        <f>'Haver Pivoted'!HN64</f>
        <v>0</v>
      </c>
      <c r="AD19" s="247">
        <f>'Haver Pivoted'!HO64</f>
        <v>0</v>
      </c>
      <c r="AE19" s="235"/>
      <c r="AF19" s="235"/>
      <c r="AG19" s="235"/>
      <c r="AH19" s="235"/>
      <c r="AI19" s="235"/>
      <c r="AJ19" s="235"/>
      <c r="AK19" s="235"/>
      <c r="AL19" s="235"/>
      <c r="AM19" s="235"/>
      <c r="AN19" s="235"/>
    </row>
    <row r="20" spans="2:69" ht="14.9" customHeight="1" x14ac:dyDescent="0.35">
      <c r="B20" s="272" t="s">
        <v>297</v>
      </c>
      <c r="C20" s="262"/>
      <c r="D20" s="266">
        <f t="shared" ref="D20:U20" si="20">D11-D21</f>
        <v>0</v>
      </c>
      <c r="E20" s="243">
        <f t="shared" si="20"/>
        <v>0</v>
      </c>
      <c r="F20" s="243">
        <f t="shared" si="20"/>
        <v>0</v>
      </c>
      <c r="G20" s="243">
        <f t="shared" si="20"/>
        <v>0</v>
      </c>
      <c r="H20" s="243">
        <f t="shared" si="20"/>
        <v>0</v>
      </c>
      <c r="I20" s="243">
        <f t="shared" si="20"/>
        <v>0</v>
      </c>
      <c r="J20" s="243">
        <f t="shared" si="20"/>
        <v>779.80000000000007</v>
      </c>
      <c r="K20" s="243">
        <f t="shared" si="20"/>
        <v>586.29999999999995</v>
      </c>
      <c r="L20" s="243">
        <f t="shared" si="20"/>
        <v>229.4</v>
      </c>
      <c r="M20" s="243">
        <f t="shared" si="20"/>
        <v>523.1</v>
      </c>
      <c r="N20" s="244">
        <f t="shared" si="20"/>
        <v>405.3</v>
      </c>
      <c r="O20" s="244">
        <f t="shared" si="20"/>
        <v>209.20000000000002</v>
      </c>
      <c r="P20" s="244">
        <f t="shared" si="20"/>
        <v>6.1000000000000014</v>
      </c>
      <c r="Q20" s="244">
        <f t="shared" si="20"/>
        <v>0.19999999999999929</v>
      </c>
      <c r="R20" s="244">
        <f t="shared" si="20"/>
        <v>1.1000000000000014</v>
      </c>
      <c r="S20" s="244">
        <f t="shared" si="20"/>
        <v>0.5</v>
      </c>
      <c r="T20" s="244">
        <f t="shared" si="20"/>
        <v>0.30000000000000071</v>
      </c>
      <c r="U20" s="244">
        <f t="shared" si="20"/>
        <v>0</v>
      </c>
      <c r="V20" s="243">
        <v>0</v>
      </c>
      <c r="W20" s="243">
        <v>0</v>
      </c>
      <c r="X20" s="248">
        <f t="shared" ref="X20:AH20" si="21">X11-X21</f>
        <v>4.632399999999997</v>
      </c>
      <c r="Y20" s="248">
        <f t="shared" si="21"/>
        <v>3.0799999999999947</v>
      </c>
      <c r="Z20" s="248">
        <f t="shared" si="21"/>
        <v>0</v>
      </c>
      <c r="AA20" s="248">
        <f t="shared" si="21"/>
        <v>0</v>
      </c>
      <c r="AB20" s="248">
        <f t="shared" si="21"/>
        <v>0.39999999999999858</v>
      </c>
      <c r="AC20" s="248">
        <f t="shared" si="21"/>
        <v>9.9999999999994316E-2</v>
      </c>
      <c r="AD20" s="248">
        <f t="shared" si="21"/>
        <v>1</v>
      </c>
      <c r="AE20" s="248">
        <f t="shared" si="21"/>
        <v>0</v>
      </c>
      <c r="AF20" s="248">
        <f t="shared" si="21"/>
        <v>0</v>
      </c>
      <c r="AG20" s="248">
        <f t="shared" si="21"/>
        <v>0</v>
      </c>
      <c r="AH20" s="248">
        <f t="shared" si="21"/>
        <v>0</v>
      </c>
      <c r="AI20" s="248">
        <f t="shared" ref="AI20:AJ20" si="22">AI11-AI21</f>
        <v>0</v>
      </c>
      <c r="AJ20" s="248">
        <f t="shared" si="22"/>
        <v>0</v>
      </c>
      <c r="AK20" s="248">
        <f t="shared" ref="AK20:AN20" si="23">AK11-AK21</f>
        <v>0</v>
      </c>
      <c r="AL20" s="248">
        <f t="shared" si="23"/>
        <v>0</v>
      </c>
      <c r="AM20" s="248">
        <f t="shared" si="23"/>
        <v>0</v>
      </c>
      <c r="AN20" s="248">
        <f t="shared" si="23"/>
        <v>0</v>
      </c>
    </row>
    <row r="21" spans="2:69" ht="14.9" customHeight="1" x14ac:dyDescent="0.35">
      <c r="B21" s="272" t="s">
        <v>298</v>
      </c>
      <c r="C21" s="262"/>
      <c r="D21" s="266">
        <f t="shared" ref="D21:I21" si="24">D11</f>
        <v>27.1</v>
      </c>
      <c r="E21" s="243">
        <f t="shared" si="24"/>
        <v>29.6</v>
      </c>
      <c r="F21" s="243">
        <f t="shared" si="24"/>
        <v>27.3</v>
      </c>
      <c r="G21" s="243">
        <f t="shared" si="24"/>
        <v>26.4</v>
      </c>
      <c r="H21" s="243">
        <f t="shared" si="24"/>
        <v>26.7</v>
      </c>
      <c r="I21" s="243">
        <f t="shared" si="24"/>
        <v>40.1</v>
      </c>
      <c r="J21" s="243">
        <f>J11-J14-J13</f>
        <v>171.69999999999996</v>
      </c>
      <c r="K21" s="243">
        <f>K11-K14-K13</f>
        <v>213.7</v>
      </c>
      <c r="L21" s="243">
        <f>L11-L14-L13</f>
        <v>93.299999999999983</v>
      </c>
      <c r="M21" s="243">
        <f>M11-M14-M13</f>
        <v>60.699999999999932</v>
      </c>
      <c r="N21" s="244">
        <f t="shared" ref="N21:U21" si="25">N11-N13-N14</f>
        <v>35.5</v>
      </c>
      <c r="O21" s="244">
        <f t="shared" si="25"/>
        <v>3.5999999999999943</v>
      </c>
      <c r="P21" s="244">
        <f t="shared" si="25"/>
        <v>25.7</v>
      </c>
      <c r="Q21" s="245">
        <f t="shared" si="25"/>
        <v>24.3</v>
      </c>
      <c r="R21" s="245">
        <f t="shared" si="25"/>
        <v>20.599999999999998</v>
      </c>
      <c r="S21" s="245">
        <f t="shared" si="25"/>
        <v>22.6</v>
      </c>
      <c r="T21" s="245">
        <f t="shared" si="25"/>
        <v>25.599999999999998</v>
      </c>
      <c r="U21" s="245">
        <f t="shared" si="25"/>
        <v>30.1</v>
      </c>
      <c r="V21" s="243">
        <f>U21*V24/U24</f>
        <v>30.960000000000004</v>
      </c>
      <c r="W21" s="243">
        <f>V21*W24/V24</f>
        <v>30.960000000000004</v>
      </c>
      <c r="X21" s="248">
        <f t="shared" ref="X21:Y21" si="26">W21*X24/W24</f>
        <v>30.6676</v>
      </c>
      <c r="Y21" s="248">
        <f t="shared" si="26"/>
        <v>31.820000000000004</v>
      </c>
      <c r="Z21" s="248">
        <v>34.9</v>
      </c>
      <c r="AA21" s="248">
        <v>35.700000000000003</v>
      </c>
      <c r="AB21" s="248">
        <v>35.700000000000003</v>
      </c>
      <c r="AC21" s="248">
        <v>35.700000000000003</v>
      </c>
      <c r="AD21" s="248">
        <v>35.700000000000003</v>
      </c>
      <c r="AE21" s="248">
        <v>35.700000000000003</v>
      </c>
      <c r="AF21" s="248">
        <v>35.700000000000003</v>
      </c>
      <c r="AG21" s="248">
        <v>35.700000000000003</v>
      </c>
      <c r="AH21" s="248">
        <v>35.700000000000003</v>
      </c>
      <c r="AI21" s="248">
        <v>35.700000000000003</v>
      </c>
      <c r="AJ21" s="248">
        <v>35.700000000000003</v>
      </c>
      <c r="AK21" s="248">
        <v>36.700000000000003</v>
      </c>
      <c r="AL21" s="248">
        <v>37.700000000000003</v>
      </c>
      <c r="AM21" s="248">
        <v>38.700000000000003</v>
      </c>
      <c r="AN21" s="248">
        <v>39.700000000000003</v>
      </c>
      <c r="AO21" s="267" t="s">
        <v>299</v>
      </c>
    </row>
    <row r="22" spans="2:69" x14ac:dyDescent="0.35">
      <c r="B22" s="256"/>
      <c r="C22" s="257"/>
      <c r="D22" s="275"/>
      <c r="E22" s="245"/>
      <c r="F22" s="245"/>
      <c r="G22" s="245"/>
      <c r="H22" s="241"/>
      <c r="I22" s="241"/>
      <c r="J22" s="241"/>
      <c r="K22" s="241"/>
      <c r="L22" s="241"/>
      <c r="M22" s="241"/>
      <c r="N22" s="241"/>
      <c r="O22" s="241"/>
      <c r="P22" s="241"/>
      <c r="Q22" s="241"/>
      <c r="R22" s="241"/>
      <c r="S22" s="241"/>
      <c r="T22" s="259"/>
      <c r="U22" s="241"/>
      <c r="V22" s="241"/>
      <c r="W22" s="235"/>
      <c r="X22" s="235"/>
      <c r="Y22" s="235"/>
      <c r="Z22" s="235"/>
      <c r="AA22" s="235"/>
      <c r="AB22" s="235"/>
      <c r="AC22" s="235"/>
      <c r="AD22" s="235"/>
      <c r="AE22" s="235"/>
      <c r="AF22" s="235"/>
      <c r="AG22" s="235"/>
      <c r="AH22" s="235"/>
      <c r="AI22" s="229"/>
      <c r="AJ22" s="229"/>
      <c r="AK22" s="229"/>
      <c r="AL22" s="229"/>
      <c r="AM22" s="229"/>
      <c r="AN22" s="229"/>
    </row>
    <row r="23" spans="2:69" x14ac:dyDescent="0.35">
      <c r="B23" s="289" t="s">
        <v>1960</v>
      </c>
      <c r="C23" s="257"/>
      <c r="D23" s="245"/>
      <c r="E23" s="245"/>
      <c r="F23" s="245"/>
      <c r="G23" s="245"/>
      <c r="H23" s="241"/>
      <c r="I23" s="241"/>
      <c r="J23" s="241"/>
      <c r="K23" s="241"/>
      <c r="L23" s="241"/>
      <c r="M23" s="241">
        <v>6.2329999999999997</v>
      </c>
      <c r="N23" s="241">
        <v>5.9329999999999998</v>
      </c>
      <c r="O23" s="241">
        <v>5.0659999999999998</v>
      </c>
      <c r="P23" s="241">
        <v>4.1660000000000004</v>
      </c>
      <c r="Q23" s="241">
        <v>3.8</v>
      </c>
      <c r="R23" s="241">
        <v>3.633</v>
      </c>
      <c r="S23" s="241">
        <v>3.5329999999999999</v>
      </c>
      <c r="T23" s="259">
        <v>3.5659999999999998</v>
      </c>
      <c r="U23" s="238">
        <v>3.5</v>
      </c>
      <c r="V23" s="238">
        <v>3.5659999999999998</v>
      </c>
      <c r="W23" s="237">
        <v>3.7</v>
      </c>
      <c r="X23" s="237">
        <v>3.7330000000000001</v>
      </c>
      <c r="Y23" s="237">
        <v>3.8</v>
      </c>
      <c r="Z23" s="237">
        <v>3.8809999999999998</v>
      </c>
      <c r="AA23" s="237">
        <v>3.915</v>
      </c>
      <c r="AB23" s="237">
        <v>3.9319999999999999</v>
      </c>
      <c r="AC23" s="237">
        <v>3.9569999999999999</v>
      </c>
      <c r="AD23" s="237">
        <v>3.9569999999999999</v>
      </c>
      <c r="AE23" s="237">
        <v>3.9750000000000001</v>
      </c>
      <c r="AF23" s="237">
        <v>4.0039999999999996</v>
      </c>
      <c r="AG23" s="237">
        <v>4.0780000000000003</v>
      </c>
      <c r="AH23" s="237">
        <v>4.1369999999999996</v>
      </c>
      <c r="AI23" s="294">
        <v>4.1870000000000003</v>
      </c>
      <c r="AJ23" s="294">
        <v>4.2279999999999998</v>
      </c>
      <c r="AK23" s="294">
        <v>4.2699999999999996</v>
      </c>
      <c r="AL23" s="294">
        <v>4.3049999999999997</v>
      </c>
      <c r="AM23" s="294">
        <v>4.34</v>
      </c>
      <c r="AN23" s="294">
        <v>4.3719999999999999</v>
      </c>
      <c r="AO23" s="249">
        <v>4.399</v>
      </c>
      <c r="AP23" s="249">
        <v>4.4189999999999996</v>
      </c>
      <c r="AQ23" s="249">
        <v>4.4359999999999999</v>
      </c>
      <c r="AR23" s="249">
        <v>4.4489999999999998</v>
      </c>
      <c r="AS23" s="249">
        <v>4.4630000000000001</v>
      </c>
      <c r="AT23" s="249">
        <v>4.4710000000000001</v>
      </c>
      <c r="AU23" s="249">
        <v>4.476</v>
      </c>
      <c r="AV23" s="249">
        <v>4.4790000000000001</v>
      </c>
      <c r="AW23" s="249">
        <v>4.484</v>
      </c>
      <c r="AX23" s="249">
        <v>4.4850000000000003</v>
      </c>
      <c r="AY23" s="249">
        <v>4.484</v>
      </c>
      <c r="AZ23" s="249">
        <v>4.4829999999999997</v>
      </c>
      <c r="BA23" s="249">
        <v>4.4829999999999997</v>
      </c>
      <c r="BB23" s="249">
        <v>4.4809999999999999</v>
      </c>
      <c r="BC23" s="249">
        <v>4.4779999999999998</v>
      </c>
      <c r="BD23" s="249">
        <v>4.4749999999999996</v>
      </c>
      <c r="BE23" s="249">
        <v>4.4749999999999996</v>
      </c>
      <c r="BF23" s="249">
        <v>4.4710000000000001</v>
      </c>
      <c r="BG23" s="249">
        <v>4.4669999999999996</v>
      </c>
      <c r="BH23" s="249">
        <v>4.4619999999999997</v>
      </c>
      <c r="BI23" s="249">
        <v>4.4589999999999996</v>
      </c>
      <c r="BJ23" s="249">
        <v>4.4539999999999997</v>
      </c>
      <c r="BK23" s="249">
        <v>4.4480000000000004</v>
      </c>
      <c r="BL23" s="249">
        <v>4.4429999999999996</v>
      </c>
      <c r="BM23" s="249">
        <v>4.4379999999999997</v>
      </c>
      <c r="BN23" s="249">
        <v>4.4329999999999998</v>
      </c>
      <c r="BO23" s="249">
        <v>4.4279999999999999</v>
      </c>
      <c r="BP23" s="249">
        <v>4.4219999999999997</v>
      </c>
      <c r="BQ23" s="249">
        <v>4.4219999999999997</v>
      </c>
    </row>
    <row r="24" spans="2:69" x14ac:dyDescent="0.35">
      <c r="B24" s="256" t="s">
        <v>1822</v>
      </c>
      <c r="C24" s="249"/>
      <c r="D24" s="276"/>
      <c r="E24" s="233"/>
      <c r="F24" s="233"/>
      <c r="G24" s="233"/>
      <c r="H24" s="241"/>
      <c r="I24" s="241"/>
      <c r="J24" s="241"/>
      <c r="K24" s="241"/>
      <c r="L24" s="241"/>
      <c r="M24" s="241">
        <f t="shared" ref="M24:U24" si="27">GETPIVOTDATA("Monthly UR",$E$30,"Quarters",M25,"Years",M26)</f>
        <v>6.166666666666667</v>
      </c>
      <c r="N24" s="241">
        <f t="shared" si="27"/>
        <v>5.7666666666666657</v>
      </c>
      <c r="O24" s="241">
        <f t="shared" si="27"/>
        <v>5.1333333333333337</v>
      </c>
      <c r="P24" s="241">
        <f t="shared" si="27"/>
        <v>4.2333333333333334</v>
      </c>
      <c r="Q24" s="241">
        <f t="shared" si="27"/>
        <v>3.8000000000000003</v>
      </c>
      <c r="R24" s="241">
        <f t="shared" si="27"/>
        <v>3.6</v>
      </c>
      <c r="S24" s="241">
        <f t="shared" si="27"/>
        <v>3.5666666666666664</v>
      </c>
      <c r="T24" s="241">
        <f t="shared" si="27"/>
        <v>3.6</v>
      </c>
      <c r="U24" s="242">
        <f t="shared" si="27"/>
        <v>3.5</v>
      </c>
      <c r="V24" s="250">
        <v>3.6</v>
      </c>
      <c r="W24" s="250">
        <v>3.6</v>
      </c>
      <c r="X24" s="250">
        <f>V23</f>
        <v>3.5659999999999998</v>
      </c>
      <c r="Y24" s="250">
        <f t="shared" ref="Y24:AC24" si="28">W23</f>
        <v>3.7</v>
      </c>
      <c r="Z24" s="250">
        <f t="shared" si="28"/>
        <v>3.7330000000000001</v>
      </c>
      <c r="AA24" s="250">
        <f t="shared" si="28"/>
        <v>3.8</v>
      </c>
      <c r="AB24" s="250">
        <f t="shared" si="28"/>
        <v>3.8809999999999998</v>
      </c>
      <c r="AC24" s="250">
        <f t="shared" si="28"/>
        <v>3.915</v>
      </c>
      <c r="AD24" s="250">
        <f>AB23</f>
        <v>3.9319999999999999</v>
      </c>
      <c r="AE24" s="250">
        <f t="shared" ref="AE24:AN24" si="29">AE23</f>
        <v>3.9750000000000001</v>
      </c>
      <c r="AF24" s="250">
        <f t="shared" si="29"/>
        <v>4.0039999999999996</v>
      </c>
      <c r="AG24" s="250">
        <f t="shared" si="29"/>
        <v>4.0780000000000003</v>
      </c>
      <c r="AH24" s="250">
        <f t="shared" si="29"/>
        <v>4.1369999999999996</v>
      </c>
      <c r="AI24" s="250">
        <f t="shared" si="29"/>
        <v>4.1870000000000003</v>
      </c>
      <c r="AJ24" s="250">
        <f t="shared" si="29"/>
        <v>4.2279999999999998</v>
      </c>
      <c r="AK24" s="250">
        <f t="shared" si="29"/>
        <v>4.2699999999999996</v>
      </c>
      <c r="AL24" s="250">
        <f t="shared" si="29"/>
        <v>4.3049999999999997</v>
      </c>
      <c r="AM24" s="250">
        <f t="shared" si="29"/>
        <v>4.34</v>
      </c>
      <c r="AN24" s="250">
        <f t="shared" si="29"/>
        <v>4.3719999999999999</v>
      </c>
    </row>
    <row r="25" spans="2:69" ht="15.75" customHeight="1" x14ac:dyDescent="0.35">
      <c r="B25" s="251" t="s">
        <v>1815</v>
      </c>
      <c r="C25" s="252"/>
      <c r="D25" s="253"/>
      <c r="E25" s="253"/>
      <c r="F25" s="253"/>
      <c r="G25" s="253"/>
      <c r="H25" s="253"/>
      <c r="I25" s="253"/>
      <c r="J25" s="253"/>
      <c r="K25" s="253"/>
      <c r="L25" s="253"/>
      <c r="M25" s="253">
        <v>1</v>
      </c>
      <c r="N25" s="253">
        <v>2</v>
      </c>
      <c r="O25" s="253">
        <v>3</v>
      </c>
      <c r="P25" s="253">
        <v>4</v>
      </c>
      <c r="Q25" s="253">
        <v>1</v>
      </c>
      <c r="R25" s="253">
        <v>2</v>
      </c>
      <c r="S25" s="253">
        <v>3</v>
      </c>
      <c r="T25" s="253">
        <v>4</v>
      </c>
      <c r="U25" s="253">
        <v>1</v>
      </c>
      <c r="V25" s="253">
        <v>2</v>
      </c>
      <c r="W25" s="253">
        <v>3</v>
      </c>
      <c r="X25" s="253">
        <v>4</v>
      </c>
      <c r="Y25" s="253">
        <v>1</v>
      </c>
      <c r="Z25" s="253">
        <v>2</v>
      </c>
      <c r="AA25" s="253">
        <v>3</v>
      </c>
      <c r="AB25" s="253">
        <v>4</v>
      </c>
      <c r="AC25" s="253">
        <v>1</v>
      </c>
      <c r="AD25" s="253">
        <v>2</v>
      </c>
      <c r="AE25" s="253">
        <v>3</v>
      </c>
      <c r="AF25" s="253">
        <v>4</v>
      </c>
      <c r="AG25" s="253">
        <v>1</v>
      </c>
      <c r="AH25" s="253">
        <v>2</v>
      </c>
      <c r="AI25" s="253">
        <v>3</v>
      </c>
      <c r="AJ25" s="253">
        <v>4</v>
      </c>
      <c r="AK25" s="253">
        <v>1</v>
      </c>
      <c r="AL25" s="253">
        <v>2</v>
      </c>
      <c r="AM25" s="253">
        <v>3</v>
      </c>
      <c r="AN25" s="253">
        <v>4</v>
      </c>
    </row>
    <row r="26" spans="2:69" x14ac:dyDescent="0.35">
      <c r="B26" s="263" t="s">
        <v>1816</v>
      </c>
      <c r="C26" s="264"/>
      <c r="D26" s="265"/>
      <c r="E26" s="265"/>
      <c r="F26" s="265"/>
      <c r="G26" s="265"/>
      <c r="H26" s="265"/>
      <c r="I26" s="265"/>
      <c r="J26" s="265"/>
      <c r="K26" s="265"/>
      <c r="L26" s="265"/>
      <c r="M26" s="265">
        <v>2021</v>
      </c>
      <c r="N26" s="265">
        <v>2021</v>
      </c>
      <c r="O26" s="265">
        <v>2021</v>
      </c>
      <c r="P26" s="265">
        <v>2021</v>
      </c>
      <c r="Q26" s="265">
        <v>2022</v>
      </c>
      <c r="R26" s="265">
        <v>2022</v>
      </c>
      <c r="S26" s="265">
        <v>2022</v>
      </c>
      <c r="T26" s="265">
        <v>2022</v>
      </c>
      <c r="U26" s="265">
        <v>2023</v>
      </c>
      <c r="V26" s="265">
        <v>2023</v>
      </c>
      <c r="W26" s="265">
        <v>2023</v>
      </c>
      <c r="X26" s="265">
        <v>2023</v>
      </c>
      <c r="Y26" s="265">
        <v>2024</v>
      </c>
      <c r="Z26" s="265">
        <v>2024</v>
      </c>
      <c r="AA26" s="265">
        <v>2024</v>
      </c>
      <c r="AB26" s="265">
        <v>2024</v>
      </c>
      <c r="AC26" s="265">
        <v>2025</v>
      </c>
      <c r="AD26" s="265">
        <v>2025</v>
      </c>
      <c r="AE26" s="265">
        <v>2025</v>
      </c>
      <c r="AF26" s="265">
        <v>2025</v>
      </c>
      <c r="AG26" s="265">
        <v>2026</v>
      </c>
      <c r="AH26" s="265">
        <v>2026</v>
      </c>
      <c r="AI26" s="265">
        <v>2026</v>
      </c>
      <c r="AJ26" s="265">
        <v>2026</v>
      </c>
      <c r="AK26" s="265">
        <v>2027</v>
      </c>
      <c r="AL26" s="265">
        <v>2027</v>
      </c>
      <c r="AM26" s="265">
        <v>2027</v>
      </c>
      <c r="AN26" s="265">
        <v>2027</v>
      </c>
    </row>
    <row r="27" spans="2:69" x14ac:dyDescent="0.35">
      <c r="B27" s="56"/>
      <c r="C27" s="249"/>
      <c r="D27" s="233"/>
      <c r="E27" s="233"/>
      <c r="F27" s="233"/>
      <c r="G27" s="233"/>
      <c r="H27" s="233"/>
      <c r="I27" s="233"/>
      <c r="J27" s="233"/>
      <c r="K27" s="233"/>
      <c r="L27" s="233"/>
      <c r="M27" s="233"/>
      <c r="N27" s="233"/>
      <c r="O27" s="233"/>
      <c r="P27" s="233"/>
      <c r="Q27" s="233"/>
      <c r="R27" s="233"/>
      <c r="S27" s="233"/>
      <c r="T27" s="233"/>
      <c r="U27" s="233"/>
      <c r="V27" s="233"/>
      <c r="W27" s="233"/>
      <c r="X27" s="233"/>
      <c r="Y27" s="233"/>
      <c r="Z27" s="233"/>
      <c r="AA27" s="233"/>
      <c r="AB27" s="233"/>
      <c r="AC27" s="233"/>
      <c r="AD27" s="233"/>
      <c r="AE27" s="233"/>
      <c r="AF27" s="233"/>
      <c r="AG27" s="233"/>
      <c r="AH27" s="233"/>
      <c r="AI27" s="238"/>
    </row>
    <row r="28" spans="2:69" x14ac:dyDescent="0.35">
      <c r="C28" s="249"/>
      <c r="D28" s="233"/>
      <c r="E28" s="233"/>
      <c r="F28" s="233"/>
      <c r="G28" s="233"/>
      <c r="H28" s="241"/>
      <c r="I28" s="241"/>
      <c r="J28" s="241"/>
      <c r="K28" s="241"/>
      <c r="L28" s="241"/>
      <c r="M28" s="241"/>
      <c r="N28" s="241"/>
      <c r="O28" s="241"/>
      <c r="P28" s="241"/>
      <c r="AI28" s="238"/>
    </row>
    <row r="29" spans="2:69" x14ac:dyDescent="0.35">
      <c r="M29" s="249"/>
      <c r="N29" s="249"/>
      <c r="O29" s="249"/>
    </row>
    <row r="30" spans="2:69" ht="45" customHeight="1" x14ac:dyDescent="0.35">
      <c r="B30" s="282" t="s">
        <v>301</v>
      </c>
      <c r="C30" s="283" t="s">
        <v>302</v>
      </c>
      <c r="D30" s="280"/>
      <c r="E30" s="14" t="s">
        <v>1805</v>
      </c>
      <c r="F30" s="14" t="s">
        <v>1810</v>
      </c>
      <c r="G30" s="14"/>
      <c r="H30" s="14"/>
      <c r="I30" s="14"/>
      <c r="J30" s="14"/>
      <c r="O30" s="284"/>
    </row>
    <row r="31" spans="2:69" x14ac:dyDescent="0.35">
      <c r="B31" s="277">
        <v>44197</v>
      </c>
      <c r="C31" s="239">
        <v>6.3</v>
      </c>
      <c r="D31" s="281"/>
      <c r="E31" s="43" t="s">
        <v>1740</v>
      </c>
      <c r="F31" s="56"/>
      <c r="G31" s="56"/>
      <c r="H31" s="75"/>
      <c r="I31" s="56"/>
      <c r="J31" s="75"/>
      <c r="O31" s="249"/>
    </row>
    <row r="32" spans="2:69" x14ac:dyDescent="0.35">
      <c r="B32" s="277">
        <v>44228</v>
      </c>
      <c r="C32" s="239">
        <v>6.2</v>
      </c>
      <c r="D32" s="281"/>
      <c r="E32" s="102" t="s">
        <v>1806</v>
      </c>
      <c r="F32" s="95">
        <v>6.166666666666667</v>
      </c>
      <c r="G32" s="56"/>
      <c r="H32" s="75"/>
      <c r="I32" s="56"/>
      <c r="J32" s="75"/>
      <c r="O32" s="249"/>
    </row>
    <row r="33" spans="1:43" x14ac:dyDescent="0.35">
      <c r="B33" s="277">
        <v>44256</v>
      </c>
      <c r="C33" s="239">
        <v>6</v>
      </c>
      <c r="D33" s="281"/>
      <c r="E33" s="102" t="s">
        <v>1807</v>
      </c>
      <c r="F33" s="95">
        <v>5.7666666666666657</v>
      </c>
      <c r="G33" s="56"/>
      <c r="H33" s="75"/>
      <c r="I33" s="56"/>
      <c r="J33" s="75"/>
      <c r="O33" s="249"/>
    </row>
    <row r="34" spans="1:43" x14ac:dyDescent="0.35">
      <c r="B34" s="277">
        <v>44287</v>
      </c>
      <c r="C34" s="239">
        <v>6.1</v>
      </c>
      <c r="D34" s="281"/>
      <c r="E34" s="102" t="s">
        <v>1808</v>
      </c>
      <c r="F34" s="95">
        <v>5.1333333333333337</v>
      </c>
      <c r="G34" s="56"/>
      <c r="H34" s="75"/>
      <c r="I34" s="56"/>
      <c r="J34" s="75"/>
      <c r="O34" s="249"/>
    </row>
    <row r="35" spans="1:43" x14ac:dyDescent="0.35">
      <c r="A35" s="56"/>
      <c r="B35" s="277">
        <v>44317</v>
      </c>
      <c r="C35" s="239">
        <v>5.8</v>
      </c>
      <c r="D35" s="281"/>
      <c r="E35" s="102" t="s">
        <v>1809</v>
      </c>
      <c r="F35" s="95">
        <v>4.2333333333333334</v>
      </c>
      <c r="G35" s="56"/>
      <c r="H35" s="75"/>
      <c r="I35" s="56"/>
      <c r="J35" s="75"/>
      <c r="O35" s="249"/>
    </row>
    <row r="36" spans="1:43" x14ac:dyDescent="0.35">
      <c r="A36" s="56"/>
      <c r="B36" s="277">
        <v>44348</v>
      </c>
      <c r="C36" s="239">
        <v>5.4</v>
      </c>
      <c r="D36" s="281"/>
      <c r="E36" s="43" t="s">
        <v>1729</v>
      </c>
      <c r="F36" s="95"/>
      <c r="G36" s="56"/>
      <c r="H36" s="75"/>
      <c r="I36" s="56"/>
      <c r="J36" s="75"/>
      <c r="O36" s="249"/>
    </row>
    <row r="37" spans="1:43" x14ac:dyDescent="0.35">
      <c r="A37" s="56"/>
      <c r="B37" s="277">
        <v>44378</v>
      </c>
      <c r="C37" s="239">
        <v>5.4</v>
      </c>
      <c r="D37" s="281"/>
      <c r="E37" s="102" t="s">
        <v>1806</v>
      </c>
      <c r="F37" s="95">
        <v>3.8000000000000003</v>
      </c>
      <c r="G37" s="56"/>
      <c r="H37" s="75"/>
      <c r="I37" s="56"/>
      <c r="J37" s="75"/>
      <c r="O37" s="249"/>
    </row>
    <row r="38" spans="1:43" x14ac:dyDescent="0.35">
      <c r="A38" s="56"/>
      <c r="B38" s="277">
        <v>44409</v>
      </c>
      <c r="C38" s="239">
        <v>5.2</v>
      </c>
      <c r="D38" s="281"/>
      <c r="E38" s="102" t="s">
        <v>1807</v>
      </c>
      <c r="F38" s="95">
        <v>3.6</v>
      </c>
      <c r="G38" s="56"/>
      <c r="H38" s="75"/>
      <c r="I38" s="56"/>
      <c r="J38" s="75"/>
      <c r="O38" s="249"/>
    </row>
    <row r="39" spans="1:43" x14ac:dyDescent="0.35">
      <c r="A39" s="56"/>
      <c r="B39" s="277">
        <v>44440</v>
      </c>
      <c r="C39" s="239">
        <v>4.8</v>
      </c>
      <c r="D39" s="281"/>
      <c r="E39" s="102" t="s">
        <v>1808</v>
      </c>
      <c r="F39" s="95">
        <v>3.5666666666666664</v>
      </c>
      <c r="G39" s="56"/>
      <c r="H39" s="75"/>
      <c r="I39" s="56"/>
      <c r="J39" s="75"/>
      <c r="O39" s="249"/>
    </row>
    <row r="40" spans="1:43" x14ac:dyDescent="0.35">
      <c r="A40" s="56"/>
      <c r="B40" s="277">
        <v>44470</v>
      </c>
      <c r="C40" s="239">
        <v>4.5999999999999996</v>
      </c>
      <c r="D40" s="281"/>
      <c r="E40" s="102" t="s">
        <v>1809</v>
      </c>
      <c r="F40" s="95">
        <v>3.6</v>
      </c>
      <c r="G40" s="56"/>
      <c r="H40" s="75"/>
      <c r="I40" s="56"/>
      <c r="J40" s="75"/>
      <c r="O40" s="249"/>
    </row>
    <row r="41" spans="1:43" x14ac:dyDescent="0.35">
      <c r="A41" s="56"/>
      <c r="B41" s="277">
        <v>44501</v>
      </c>
      <c r="C41" s="239">
        <v>4.2</v>
      </c>
      <c r="D41" s="281"/>
      <c r="E41" s="43" t="s">
        <v>1811</v>
      </c>
      <c r="F41" s="95"/>
      <c r="G41" s="56"/>
      <c r="H41" s="75"/>
      <c r="I41" s="56"/>
      <c r="J41" s="75"/>
      <c r="O41" s="249"/>
      <c r="AI41" s="249"/>
      <c r="AJ41" s="249"/>
      <c r="AK41" s="249"/>
      <c r="AL41" s="249"/>
      <c r="AM41" s="249"/>
      <c r="AN41" s="249"/>
      <c r="AO41" s="249"/>
      <c r="AP41" s="249"/>
      <c r="AQ41" s="249"/>
    </row>
    <row r="42" spans="1:43" x14ac:dyDescent="0.35">
      <c r="A42" s="56"/>
      <c r="B42" s="277">
        <v>44531</v>
      </c>
      <c r="C42" s="239">
        <v>3.9</v>
      </c>
      <c r="D42" s="281"/>
      <c r="E42" s="102" t="s">
        <v>1806</v>
      </c>
      <c r="F42" s="95">
        <v>3.5</v>
      </c>
      <c r="G42" s="56"/>
      <c r="H42" s="75"/>
      <c r="I42" s="56"/>
      <c r="J42" s="75"/>
      <c r="O42" s="249"/>
      <c r="AI42" s="249"/>
      <c r="AJ42" s="249"/>
      <c r="AK42" s="249"/>
      <c r="AL42" s="249"/>
      <c r="AM42" s="249"/>
      <c r="AN42" s="249"/>
      <c r="AO42" s="249"/>
      <c r="AP42" s="249"/>
      <c r="AQ42" s="249"/>
    </row>
    <row r="43" spans="1:43" x14ac:dyDescent="0.35">
      <c r="A43" s="56"/>
      <c r="B43" s="277">
        <v>44562</v>
      </c>
      <c r="C43" s="239">
        <v>4</v>
      </c>
      <c r="D43" s="56"/>
      <c r="E43" s="102" t="s">
        <v>1807</v>
      </c>
      <c r="F43" s="95"/>
      <c r="G43" s="56"/>
      <c r="H43" s="75"/>
      <c r="I43" s="56"/>
      <c r="J43" s="75"/>
      <c r="O43" s="249"/>
    </row>
    <row r="44" spans="1:43" x14ac:dyDescent="0.35">
      <c r="A44" s="56"/>
      <c r="B44" s="277">
        <v>44593</v>
      </c>
      <c r="C44" s="239">
        <v>3.8</v>
      </c>
      <c r="D44" s="56"/>
      <c r="E44" s="102" t="s">
        <v>1808</v>
      </c>
      <c r="F44" s="95"/>
      <c r="G44" s="56"/>
      <c r="H44" s="75"/>
      <c r="I44" s="56"/>
      <c r="J44" s="75"/>
    </row>
    <row r="45" spans="1:43" x14ac:dyDescent="0.35">
      <c r="A45" s="56"/>
      <c r="B45" s="277">
        <v>44621</v>
      </c>
      <c r="C45" s="239">
        <v>3.6</v>
      </c>
      <c r="D45" s="56"/>
      <c r="E45" s="102" t="s">
        <v>1809</v>
      </c>
      <c r="F45" s="95"/>
      <c r="G45" s="56"/>
      <c r="H45" s="75"/>
      <c r="I45" s="56"/>
      <c r="J45" s="75"/>
    </row>
    <row r="46" spans="1:43" x14ac:dyDescent="0.35">
      <c r="A46" s="56"/>
      <c r="B46" s="277">
        <v>44652</v>
      </c>
      <c r="C46" s="239">
        <v>3.6</v>
      </c>
      <c r="D46" s="56"/>
      <c r="E46" s="43" t="s">
        <v>1812</v>
      </c>
      <c r="F46" s="95"/>
      <c r="G46" s="56"/>
      <c r="H46" s="75"/>
      <c r="I46" s="56"/>
      <c r="J46" s="75"/>
    </row>
    <row r="47" spans="1:43" x14ac:dyDescent="0.35">
      <c r="A47" s="56"/>
      <c r="B47" s="277">
        <v>44682</v>
      </c>
      <c r="C47" s="239">
        <v>3.6</v>
      </c>
      <c r="D47" s="56"/>
      <c r="E47" s="102" t="s">
        <v>1806</v>
      </c>
      <c r="F47" s="95"/>
      <c r="G47" s="56"/>
      <c r="H47" s="75"/>
      <c r="I47" s="56"/>
      <c r="J47" s="75"/>
    </row>
    <row r="48" spans="1:43" x14ac:dyDescent="0.35">
      <c r="A48" s="56"/>
      <c r="B48" s="277">
        <v>44713</v>
      </c>
      <c r="C48" s="239">
        <v>3.6</v>
      </c>
      <c r="D48" s="56"/>
      <c r="E48" s="102" t="s">
        <v>1807</v>
      </c>
      <c r="F48" s="95"/>
      <c r="G48" s="56"/>
      <c r="H48" s="75"/>
      <c r="I48" s="56"/>
      <c r="J48" s="75"/>
    </row>
    <row r="49" spans="1:10" x14ac:dyDescent="0.35">
      <c r="A49" s="56"/>
      <c r="B49" s="277">
        <v>44743</v>
      </c>
      <c r="C49" s="239">
        <v>3.5</v>
      </c>
      <c r="D49" s="56"/>
      <c r="E49" s="102" t="s">
        <v>1808</v>
      </c>
      <c r="F49" s="95"/>
      <c r="G49" s="56"/>
      <c r="H49" s="75"/>
      <c r="I49" s="56"/>
      <c r="J49" s="75"/>
    </row>
    <row r="50" spans="1:10" x14ac:dyDescent="0.35">
      <c r="A50" s="56"/>
      <c r="B50" s="277">
        <v>44774</v>
      </c>
      <c r="C50" s="239">
        <v>3.7</v>
      </c>
      <c r="D50" s="56"/>
      <c r="E50" s="102" t="s">
        <v>1809</v>
      </c>
      <c r="F50" s="95"/>
      <c r="G50" s="56"/>
      <c r="H50" s="75"/>
      <c r="I50" s="56"/>
      <c r="J50" s="75"/>
    </row>
    <row r="51" spans="1:10" x14ac:dyDescent="0.35">
      <c r="A51" s="56"/>
      <c r="B51" s="277">
        <v>44805</v>
      </c>
      <c r="C51" s="239">
        <v>3.5</v>
      </c>
      <c r="D51" s="56"/>
      <c r="E51" s="43" t="s">
        <v>1813</v>
      </c>
      <c r="F51" s="95"/>
      <c r="G51" s="56"/>
      <c r="H51" s="56"/>
      <c r="I51" s="56"/>
      <c r="J51" s="56"/>
    </row>
    <row r="52" spans="1:10" x14ac:dyDescent="0.35">
      <c r="A52" s="56"/>
      <c r="B52" s="277">
        <v>44835</v>
      </c>
      <c r="C52" s="239">
        <v>3.7</v>
      </c>
      <c r="D52" s="56"/>
      <c r="E52" s="102" t="s">
        <v>1806</v>
      </c>
      <c r="F52" s="95"/>
      <c r="G52" s="56"/>
      <c r="H52" s="56"/>
      <c r="I52" s="56"/>
      <c r="J52" s="56"/>
    </row>
    <row r="53" spans="1:10" x14ac:dyDescent="0.35">
      <c r="A53" s="56"/>
      <c r="B53" s="277">
        <v>44866</v>
      </c>
      <c r="C53" s="239">
        <v>3.6</v>
      </c>
      <c r="D53" s="56"/>
      <c r="E53" s="102" t="s">
        <v>1807</v>
      </c>
      <c r="F53" s="95"/>
      <c r="G53" s="56"/>
      <c r="H53" s="56"/>
      <c r="I53" s="56"/>
      <c r="J53" s="56"/>
    </row>
    <row r="54" spans="1:10" x14ac:dyDescent="0.35">
      <c r="A54" s="56"/>
      <c r="B54" s="277">
        <v>44896</v>
      </c>
      <c r="C54" s="239">
        <v>3.5</v>
      </c>
      <c r="D54" s="56"/>
      <c r="E54" s="102" t="s">
        <v>1808</v>
      </c>
      <c r="F54" s="95"/>
      <c r="G54" s="56"/>
      <c r="H54" s="56"/>
      <c r="I54" s="56"/>
      <c r="J54" s="56"/>
    </row>
    <row r="55" spans="1:10" x14ac:dyDescent="0.35">
      <c r="B55" s="277">
        <v>44927</v>
      </c>
      <c r="C55" s="239">
        <v>3.4</v>
      </c>
      <c r="D55" s="56"/>
      <c r="E55" s="102" t="s">
        <v>1809</v>
      </c>
      <c r="F55" s="95"/>
      <c r="G55" s="56"/>
      <c r="H55" s="56"/>
      <c r="I55" s="56"/>
      <c r="J55" s="56"/>
    </row>
    <row r="56" spans="1:10" x14ac:dyDescent="0.35">
      <c r="B56" s="277">
        <v>44958</v>
      </c>
      <c r="C56" s="239">
        <v>3.6</v>
      </c>
      <c r="D56" s="56"/>
      <c r="E56" s="43" t="s">
        <v>1814</v>
      </c>
      <c r="F56" s="95"/>
      <c r="G56" s="56"/>
      <c r="H56" s="56"/>
      <c r="I56" s="56"/>
      <c r="J56" s="56"/>
    </row>
    <row r="57" spans="1:10" x14ac:dyDescent="0.35">
      <c r="B57" s="277">
        <v>44986</v>
      </c>
      <c r="C57" s="239">
        <v>3.5</v>
      </c>
      <c r="D57" s="56"/>
      <c r="E57" s="102" t="s">
        <v>1806</v>
      </c>
      <c r="F57" s="95"/>
      <c r="G57" s="56"/>
      <c r="H57" s="56"/>
      <c r="I57" s="56"/>
      <c r="J57" s="56"/>
    </row>
    <row r="58" spans="1:10" x14ac:dyDescent="0.35">
      <c r="B58" s="277">
        <v>45017</v>
      </c>
      <c r="C58" s="239"/>
      <c r="D58" s="56"/>
      <c r="E58" s="102" t="s">
        <v>1807</v>
      </c>
      <c r="F58" s="95"/>
      <c r="G58" s="56"/>
      <c r="H58" s="56"/>
      <c r="I58" s="56"/>
      <c r="J58" s="56"/>
    </row>
    <row r="59" spans="1:10" x14ac:dyDescent="0.35">
      <c r="B59" s="277">
        <v>45047</v>
      </c>
      <c r="C59" s="239"/>
      <c r="D59" s="56"/>
      <c r="E59" s="102" t="s">
        <v>1808</v>
      </c>
      <c r="F59" s="95"/>
      <c r="G59" s="56"/>
      <c r="H59" s="56"/>
      <c r="I59" s="56"/>
      <c r="J59" s="56"/>
    </row>
    <row r="60" spans="1:10" x14ac:dyDescent="0.35">
      <c r="B60" s="277">
        <v>45078</v>
      </c>
      <c r="C60" s="239"/>
      <c r="D60" s="56"/>
      <c r="E60" s="102" t="s">
        <v>1809</v>
      </c>
      <c r="F60" s="95"/>
      <c r="G60" s="56"/>
      <c r="H60" s="56"/>
      <c r="I60" s="56"/>
      <c r="J60" s="56"/>
    </row>
    <row r="61" spans="1:10" x14ac:dyDescent="0.35">
      <c r="B61" s="277">
        <v>45108</v>
      </c>
      <c r="C61" s="239"/>
      <c r="D61" s="56"/>
      <c r="E61" s="56"/>
      <c r="F61" s="56"/>
      <c r="G61" s="56"/>
      <c r="H61" s="56"/>
      <c r="I61" s="56"/>
      <c r="J61" s="56"/>
    </row>
    <row r="62" spans="1:10" x14ac:dyDescent="0.35">
      <c r="B62" s="277">
        <v>45139</v>
      </c>
      <c r="C62" s="239"/>
      <c r="D62" s="56"/>
      <c r="E62" s="56"/>
      <c r="F62" s="56"/>
      <c r="G62" s="56"/>
      <c r="H62" s="56"/>
      <c r="I62" s="56"/>
      <c r="J62" s="56"/>
    </row>
    <row r="63" spans="1:10" x14ac:dyDescent="0.35">
      <c r="B63" s="277">
        <v>45170</v>
      </c>
      <c r="C63" s="239"/>
      <c r="D63" s="56"/>
      <c r="E63" s="56"/>
      <c r="F63" s="56"/>
      <c r="G63" s="56"/>
      <c r="H63" s="56"/>
      <c r="I63" s="56"/>
      <c r="J63" s="56"/>
    </row>
    <row r="64" spans="1:10" x14ac:dyDescent="0.35">
      <c r="B64" s="277">
        <v>45200</v>
      </c>
      <c r="C64" s="239"/>
      <c r="D64" s="56"/>
      <c r="E64" s="56"/>
      <c r="F64" s="56"/>
      <c r="G64" s="56"/>
      <c r="H64" s="56"/>
      <c r="I64" s="56"/>
      <c r="J64" s="56"/>
    </row>
    <row r="65" spans="2:10" x14ac:dyDescent="0.35">
      <c r="B65" s="277">
        <v>45231</v>
      </c>
      <c r="C65" s="239"/>
      <c r="D65" s="56"/>
      <c r="E65" s="56"/>
      <c r="F65" s="56"/>
      <c r="G65" s="56"/>
      <c r="H65" s="56"/>
      <c r="I65" s="56"/>
      <c r="J65" s="56"/>
    </row>
    <row r="66" spans="2:10" x14ac:dyDescent="0.35">
      <c r="B66" s="277">
        <v>45261</v>
      </c>
      <c r="C66" s="239"/>
      <c r="D66" s="56"/>
      <c r="E66" s="56"/>
      <c r="F66" s="56"/>
      <c r="G66" s="56"/>
      <c r="H66" s="56"/>
      <c r="I66" s="56"/>
      <c r="J66" s="56"/>
    </row>
    <row r="67" spans="2:10" x14ac:dyDescent="0.35">
      <c r="B67" s="277">
        <v>45292</v>
      </c>
      <c r="C67" s="239"/>
      <c r="D67" s="56"/>
      <c r="E67" s="56"/>
      <c r="F67" s="56"/>
      <c r="G67" s="56"/>
      <c r="H67" s="56"/>
      <c r="I67" s="56"/>
      <c r="J67" s="56"/>
    </row>
    <row r="68" spans="2:10" x14ac:dyDescent="0.35">
      <c r="B68" s="277">
        <v>45323</v>
      </c>
      <c r="C68" s="239"/>
      <c r="D68" s="56"/>
      <c r="E68" s="56"/>
      <c r="F68" s="56"/>
      <c r="G68" s="56"/>
      <c r="H68" s="56"/>
      <c r="I68" s="56"/>
      <c r="J68" s="56"/>
    </row>
    <row r="69" spans="2:10" x14ac:dyDescent="0.35">
      <c r="B69" s="277">
        <v>45352</v>
      </c>
      <c r="C69" s="239"/>
      <c r="D69" s="56"/>
      <c r="E69" s="56"/>
      <c r="F69" s="56"/>
      <c r="G69" s="56"/>
      <c r="H69" s="56"/>
      <c r="I69" s="56"/>
      <c r="J69" s="56"/>
    </row>
    <row r="70" spans="2:10" x14ac:dyDescent="0.35">
      <c r="B70" s="277">
        <v>45383</v>
      </c>
      <c r="C70" s="239"/>
      <c r="D70" s="56"/>
      <c r="E70" s="56"/>
      <c r="F70" s="56"/>
      <c r="G70" s="56"/>
      <c r="H70" s="56"/>
      <c r="I70" s="56"/>
      <c r="J70" s="56"/>
    </row>
    <row r="71" spans="2:10" x14ac:dyDescent="0.35">
      <c r="B71" s="277">
        <v>45413</v>
      </c>
      <c r="C71" s="239"/>
      <c r="D71" s="56"/>
      <c r="E71" s="56"/>
      <c r="F71" s="56"/>
      <c r="G71" s="56"/>
      <c r="H71" s="56"/>
      <c r="I71" s="56"/>
      <c r="J71" s="56"/>
    </row>
    <row r="72" spans="2:10" x14ac:dyDescent="0.35">
      <c r="B72" s="277">
        <v>45444</v>
      </c>
      <c r="C72" s="239"/>
      <c r="D72" s="56"/>
      <c r="E72" s="56"/>
      <c r="F72" s="56"/>
      <c r="G72" s="56"/>
      <c r="H72" s="56"/>
      <c r="I72" s="56"/>
      <c r="J72" s="56"/>
    </row>
    <row r="73" spans="2:10" x14ac:dyDescent="0.35">
      <c r="B73" s="277">
        <v>45474</v>
      </c>
      <c r="C73" s="239"/>
      <c r="D73" s="56"/>
      <c r="E73" s="56"/>
      <c r="F73" s="56"/>
      <c r="G73" s="56"/>
      <c r="H73" s="56"/>
      <c r="I73" s="56"/>
      <c r="J73" s="56"/>
    </row>
    <row r="74" spans="2:10" x14ac:dyDescent="0.35">
      <c r="B74" s="277">
        <v>45505</v>
      </c>
      <c r="C74" s="239"/>
      <c r="D74" s="56"/>
      <c r="E74" s="56"/>
      <c r="F74" s="56"/>
      <c r="G74" s="56"/>
      <c r="H74" s="56"/>
      <c r="I74" s="56"/>
      <c r="J74" s="56"/>
    </row>
    <row r="75" spans="2:10" x14ac:dyDescent="0.35">
      <c r="B75" s="277">
        <v>45536</v>
      </c>
      <c r="C75" s="239"/>
      <c r="D75" s="56"/>
      <c r="E75" s="56"/>
      <c r="F75" s="56"/>
      <c r="G75" s="56"/>
      <c r="H75" s="56"/>
      <c r="I75" s="56"/>
      <c r="J75" s="56"/>
    </row>
    <row r="76" spans="2:10" x14ac:dyDescent="0.35">
      <c r="B76" s="277">
        <v>45566</v>
      </c>
      <c r="C76" s="239"/>
      <c r="D76" s="56"/>
      <c r="E76" s="56"/>
      <c r="F76" s="56"/>
      <c r="G76" s="56"/>
      <c r="H76" s="56"/>
      <c r="I76" s="56"/>
      <c r="J76" s="56"/>
    </row>
    <row r="77" spans="2:10" x14ac:dyDescent="0.35">
      <c r="B77" s="277">
        <v>45597</v>
      </c>
      <c r="C77" s="239"/>
      <c r="D77" s="56"/>
      <c r="E77" s="56"/>
      <c r="F77" s="56"/>
      <c r="G77" s="56"/>
      <c r="H77" s="56"/>
      <c r="I77" s="56"/>
      <c r="J77" s="56"/>
    </row>
    <row r="78" spans="2:10" x14ac:dyDescent="0.35">
      <c r="B78" s="277">
        <v>45627</v>
      </c>
      <c r="C78" s="239"/>
      <c r="D78" s="56"/>
      <c r="E78" s="56"/>
      <c r="F78" s="56"/>
      <c r="G78" s="56"/>
      <c r="H78" s="56"/>
      <c r="I78" s="56"/>
      <c r="J78" s="56"/>
    </row>
    <row r="79" spans="2:10" x14ac:dyDescent="0.35">
      <c r="B79" s="277">
        <v>45658</v>
      </c>
      <c r="C79" s="239"/>
      <c r="D79" s="56"/>
      <c r="E79" s="56"/>
      <c r="F79" s="56"/>
      <c r="G79" s="56"/>
      <c r="H79" s="56"/>
      <c r="I79" s="56"/>
      <c r="J79" s="56"/>
    </row>
    <row r="80" spans="2:10" x14ac:dyDescent="0.35">
      <c r="B80" s="277">
        <v>45689</v>
      </c>
      <c r="C80" s="239"/>
      <c r="D80" s="56"/>
      <c r="E80" s="56"/>
      <c r="F80" s="56"/>
      <c r="G80" s="56"/>
      <c r="H80" s="56"/>
      <c r="I80" s="56"/>
      <c r="J80" s="56"/>
    </row>
    <row r="81" spans="2:10" x14ac:dyDescent="0.35">
      <c r="B81" s="277">
        <v>45717</v>
      </c>
      <c r="C81" s="239"/>
      <c r="D81" s="56"/>
      <c r="E81" s="56"/>
      <c r="F81" s="56"/>
      <c r="G81" s="56"/>
      <c r="H81" s="56"/>
      <c r="I81" s="56"/>
      <c r="J81" s="56"/>
    </row>
    <row r="82" spans="2:10" x14ac:dyDescent="0.35">
      <c r="B82" s="277">
        <v>45748</v>
      </c>
      <c r="C82" s="239"/>
      <c r="D82" s="56"/>
      <c r="E82" s="56"/>
      <c r="F82" s="56"/>
      <c r="G82" s="56"/>
      <c r="H82" s="56"/>
      <c r="I82" s="56"/>
      <c r="J82" s="56"/>
    </row>
    <row r="83" spans="2:10" x14ac:dyDescent="0.35">
      <c r="B83" s="277">
        <v>45778</v>
      </c>
      <c r="C83" s="239"/>
      <c r="D83" s="56"/>
      <c r="E83" s="56"/>
      <c r="F83" s="56"/>
      <c r="G83" s="56"/>
      <c r="H83" s="56"/>
      <c r="I83" s="56"/>
      <c r="J83" s="56"/>
    </row>
    <row r="84" spans="2:10" x14ac:dyDescent="0.35">
      <c r="B84" s="277">
        <v>45809</v>
      </c>
      <c r="C84" s="239"/>
      <c r="D84" s="56"/>
      <c r="E84" s="56"/>
      <c r="F84" s="56"/>
      <c r="G84" s="56"/>
      <c r="H84" s="56"/>
      <c r="I84" s="56"/>
      <c r="J84" s="56"/>
    </row>
    <row r="85" spans="2:10" x14ac:dyDescent="0.35">
      <c r="B85" s="277">
        <v>45839</v>
      </c>
      <c r="C85" s="239"/>
      <c r="D85" s="56"/>
      <c r="E85" s="56"/>
      <c r="F85" s="56"/>
      <c r="G85" s="56"/>
      <c r="H85" s="56"/>
      <c r="I85" s="56"/>
      <c r="J85" s="56"/>
    </row>
    <row r="86" spans="2:10" x14ac:dyDescent="0.35">
      <c r="B86" s="277">
        <v>45870</v>
      </c>
      <c r="C86" s="239"/>
      <c r="D86" s="56"/>
      <c r="E86" s="56"/>
      <c r="F86" s="56"/>
      <c r="G86" s="56"/>
      <c r="H86" s="56"/>
      <c r="I86" s="56"/>
      <c r="J86" s="56"/>
    </row>
    <row r="87" spans="2:10" x14ac:dyDescent="0.35">
      <c r="B87" s="277">
        <v>45901</v>
      </c>
      <c r="C87" s="239"/>
      <c r="D87" s="56"/>
      <c r="E87" s="56"/>
      <c r="F87" s="56"/>
      <c r="G87" s="56"/>
      <c r="H87" s="56"/>
      <c r="I87" s="56"/>
      <c r="J87" s="56"/>
    </row>
    <row r="88" spans="2:10" x14ac:dyDescent="0.35">
      <c r="B88" s="277">
        <v>45931</v>
      </c>
      <c r="C88" s="239"/>
      <c r="D88" s="56"/>
      <c r="E88" s="56"/>
      <c r="F88" s="56"/>
      <c r="G88" s="56"/>
      <c r="H88" s="56"/>
      <c r="I88" s="56"/>
      <c r="J88" s="56"/>
    </row>
    <row r="89" spans="2:10" x14ac:dyDescent="0.35">
      <c r="B89" s="277">
        <v>45962</v>
      </c>
      <c r="C89" s="239"/>
      <c r="D89" s="56"/>
      <c r="E89" s="56"/>
      <c r="F89" s="56"/>
      <c r="G89" s="56"/>
      <c r="H89" s="56"/>
      <c r="I89" s="56"/>
      <c r="J89" s="56"/>
    </row>
    <row r="90" spans="2:10" x14ac:dyDescent="0.35">
      <c r="B90" s="277">
        <v>45992</v>
      </c>
      <c r="C90" s="239"/>
      <c r="D90" s="56"/>
      <c r="E90" s="56"/>
      <c r="F90" s="56"/>
      <c r="G90" s="56"/>
      <c r="H90" s="56"/>
      <c r="I90" s="56"/>
      <c r="J90" s="56"/>
    </row>
    <row r="91" spans="2:10" x14ac:dyDescent="0.35">
      <c r="B91" s="277">
        <v>46023</v>
      </c>
      <c r="C91" s="239"/>
      <c r="D91" s="56"/>
      <c r="E91" s="56"/>
      <c r="F91" s="56"/>
      <c r="G91" s="56"/>
      <c r="H91" s="56"/>
      <c r="I91" s="56"/>
      <c r="J91" s="56"/>
    </row>
    <row r="92" spans="2:10" x14ac:dyDescent="0.35">
      <c r="B92" s="277">
        <v>46054</v>
      </c>
      <c r="C92" s="239"/>
      <c r="D92" s="56"/>
      <c r="E92" s="56"/>
      <c r="F92" s="56"/>
      <c r="G92" s="56"/>
      <c r="H92" s="56"/>
      <c r="I92" s="56"/>
      <c r="J92" s="56"/>
    </row>
    <row r="93" spans="2:10" x14ac:dyDescent="0.35">
      <c r="B93" s="277">
        <v>46082</v>
      </c>
      <c r="C93" s="239"/>
      <c r="D93" s="56"/>
      <c r="E93" s="56"/>
      <c r="F93" s="56"/>
      <c r="G93" s="56"/>
      <c r="H93" s="56"/>
      <c r="I93" s="56"/>
      <c r="J93" s="56"/>
    </row>
    <row r="94" spans="2:10" x14ac:dyDescent="0.35">
      <c r="B94" s="277">
        <v>46113</v>
      </c>
      <c r="C94" s="239"/>
      <c r="D94" s="56"/>
      <c r="E94" s="56"/>
      <c r="F94" s="56"/>
      <c r="G94" s="56"/>
      <c r="H94" s="56"/>
      <c r="I94" s="56"/>
      <c r="J94" s="56"/>
    </row>
    <row r="95" spans="2:10" x14ac:dyDescent="0.35">
      <c r="B95" s="277">
        <v>46143</v>
      </c>
      <c r="C95" s="239"/>
      <c r="D95" s="56"/>
      <c r="E95" s="56"/>
      <c r="F95" s="56"/>
      <c r="G95" s="56"/>
      <c r="H95" s="56"/>
      <c r="I95" s="56"/>
      <c r="J95" s="56"/>
    </row>
    <row r="96" spans="2:10" x14ac:dyDescent="0.35">
      <c r="B96" s="277">
        <v>46174</v>
      </c>
      <c r="C96" s="239"/>
      <c r="D96" s="56"/>
      <c r="E96" s="56"/>
      <c r="F96" s="56"/>
      <c r="G96" s="56"/>
      <c r="H96" s="56"/>
      <c r="I96" s="56"/>
      <c r="J96" s="56"/>
    </row>
    <row r="97" spans="2:10" x14ac:dyDescent="0.35">
      <c r="B97" s="277">
        <v>46204</v>
      </c>
      <c r="C97" s="239"/>
      <c r="D97" s="56"/>
      <c r="E97" s="56"/>
      <c r="F97" s="56"/>
      <c r="G97" s="56"/>
      <c r="H97" s="56"/>
      <c r="I97" s="56"/>
      <c r="J97" s="56"/>
    </row>
    <row r="98" spans="2:10" x14ac:dyDescent="0.35">
      <c r="B98" s="277">
        <v>46235</v>
      </c>
      <c r="C98" s="239"/>
      <c r="D98" s="56"/>
      <c r="E98" s="56"/>
      <c r="F98" s="56"/>
      <c r="G98" s="56"/>
      <c r="H98" s="56"/>
      <c r="I98" s="56"/>
      <c r="J98" s="56"/>
    </row>
    <row r="99" spans="2:10" x14ac:dyDescent="0.35">
      <c r="B99" s="277">
        <v>46266</v>
      </c>
      <c r="C99" s="239"/>
      <c r="D99" s="56"/>
      <c r="E99" s="56"/>
      <c r="F99" s="56"/>
      <c r="G99" s="56"/>
      <c r="H99" s="56"/>
      <c r="I99" s="56"/>
      <c r="J99" s="56"/>
    </row>
    <row r="100" spans="2:10" x14ac:dyDescent="0.35">
      <c r="B100" s="277">
        <v>46296</v>
      </c>
      <c r="C100" s="239"/>
      <c r="D100" s="56"/>
      <c r="E100" s="56"/>
      <c r="F100" s="56"/>
      <c r="G100" s="56"/>
      <c r="H100" s="56"/>
      <c r="I100" s="56"/>
      <c r="J100" s="56"/>
    </row>
    <row r="101" spans="2:10" x14ac:dyDescent="0.35">
      <c r="B101" s="277">
        <v>46327</v>
      </c>
      <c r="C101" s="239"/>
      <c r="D101" s="56"/>
      <c r="E101" s="56"/>
      <c r="F101" s="56"/>
      <c r="G101" s="56"/>
      <c r="H101" s="56"/>
      <c r="I101" s="56"/>
      <c r="J101" s="56"/>
    </row>
    <row r="102" spans="2:10" x14ac:dyDescent="0.35">
      <c r="B102" s="278">
        <v>46357</v>
      </c>
      <c r="C102" s="240"/>
      <c r="D102" s="56"/>
      <c r="E102" s="56"/>
      <c r="F102" s="56"/>
      <c r="G102" s="56"/>
      <c r="H102" s="56"/>
      <c r="I102" s="56"/>
      <c r="J102" s="56"/>
    </row>
  </sheetData>
  <mergeCells count="13">
    <mergeCell ref="B1:AC1"/>
    <mergeCell ref="B2:AC6"/>
    <mergeCell ref="E9:H9"/>
    <mergeCell ref="B8:C10"/>
    <mergeCell ref="I9:L9"/>
    <mergeCell ref="M9:P9"/>
    <mergeCell ref="AC9:AF9"/>
    <mergeCell ref="AC8:AN8"/>
    <mergeCell ref="D8:AB8"/>
    <mergeCell ref="AK9:AN9"/>
    <mergeCell ref="Q9:T9"/>
    <mergeCell ref="U9:X9"/>
    <mergeCell ref="AG9:AJ9"/>
  </mergeCells>
  <pageMargins left="0.7" right="0.7" top="0.75" bottom="0.75" header="0.3" footer="0.3"/>
  <pageSetup orientation="portrait"/>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AL100"/>
  <sheetViews>
    <sheetView zoomScale="90" zoomScaleNormal="90" workbookViewId="0">
      <selection activeCell="L34" sqref="L34"/>
    </sheetView>
  </sheetViews>
  <sheetFormatPr defaultColWidth="10.90625" defaultRowHeight="14.5" x14ac:dyDescent="0.35"/>
  <cols>
    <col min="2" max="2" width="52.453125" customWidth="1"/>
    <col min="3" max="4" width="11.453125" customWidth="1"/>
    <col min="5" max="5" width="12.81640625" customWidth="1"/>
    <col min="6" max="6" width="10.81640625" customWidth="1"/>
    <col min="7" max="7" width="11.453125" customWidth="1"/>
    <col min="8" max="8" width="12.1796875" customWidth="1"/>
    <col min="9" max="9" width="8.453125" customWidth="1"/>
    <col min="10" max="10" width="10.453125" customWidth="1"/>
    <col min="11" max="11" width="8.453125" customWidth="1"/>
    <col min="12" max="12" width="12.81640625" customWidth="1"/>
    <col min="13" max="13" width="20.453125" customWidth="1"/>
    <col min="14" max="20" width="9.453125" customWidth="1"/>
    <col min="21" max="25" width="10.81640625" customWidth="1"/>
    <col min="26" max="26" width="11.1796875" customWidth="1"/>
    <col min="27" max="32" width="9.453125" customWidth="1"/>
    <col min="33" max="36" width="8.453125" customWidth="1"/>
  </cols>
  <sheetData>
    <row r="1" spans="2:30" x14ac:dyDescent="0.35">
      <c r="B1" s="1318" t="s">
        <v>53</v>
      </c>
      <c r="C1" s="1318"/>
      <c r="D1" s="1318"/>
      <c r="E1" s="1318"/>
      <c r="F1" s="1318"/>
      <c r="G1" s="1318"/>
      <c r="H1" s="1318"/>
      <c r="I1" s="1318"/>
      <c r="J1" s="1318"/>
      <c r="K1" s="1318"/>
      <c r="L1" s="1318"/>
      <c r="M1" s="1318"/>
      <c r="N1" s="1318"/>
      <c r="O1" s="1318"/>
      <c r="P1" s="1318"/>
      <c r="Q1" s="1318"/>
      <c r="R1" s="1318"/>
      <c r="S1" s="1318"/>
      <c r="T1" s="1318"/>
      <c r="U1" s="1318"/>
      <c r="V1" s="1318"/>
      <c r="W1" s="1318"/>
      <c r="X1" s="1318"/>
      <c r="Y1" s="1318"/>
      <c r="Z1" s="1318"/>
      <c r="AA1" s="1318"/>
      <c r="AB1" s="1318"/>
      <c r="AC1" s="1318"/>
    </row>
    <row r="2" spans="2:30" ht="14.25" customHeight="1" x14ac:dyDescent="0.35">
      <c r="B2" s="1319" t="s">
        <v>277</v>
      </c>
      <c r="C2" s="1319"/>
      <c r="D2" s="1319"/>
      <c r="E2" s="1319"/>
      <c r="F2" s="1319"/>
      <c r="G2" s="1319"/>
      <c r="H2" s="1319"/>
      <c r="I2" s="1319"/>
      <c r="J2" s="1319"/>
      <c r="K2" s="1319"/>
      <c r="L2" s="1319"/>
      <c r="M2" s="1319"/>
      <c r="N2" s="1319"/>
      <c r="O2" s="1319"/>
      <c r="P2" s="1319"/>
      <c r="Q2" s="1319"/>
      <c r="R2" s="1319"/>
      <c r="S2" s="1319"/>
      <c r="T2" s="1319"/>
      <c r="U2" s="1319"/>
      <c r="V2" s="1319"/>
      <c r="W2" s="1319"/>
      <c r="X2" s="1319"/>
      <c r="Y2" s="1319"/>
      <c r="Z2" s="1319"/>
      <c r="AA2" s="1319"/>
      <c r="AB2" s="1319"/>
      <c r="AC2" s="1319"/>
    </row>
    <row r="3" spans="2:30" x14ac:dyDescent="0.35">
      <c r="B3" s="1319"/>
      <c r="C3" s="1319"/>
      <c r="D3" s="1319"/>
      <c r="E3" s="1319"/>
      <c r="F3" s="1319"/>
      <c r="G3" s="1319"/>
      <c r="H3" s="1319"/>
      <c r="I3" s="1319"/>
      <c r="J3" s="1319"/>
      <c r="K3" s="1319"/>
      <c r="L3" s="1319"/>
      <c r="M3" s="1319"/>
      <c r="N3" s="1319"/>
      <c r="O3" s="1319"/>
      <c r="P3" s="1319"/>
      <c r="Q3" s="1319"/>
      <c r="R3" s="1319"/>
      <c r="S3" s="1319"/>
      <c r="T3" s="1319"/>
      <c r="U3" s="1319"/>
      <c r="V3" s="1319"/>
      <c r="W3" s="1319"/>
      <c r="X3" s="1319"/>
      <c r="Y3" s="1319"/>
      <c r="Z3" s="1319"/>
      <c r="AA3" s="1319"/>
      <c r="AB3" s="1319"/>
      <c r="AC3" s="1319"/>
    </row>
    <row r="4" spans="2:30" x14ac:dyDescent="0.35">
      <c r="B4" s="1319"/>
      <c r="C4" s="1319"/>
      <c r="D4" s="1319"/>
      <c r="E4" s="1319"/>
      <c r="F4" s="1319"/>
      <c r="G4" s="1319"/>
      <c r="H4" s="1319"/>
      <c r="I4" s="1319"/>
      <c r="J4" s="1319"/>
      <c r="K4" s="1319"/>
      <c r="L4" s="1319"/>
      <c r="M4" s="1319"/>
      <c r="N4" s="1319"/>
      <c r="O4" s="1319"/>
      <c r="P4" s="1319"/>
      <c r="Q4" s="1319"/>
      <c r="R4" s="1319"/>
      <c r="S4" s="1319"/>
      <c r="T4" s="1319"/>
      <c r="U4" s="1319"/>
      <c r="V4" s="1319"/>
      <c r="W4" s="1319"/>
      <c r="X4" s="1319"/>
      <c r="Y4" s="1319"/>
      <c r="Z4" s="1319"/>
      <c r="AA4" s="1319"/>
      <c r="AB4" s="1319"/>
      <c r="AC4" s="1319"/>
    </row>
    <row r="5" spans="2:30" x14ac:dyDescent="0.35">
      <c r="B5" s="1319"/>
      <c r="C5" s="1319"/>
      <c r="D5" s="1319"/>
      <c r="E5" s="1319"/>
      <c r="F5" s="1319"/>
      <c r="G5" s="1319"/>
      <c r="H5" s="1319"/>
      <c r="I5" s="1319"/>
      <c r="J5" s="1319"/>
      <c r="K5" s="1319"/>
      <c r="L5" s="1319"/>
      <c r="M5" s="1319"/>
      <c r="N5" s="1319"/>
      <c r="O5" s="1319"/>
      <c r="P5" s="1319"/>
      <c r="Q5" s="1319"/>
      <c r="R5" s="1319"/>
      <c r="S5" s="1319"/>
      <c r="T5" s="1319"/>
      <c r="U5" s="1319"/>
      <c r="V5" s="1319"/>
      <c r="W5" s="1319"/>
      <c r="X5" s="1319"/>
      <c r="Y5" s="1319"/>
      <c r="Z5" s="1319"/>
      <c r="AA5" s="1319"/>
      <c r="AB5" s="1319"/>
      <c r="AC5" s="1319"/>
    </row>
    <row r="6" spans="2:30" ht="38.9" customHeight="1" x14ac:dyDescent="0.35">
      <c r="B6" s="1319"/>
      <c r="C6" s="1319"/>
      <c r="D6" s="1319"/>
      <c r="E6" s="1319"/>
      <c r="F6" s="1319"/>
      <c r="G6" s="1319"/>
      <c r="H6" s="1319"/>
      <c r="I6" s="1319"/>
      <c r="J6" s="1319"/>
      <c r="K6" s="1319"/>
      <c r="L6" s="1319"/>
      <c r="M6" s="1319"/>
      <c r="N6" s="1319"/>
      <c r="O6" s="1319"/>
      <c r="P6" s="1319"/>
      <c r="Q6" s="1319"/>
      <c r="R6" s="1319"/>
      <c r="S6" s="1319"/>
      <c r="T6" s="1319"/>
      <c r="U6" s="1319"/>
      <c r="V6" s="1319"/>
      <c r="W6" s="1319"/>
      <c r="X6" s="1319"/>
      <c r="Y6" s="1319"/>
      <c r="Z6" s="1319"/>
      <c r="AA6" s="1319"/>
      <c r="AB6" s="1319"/>
      <c r="AC6" s="1319"/>
    </row>
    <row r="7" spans="2:30" x14ac:dyDescent="0.35">
      <c r="B7" s="269"/>
      <c r="C7" s="269"/>
      <c r="D7" s="269"/>
      <c r="E7" s="269"/>
      <c r="F7" s="269"/>
      <c r="G7" s="269"/>
      <c r="H7" s="270"/>
      <c r="I7" s="270"/>
      <c r="J7" s="270"/>
      <c r="K7" s="270"/>
      <c r="L7" s="270"/>
      <c r="M7" s="270"/>
      <c r="N7" s="270"/>
      <c r="O7" s="270"/>
      <c r="P7" s="270"/>
      <c r="Q7" s="270"/>
      <c r="R7" s="270"/>
      <c r="S7" s="270"/>
      <c r="T7" s="270"/>
      <c r="U7" s="270"/>
      <c r="V7" s="270"/>
      <c r="W7" s="270"/>
      <c r="X7" s="270"/>
      <c r="Y7" s="270"/>
    </row>
    <row r="8" spans="2:30" ht="14.9" customHeight="1" x14ac:dyDescent="0.35">
      <c r="B8" s="1323" t="s">
        <v>278</v>
      </c>
      <c r="C8" s="1324"/>
      <c r="D8" s="1336" t="s">
        <v>279</v>
      </c>
      <c r="E8" s="1337"/>
      <c r="F8" s="1337"/>
      <c r="G8" s="1337"/>
      <c r="H8" s="1337"/>
      <c r="I8" s="1337"/>
      <c r="J8" s="1337"/>
      <c r="K8" s="1337"/>
      <c r="L8" s="1337"/>
      <c r="M8" s="1337"/>
      <c r="N8" s="1337"/>
      <c r="O8" s="1337"/>
      <c r="P8" s="1337"/>
      <c r="Q8" s="1337"/>
      <c r="R8" s="1337"/>
      <c r="S8" s="1337"/>
      <c r="T8" s="1338"/>
      <c r="U8" s="1339" t="s">
        <v>280</v>
      </c>
      <c r="V8" s="1340"/>
      <c r="W8" s="1340"/>
      <c r="X8" s="1340"/>
      <c r="Y8" s="1340"/>
      <c r="Z8" s="1340"/>
      <c r="AA8" s="1340"/>
      <c r="AB8" s="1340"/>
      <c r="AC8" s="1341"/>
    </row>
    <row r="9" spans="2:30" ht="12.75" customHeight="1" x14ac:dyDescent="0.35">
      <c r="B9" s="1325"/>
      <c r="C9" s="1326"/>
      <c r="D9" s="296">
        <v>2018</v>
      </c>
      <c r="E9" s="1342">
        <v>2019</v>
      </c>
      <c r="F9" s="1343"/>
      <c r="G9" s="1343"/>
      <c r="H9" s="1344"/>
      <c r="I9" s="1343">
        <v>2020</v>
      </c>
      <c r="J9" s="1343"/>
      <c r="K9" s="1343"/>
      <c r="L9" s="1343"/>
      <c r="M9" s="1342">
        <v>2021</v>
      </c>
      <c r="N9" s="1343"/>
      <c r="O9" s="1343"/>
      <c r="P9" s="1343"/>
      <c r="Q9" s="1345">
        <v>2022</v>
      </c>
      <c r="R9" s="1346"/>
      <c r="S9" s="302"/>
      <c r="T9" s="309"/>
      <c r="U9" s="1330">
        <v>2023</v>
      </c>
      <c r="V9" s="1335"/>
      <c r="W9" s="1335"/>
      <c r="X9" s="1334"/>
      <c r="Y9" s="1329">
        <v>2024</v>
      </c>
      <c r="Z9" s="1335"/>
      <c r="AA9" s="1335"/>
      <c r="AB9" s="1335"/>
      <c r="AC9" s="304">
        <v>2025</v>
      </c>
    </row>
    <row r="10" spans="2:30" ht="14.9" customHeight="1" x14ac:dyDescent="0.35">
      <c r="B10" s="1325"/>
      <c r="C10" s="1326"/>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32" t="s">
        <v>281</v>
      </c>
      <c r="U10" s="273" t="s">
        <v>282</v>
      </c>
      <c r="V10" s="273" t="s">
        <v>283</v>
      </c>
      <c r="W10" s="273" t="s">
        <v>238</v>
      </c>
      <c r="X10" s="301" t="s">
        <v>281</v>
      </c>
      <c r="Y10" s="299" t="s">
        <v>282</v>
      </c>
      <c r="Z10" s="271" t="s">
        <v>283</v>
      </c>
      <c r="AA10" s="273" t="s">
        <v>238</v>
      </c>
      <c r="AB10" s="273" t="s">
        <v>281</v>
      </c>
      <c r="AC10" s="305" t="s">
        <v>282</v>
      </c>
    </row>
    <row r="11" spans="2:30" x14ac:dyDescent="0.35">
      <c r="B11" s="258" t="s">
        <v>102</v>
      </c>
      <c r="C11" s="274" t="s">
        <v>284</v>
      </c>
      <c r="D11" s="260">
        <f>'Haver Pivoted'!GO14</f>
        <v>27.1</v>
      </c>
      <c r="E11" s="320">
        <f>'Haver Pivoted'!GP14</f>
        <v>29.6</v>
      </c>
      <c r="F11" s="320">
        <f>'Haver Pivoted'!GQ14</f>
        <v>27.3</v>
      </c>
      <c r="G11" s="320">
        <f>'Haver Pivoted'!GR14</f>
        <v>26.4</v>
      </c>
      <c r="H11" s="320">
        <f>'Haver Pivoted'!GS14</f>
        <v>26.7</v>
      </c>
      <c r="I11" s="320">
        <f>'Haver Pivoted'!GT14</f>
        <v>40.1</v>
      </c>
      <c r="J11" s="320">
        <f>'Haver Pivoted'!GU14</f>
        <v>951.5</v>
      </c>
      <c r="K11" s="320">
        <f>'Haver Pivoted'!GV14</f>
        <v>800</v>
      </c>
      <c r="L11" s="320">
        <f>'Haver Pivoted'!GW14</f>
        <v>322.7</v>
      </c>
      <c r="M11" s="320">
        <f>'Haver Pivoted'!GX14</f>
        <v>583.79999999999995</v>
      </c>
      <c r="N11" s="320">
        <f>'Haver Pivoted'!GY14</f>
        <v>440.8</v>
      </c>
      <c r="O11" s="320">
        <f>'Haver Pivoted'!GZ14</f>
        <v>212.8</v>
      </c>
      <c r="P11" s="320">
        <f>'Haver Pivoted'!HA14</f>
        <v>31.8</v>
      </c>
      <c r="Q11" s="320">
        <f>'Haver Pivoted'!HB14</f>
        <v>24.5</v>
      </c>
      <c r="R11" s="320">
        <f>'Haver Pivoted'!HC14</f>
        <v>21.7</v>
      </c>
      <c r="S11" s="300">
        <f>'Haver Pivoted'!HD14</f>
        <v>23.1</v>
      </c>
      <c r="T11" s="298">
        <f>'Haver Pivoted'!HE14</f>
        <v>25.9</v>
      </c>
      <c r="U11" s="298">
        <f>'Haver Pivoted'!HF14</f>
        <v>30.1</v>
      </c>
      <c r="V11" s="279">
        <f t="shared" ref="V11:AC11" si="0">V12+V13+V20</f>
        <v>39.551400000000001</v>
      </c>
      <c r="W11" s="279">
        <f t="shared" si="0"/>
        <v>42.131399999999999</v>
      </c>
      <c r="X11" s="279">
        <f t="shared" si="0"/>
        <v>43.980399999999996</v>
      </c>
      <c r="Y11" s="279">
        <f t="shared" si="0"/>
        <v>43.851399999999998</v>
      </c>
      <c r="Z11" s="279">
        <f t="shared" si="0"/>
        <v>42.509799999999991</v>
      </c>
      <c r="AA11" s="279">
        <f t="shared" si="0"/>
        <v>41.787399999999991</v>
      </c>
      <c r="AB11" s="279">
        <f t="shared" si="0"/>
        <v>41.271399999999993</v>
      </c>
      <c r="AC11" s="308">
        <f t="shared" si="0"/>
        <v>41.073599999999992</v>
      </c>
      <c r="AD11" s="249" t="s">
        <v>285</v>
      </c>
    </row>
    <row r="12" spans="2:30" x14ac:dyDescent="0.35">
      <c r="B12" s="268" t="s">
        <v>286</v>
      </c>
      <c r="C12" s="261" t="s">
        <v>287</v>
      </c>
      <c r="D12" s="276">
        <f>'Haver Pivoted'!GO63</f>
        <v>0</v>
      </c>
      <c r="E12" s="233">
        <f>'Haver Pivoted'!GP63</f>
        <v>0</v>
      </c>
      <c r="F12" s="233">
        <f>'Haver Pivoted'!GQ63</f>
        <v>0</v>
      </c>
      <c r="G12" s="233">
        <f>'Haver Pivoted'!GR63</f>
        <v>0</v>
      </c>
      <c r="H12" s="233">
        <f>'Haver Pivoted'!GS63</f>
        <v>0</v>
      </c>
      <c r="I12" s="233">
        <f>'Haver Pivoted'!GT63</f>
        <v>0</v>
      </c>
      <c r="J12" s="233">
        <f>'Haver Pivoted'!GU63</f>
        <v>0.1</v>
      </c>
      <c r="K12" s="233">
        <f>'Haver Pivoted'!GV63</f>
        <v>3.7</v>
      </c>
      <c r="L12" s="233">
        <f>'Haver Pivoted'!GW63</f>
        <v>12.9</v>
      </c>
      <c r="M12" s="233">
        <f>'Haver Pivoted'!GX63</f>
        <v>25.5</v>
      </c>
      <c r="N12" s="233">
        <f>'Haver Pivoted'!GY63</f>
        <v>3.8</v>
      </c>
      <c r="O12" s="233">
        <f>'Haver Pivoted'!GZ63</f>
        <v>1.8</v>
      </c>
      <c r="P12" s="233">
        <f>'Haver Pivoted'!HA63</f>
        <v>0.6</v>
      </c>
      <c r="Q12" s="233">
        <f>'Haver Pivoted'!HB63</f>
        <v>0.2</v>
      </c>
      <c r="R12" s="233">
        <f>'Haver Pivoted'!HC63</f>
        <v>0.1</v>
      </c>
      <c r="S12" s="226">
        <f>'Haver Pivoted'!HD63</f>
        <v>0</v>
      </c>
      <c r="T12" s="232">
        <f>'Haver Pivoted'!HE63</f>
        <v>0</v>
      </c>
      <c r="U12" s="232">
        <f>'Haver Pivoted'!HF63</f>
        <v>0</v>
      </c>
      <c r="V12" s="235">
        <f>U12*V23/U23</f>
        <v>0</v>
      </c>
      <c r="W12" s="235">
        <f t="shared" ref="W12:AB12" si="1">V12*W23/V23</f>
        <v>0</v>
      </c>
      <c r="X12" s="235">
        <f t="shared" si="1"/>
        <v>0</v>
      </c>
      <c r="Y12" s="235">
        <f t="shared" si="1"/>
        <v>0</v>
      </c>
      <c r="Z12" s="235">
        <f t="shared" si="1"/>
        <v>0</v>
      </c>
      <c r="AA12" s="235">
        <f t="shared" si="1"/>
        <v>0</v>
      </c>
      <c r="AB12" s="235">
        <f t="shared" si="1"/>
        <v>0</v>
      </c>
      <c r="AC12" s="314">
        <f>AB12*AC23/AB23</f>
        <v>0</v>
      </c>
    </row>
    <row r="13" spans="2:30" x14ac:dyDescent="0.35">
      <c r="B13" s="268" t="s">
        <v>288</v>
      </c>
      <c r="C13" s="261"/>
      <c r="D13" s="276"/>
      <c r="E13" s="233"/>
      <c r="F13" s="233"/>
      <c r="G13" s="233"/>
      <c r="H13" s="241">
        <f>SUM(H14:H17)</f>
        <v>0</v>
      </c>
      <c r="I13" s="241">
        <f t="shared" ref="I13:M13" si="2">SUM(I14:I17)</f>
        <v>0</v>
      </c>
      <c r="J13" s="241">
        <f t="shared" si="2"/>
        <v>779.7</v>
      </c>
      <c r="K13" s="241">
        <f t="shared" si="2"/>
        <v>582.6</v>
      </c>
      <c r="L13" s="241">
        <f t="shared" si="2"/>
        <v>216.5</v>
      </c>
      <c r="M13" s="241">
        <f t="shared" si="2"/>
        <v>497.6</v>
      </c>
      <c r="N13" s="246">
        <f>SUM(N14:N17)</f>
        <v>401.5</v>
      </c>
      <c r="O13" s="246">
        <f t="shared" ref="O13:AC13" si="3">SUM(O14:O17)</f>
        <v>207.4</v>
      </c>
      <c r="P13" s="246">
        <f t="shared" si="3"/>
        <v>5.5</v>
      </c>
      <c r="Q13" s="246">
        <v>0</v>
      </c>
      <c r="R13" s="246">
        <f t="shared" si="3"/>
        <v>1</v>
      </c>
      <c r="S13" s="306">
        <f t="shared" si="3"/>
        <v>0.5</v>
      </c>
      <c r="T13" s="315">
        <f t="shared" si="3"/>
        <v>0.30000000000000004</v>
      </c>
      <c r="U13" s="315">
        <f t="shared" si="3"/>
        <v>0</v>
      </c>
      <c r="V13" s="235">
        <f t="shared" si="3"/>
        <v>0</v>
      </c>
      <c r="W13" s="235">
        <f t="shared" si="3"/>
        <v>0</v>
      </c>
      <c r="X13" s="235">
        <f t="shared" si="3"/>
        <v>0</v>
      </c>
      <c r="Y13" s="235">
        <f t="shared" si="3"/>
        <v>0</v>
      </c>
      <c r="Z13" s="235">
        <f t="shared" si="3"/>
        <v>0</v>
      </c>
      <c r="AA13" s="235">
        <f t="shared" si="3"/>
        <v>0</v>
      </c>
      <c r="AB13" s="235">
        <f t="shared" si="3"/>
        <v>0</v>
      </c>
      <c r="AC13" s="314">
        <f t="shared" si="3"/>
        <v>0</v>
      </c>
    </row>
    <row r="14" spans="2:30" ht="18" customHeight="1" x14ac:dyDescent="0.35">
      <c r="B14" s="254" t="s">
        <v>289</v>
      </c>
      <c r="C14" s="255" t="s">
        <v>287</v>
      </c>
      <c r="D14" s="275">
        <f>'Haver Pivoted'!GO63</f>
        <v>0</v>
      </c>
      <c r="E14" s="245">
        <f>'Haver Pivoted'!GP63</f>
        <v>0</v>
      </c>
      <c r="F14" s="245">
        <f>'Haver Pivoted'!GQ63</f>
        <v>0</v>
      </c>
      <c r="G14" s="245">
        <f>'Haver Pivoted'!GR63</f>
        <v>0</v>
      </c>
      <c r="H14" s="245">
        <f>'Haver Pivoted'!GS63</f>
        <v>0</v>
      </c>
      <c r="I14" s="245">
        <f>'Haver Pivoted'!GT63</f>
        <v>0</v>
      </c>
      <c r="J14" s="245">
        <f>'Haver Pivoted'!GU63</f>
        <v>0.1</v>
      </c>
      <c r="K14" s="245">
        <f>'Haver Pivoted'!GV63</f>
        <v>3.7</v>
      </c>
      <c r="L14" s="245">
        <f>'Haver Pivoted'!GW63</f>
        <v>12.9</v>
      </c>
      <c r="M14" s="245">
        <f>'Haver Pivoted'!GX63</f>
        <v>25.5</v>
      </c>
      <c r="N14" s="245">
        <f>'Haver Pivoted'!GY63</f>
        <v>3.8</v>
      </c>
      <c r="O14" s="245">
        <f>'Haver Pivoted'!GZ63</f>
        <v>1.8</v>
      </c>
      <c r="P14" s="245">
        <f>'Haver Pivoted'!HA63</f>
        <v>0.6</v>
      </c>
      <c r="Q14" s="245">
        <f>'Haver Pivoted'!HB63</f>
        <v>0.2</v>
      </c>
      <c r="R14" s="245">
        <f>'Haver Pivoted'!HC63</f>
        <v>0.1</v>
      </c>
      <c r="S14" s="247">
        <f>'Haver Pivoted'!HD63</f>
        <v>0</v>
      </c>
      <c r="T14" s="313">
        <f>'Haver Pivoted'!HE63</f>
        <v>0</v>
      </c>
      <c r="U14" s="313">
        <f>'Haver Pivoted'!HF63</f>
        <v>0</v>
      </c>
      <c r="V14" s="235">
        <f t="shared" ref="V14:X14" si="4">V12</f>
        <v>0</v>
      </c>
      <c r="W14" s="235">
        <f t="shared" si="4"/>
        <v>0</v>
      </c>
      <c r="X14" s="235">
        <f t="shared" si="4"/>
        <v>0</v>
      </c>
      <c r="Y14" s="235">
        <f>Y12</f>
        <v>0</v>
      </c>
      <c r="Z14" s="235">
        <f t="shared" ref="Z14:AC14" si="5">Z12</f>
        <v>0</v>
      </c>
      <c r="AA14" s="235">
        <f t="shared" si="5"/>
        <v>0</v>
      </c>
      <c r="AB14" s="235">
        <f t="shared" si="5"/>
        <v>0</v>
      </c>
      <c r="AC14" s="314">
        <f t="shared" si="5"/>
        <v>0</v>
      </c>
    </row>
    <row r="15" spans="2:30" ht="18" customHeight="1" x14ac:dyDescent="0.35">
      <c r="B15" s="254" t="s">
        <v>290</v>
      </c>
      <c r="C15" s="255" t="s">
        <v>291</v>
      </c>
      <c r="D15" s="275">
        <f>'Haver Pivoted'!GO59</f>
        <v>0</v>
      </c>
      <c r="E15" s="245">
        <f>'Haver Pivoted'!GP59</f>
        <v>0</v>
      </c>
      <c r="F15" s="245">
        <f>'Haver Pivoted'!GQ59</f>
        <v>0</v>
      </c>
      <c r="G15" s="245">
        <f>'Haver Pivoted'!GR59</f>
        <v>0</v>
      </c>
      <c r="H15" s="245">
        <f>'Haver Pivoted'!GS59</f>
        <v>0</v>
      </c>
      <c r="I15" s="245">
        <f>'Haver Pivoted'!GT59</f>
        <v>0</v>
      </c>
      <c r="J15" s="245">
        <f>'Haver Pivoted'!GU59</f>
        <v>6.3</v>
      </c>
      <c r="K15" s="245">
        <f>'Haver Pivoted'!GV59</f>
        <v>26.7</v>
      </c>
      <c r="L15" s="245">
        <f>'Haver Pivoted'!GW59</f>
        <v>82.1</v>
      </c>
      <c r="M15" s="245">
        <f>'Haver Pivoted'!GX59</f>
        <v>94.7</v>
      </c>
      <c r="N15" s="245">
        <f>'Haver Pivoted'!GY59</f>
        <v>92.1</v>
      </c>
      <c r="O15" s="245">
        <f>'Haver Pivoted'!GZ59</f>
        <v>51.6</v>
      </c>
      <c r="P15" s="245">
        <f>'Haver Pivoted'!HA59</f>
        <v>2.8</v>
      </c>
      <c r="Q15" s="245">
        <f>'Haver Pivoted'!HB59</f>
        <v>0.8</v>
      </c>
      <c r="R15" s="245">
        <f>'Haver Pivoted'!HC59</f>
        <v>0.5</v>
      </c>
      <c r="S15" s="247">
        <f>'Haver Pivoted'!HD59</f>
        <v>0.3</v>
      </c>
      <c r="T15" s="313">
        <f>'Haver Pivoted'!HE59</f>
        <v>0.2</v>
      </c>
      <c r="U15" s="313">
        <f>'Haver Pivoted'!HF59</f>
        <v>0</v>
      </c>
      <c r="V15" s="235">
        <f t="shared" ref="V15:AB17" si="6">U15*V$23/U$23</f>
        <v>0</v>
      </c>
      <c r="W15" s="235">
        <f t="shared" si="6"/>
        <v>0</v>
      </c>
      <c r="X15" s="235">
        <f t="shared" si="6"/>
        <v>0</v>
      </c>
      <c r="Y15" s="235">
        <f t="shared" si="6"/>
        <v>0</v>
      </c>
      <c r="Z15" s="235">
        <f t="shared" si="6"/>
        <v>0</v>
      </c>
      <c r="AA15" s="235">
        <f t="shared" si="6"/>
        <v>0</v>
      </c>
      <c r="AB15" s="235">
        <f t="shared" si="6"/>
        <v>0</v>
      </c>
      <c r="AC15" s="314">
        <f>AB15*AC$23/AB$23</f>
        <v>0</v>
      </c>
    </row>
    <row r="16" spans="2:30" ht="18" customHeight="1" x14ac:dyDescent="0.35">
      <c r="B16" s="254" t="s">
        <v>292</v>
      </c>
      <c r="C16" s="255" t="s">
        <v>293</v>
      </c>
      <c r="D16" s="275">
        <f>'Haver Pivoted'!GO60</f>
        <v>0</v>
      </c>
      <c r="E16" s="245">
        <f>'Haver Pivoted'!GP60</f>
        <v>0</v>
      </c>
      <c r="F16" s="245">
        <f>'Haver Pivoted'!GQ60</f>
        <v>0</v>
      </c>
      <c r="G16" s="245">
        <f>'Haver Pivoted'!GR60</f>
        <v>0</v>
      </c>
      <c r="H16" s="245">
        <f>'Haver Pivoted'!GS60</f>
        <v>0</v>
      </c>
      <c r="I16" s="245">
        <f>'Haver Pivoted'!GT60</f>
        <v>0</v>
      </c>
      <c r="J16" s="245">
        <f>'Haver Pivoted'!GU60</f>
        <v>74.400000000000006</v>
      </c>
      <c r="K16" s="245">
        <f>'Haver Pivoted'!GV60</f>
        <v>138.30000000000001</v>
      </c>
      <c r="L16" s="245">
        <f>'Haver Pivoted'!GW60</f>
        <v>106.8</v>
      </c>
      <c r="M16" s="245">
        <f>'Haver Pivoted'!GX60</f>
        <v>89.2</v>
      </c>
      <c r="N16" s="245">
        <f>'Haver Pivoted'!GY60</f>
        <v>72.3</v>
      </c>
      <c r="O16" s="245">
        <f>'Haver Pivoted'!GZ60</f>
        <v>43.5</v>
      </c>
      <c r="P16" s="245">
        <f>'Haver Pivoted'!HA60</f>
        <v>2.1</v>
      </c>
      <c r="Q16" s="245">
        <f>'Haver Pivoted'!HB60</f>
        <v>0.8</v>
      </c>
      <c r="R16" s="245">
        <f>'Haver Pivoted'!HC60</f>
        <v>0.4</v>
      </c>
      <c r="S16" s="247">
        <f>'Haver Pivoted'!HD60</f>
        <v>0.2</v>
      </c>
      <c r="T16" s="313">
        <f>'Haver Pivoted'!HE60</f>
        <v>0.1</v>
      </c>
      <c r="U16" s="313">
        <f>'Haver Pivoted'!HF60</f>
        <v>0</v>
      </c>
      <c r="V16" s="235">
        <f t="shared" si="6"/>
        <v>0</v>
      </c>
      <c r="W16" s="235">
        <f t="shared" si="6"/>
        <v>0</v>
      </c>
      <c r="X16" s="235">
        <f t="shared" si="6"/>
        <v>0</v>
      </c>
      <c r="Y16" s="235">
        <f t="shared" si="6"/>
        <v>0</v>
      </c>
      <c r="Z16" s="235">
        <f t="shared" si="6"/>
        <v>0</v>
      </c>
      <c r="AA16" s="235">
        <f t="shared" si="6"/>
        <v>0</v>
      </c>
      <c r="AB16" s="235">
        <f t="shared" si="6"/>
        <v>0</v>
      </c>
      <c r="AC16" s="314">
        <f>AB16*AC$23/AB$23</f>
        <v>0</v>
      </c>
    </row>
    <row r="17" spans="1:32" ht="18" customHeight="1" x14ac:dyDescent="0.35">
      <c r="B17" s="254" t="s">
        <v>294</v>
      </c>
      <c r="C17" s="255" t="s">
        <v>295</v>
      </c>
      <c r="D17" s="275">
        <f>'Haver Pivoted'!GO61</f>
        <v>0</v>
      </c>
      <c r="E17" s="245">
        <f>'Haver Pivoted'!GP61</f>
        <v>0</v>
      </c>
      <c r="F17" s="245">
        <f>'Haver Pivoted'!GQ61</f>
        <v>0</v>
      </c>
      <c r="G17" s="245">
        <f>'Haver Pivoted'!GR61</f>
        <v>0</v>
      </c>
      <c r="H17" s="245">
        <f>'Haver Pivoted'!GS61</f>
        <v>0</v>
      </c>
      <c r="I17" s="245">
        <f>'Haver Pivoted'!GT61</f>
        <v>0</v>
      </c>
      <c r="J17" s="245">
        <f>'Haver Pivoted'!GU61</f>
        <v>698.9</v>
      </c>
      <c r="K17" s="245">
        <f>'Haver Pivoted'!GV61</f>
        <v>413.9</v>
      </c>
      <c r="L17" s="245">
        <f>'Haver Pivoted'!GW61</f>
        <v>14.7</v>
      </c>
      <c r="M17" s="245">
        <f>'Haver Pivoted'!GX61</f>
        <v>288.2</v>
      </c>
      <c r="N17" s="245">
        <f>'Haver Pivoted'!GY61</f>
        <v>233.3</v>
      </c>
      <c r="O17" s="245">
        <f>'Haver Pivoted'!GZ61</f>
        <v>110.5</v>
      </c>
      <c r="P17" s="245">
        <f>'Haver Pivoted'!HA61</f>
        <v>0</v>
      </c>
      <c r="Q17" s="245">
        <f>'Haver Pivoted'!HB61</f>
        <v>0</v>
      </c>
      <c r="R17" s="245">
        <f>'Haver Pivoted'!HC61</f>
        <v>0</v>
      </c>
      <c r="S17" s="247">
        <f>'Haver Pivoted'!HD61</f>
        <v>0</v>
      </c>
      <c r="T17" s="313">
        <f>'Haver Pivoted'!HE61</f>
        <v>0</v>
      </c>
      <c r="U17" s="313">
        <f>'Haver Pivoted'!HF61</f>
        <v>0</v>
      </c>
      <c r="V17" s="235">
        <f t="shared" si="6"/>
        <v>0</v>
      </c>
      <c r="W17" s="235">
        <f t="shared" si="6"/>
        <v>0</v>
      </c>
      <c r="X17" s="235">
        <f t="shared" si="6"/>
        <v>0</v>
      </c>
      <c r="Y17" s="235">
        <f t="shared" si="6"/>
        <v>0</v>
      </c>
      <c r="Z17" s="235">
        <f t="shared" si="6"/>
        <v>0</v>
      </c>
      <c r="AA17" s="235">
        <f t="shared" si="6"/>
        <v>0</v>
      </c>
      <c r="AB17" s="235">
        <f t="shared" si="6"/>
        <v>0</v>
      </c>
      <c r="AC17" s="314">
        <f>AB17*AC$23/AB$23</f>
        <v>0</v>
      </c>
    </row>
    <row r="18" spans="1:32" x14ac:dyDescent="0.35">
      <c r="B18" s="256" t="s">
        <v>158</v>
      </c>
      <c r="C18" s="249" t="s">
        <v>296</v>
      </c>
      <c r="D18" s="276">
        <f>'Haver Pivoted'!GO64</f>
        <v>0</v>
      </c>
      <c r="E18" s="233">
        <f>'Haver Pivoted'!GP64</f>
        <v>0</v>
      </c>
      <c r="F18" s="233">
        <f>'Haver Pivoted'!GQ64</f>
        <v>0</v>
      </c>
      <c r="G18" s="233">
        <f>'Haver Pivoted'!GR64</f>
        <v>0</v>
      </c>
      <c r="H18" s="233">
        <f>'Haver Pivoted'!GS64</f>
        <v>0</v>
      </c>
      <c r="I18" s="233">
        <f>'Haver Pivoted'!GT64</f>
        <v>0</v>
      </c>
      <c r="J18" s="233">
        <f>'Haver Pivoted'!GU64</f>
        <v>0</v>
      </c>
      <c r="K18" s="233">
        <f>'Haver Pivoted'!GV64</f>
        <v>106.2</v>
      </c>
      <c r="L18" s="233">
        <f>'Haver Pivoted'!GW64</f>
        <v>35.9</v>
      </c>
      <c r="M18" s="233">
        <f>'Haver Pivoted'!GX64</f>
        <v>1.6</v>
      </c>
      <c r="N18" s="233">
        <f>'Haver Pivoted'!GY64</f>
        <v>0.6</v>
      </c>
      <c r="O18" s="233">
        <f>'Haver Pivoted'!GZ64</f>
        <v>0.1</v>
      </c>
      <c r="P18" s="233">
        <f>'Haver Pivoted'!HA64</f>
        <v>0</v>
      </c>
      <c r="Q18" s="245">
        <f>'Haver Pivoted'!HB64</f>
        <v>0</v>
      </c>
      <c r="R18" s="245">
        <f>'Haver Pivoted'!HC64</f>
        <v>0</v>
      </c>
      <c r="S18" s="247">
        <f>'Haver Pivoted'!HD64</f>
        <v>0</v>
      </c>
      <c r="T18" s="313">
        <f>'Haver Pivoted'!HE64</f>
        <v>0</v>
      </c>
      <c r="U18" s="313">
        <f>'Haver Pivoted'!HF64</f>
        <v>0</v>
      </c>
      <c r="V18" s="235"/>
      <c r="W18" s="235"/>
      <c r="X18" s="235"/>
      <c r="Y18" s="235"/>
      <c r="Z18" s="235"/>
      <c r="AA18" s="235"/>
      <c r="AB18" s="235"/>
      <c r="AC18" s="314"/>
    </row>
    <row r="19" spans="1:32" ht="14.9" customHeight="1" x14ac:dyDescent="0.35">
      <c r="B19" s="272" t="s">
        <v>297</v>
      </c>
      <c r="C19" s="262"/>
      <c r="D19" s="266">
        <f t="shared" ref="D19:N19" si="7">D11-D20</f>
        <v>0</v>
      </c>
      <c r="E19" s="243">
        <f t="shared" si="7"/>
        <v>0</v>
      </c>
      <c r="F19" s="243">
        <f t="shared" si="7"/>
        <v>0</v>
      </c>
      <c r="G19" s="243">
        <f t="shared" si="7"/>
        <v>0</v>
      </c>
      <c r="H19" s="243">
        <f t="shared" si="7"/>
        <v>0</v>
      </c>
      <c r="I19" s="243">
        <f t="shared" si="7"/>
        <v>0</v>
      </c>
      <c r="J19" s="243">
        <f t="shared" si="7"/>
        <v>779.80000000000007</v>
      </c>
      <c r="K19" s="243">
        <f t="shared" si="7"/>
        <v>586.29999999999995</v>
      </c>
      <c r="L19" s="243">
        <f t="shared" si="7"/>
        <v>229.4</v>
      </c>
      <c r="M19" s="243">
        <f t="shared" si="7"/>
        <v>523.1</v>
      </c>
      <c r="N19" s="244">
        <f t="shared" si="7"/>
        <v>405.3</v>
      </c>
      <c r="O19" s="244">
        <f>O11-O20</f>
        <v>209.20000000000002</v>
      </c>
      <c r="P19" s="244">
        <f t="shared" ref="P19" si="8">P11-P20</f>
        <v>6.1000000000000014</v>
      </c>
      <c r="Q19" s="244">
        <f>Q11-Q20</f>
        <v>0.19999999999999929</v>
      </c>
      <c r="R19" s="244">
        <f>R11-R20</f>
        <v>1.1000000000000014</v>
      </c>
      <c r="S19" s="307">
        <f>S11-S20</f>
        <v>0.5</v>
      </c>
      <c r="T19" s="312">
        <f>T11-T20</f>
        <v>0.30000000000000071</v>
      </c>
      <c r="U19" s="312">
        <f>U11-U20</f>
        <v>0</v>
      </c>
      <c r="V19" s="248">
        <f t="shared" ref="V19:AC19" si="9">V11-V20</f>
        <v>0</v>
      </c>
      <c r="W19" s="248">
        <f t="shared" si="9"/>
        <v>0</v>
      </c>
      <c r="X19" s="248">
        <f t="shared" si="9"/>
        <v>0</v>
      </c>
      <c r="Y19" s="248">
        <f t="shared" si="9"/>
        <v>0</v>
      </c>
      <c r="Z19" s="248">
        <f t="shared" si="9"/>
        <v>0</v>
      </c>
      <c r="AA19" s="248">
        <f t="shared" si="9"/>
        <v>0</v>
      </c>
      <c r="AB19" s="248">
        <f t="shared" si="9"/>
        <v>0</v>
      </c>
      <c r="AC19" s="248">
        <f t="shared" si="9"/>
        <v>0</v>
      </c>
    </row>
    <row r="20" spans="1:32" ht="14.9" customHeight="1" x14ac:dyDescent="0.35">
      <c r="B20" s="272" t="s">
        <v>298</v>
      </c>
      <c r="C20" s="262"/>
      <c r="D20" s="266">
        <f t="shared" ref="D20:H20" si="10">D11</f>
        <v>27.1</v>
      </c>
      <c r="E20" s="243">
        <f t="shared" si="10"/>
        <v>29.6</v>
      </c>
      <c r="F20" s="243">
        <f t="shared" si="10"/>
        <v>27.3</v>
      </c>
      <c r="G20" s="243">
        <f t="shared" si="10"/>
        <v>26.4</v>
      </c>
      <c r="H20" s="243">
        <f t="shared" si="10"/>
        <v>26.7</v>
      </c>
      <c r="I20" s="243">
        <f>I11</f>
        <v>40.1</v>
      </c>
      <c r="J20" s="243">
        <f>J11-J13-J12</f>
        <v>171.69999999999996</v>
      </c>
      <c r="K20" s="243">
        <f>K11-K13-K12</f>
        <v>213.7</v>
      </c>
      <c r="L20" s="243">
        <f>L11-L13-L12</f>
        <v>93.299999999999983</v>
      </c>
      <c r="M20" s="243">
        <f>M11-M13-M12</f>
        <v>60.699999999999932</v>
      </c>
      <c r="N20" s="244">
        <f t="shared" ref="N20:U20" si="11">N11-N12-N13</f>
        <v>35.5</v>
      </c>
      <c r="O20" s="244">
        <f t="shared" si="11"/>
        <v>3.5999999999999943</v>
      </c>
      <c r="P20" s="244">
        <f t="shared" si="11"/>
        <v>25.7</v>
      </c>
      <c r="Q20" s="245">
        <f t="shared" si="11"/>
        <v>24.3</v>
      </c>
      <c r="R20" s="245">
        <f t="shared" si="11"/>
        <v>20.599999999999998</v>
      </c>
      <c r="S20" s="247">
        <f t="shared" si="11"/>
        <v>22.6</v>
      </c>
      <c r="T20" s="313">
        <f t="shared" si="11"/>
        <v>25.599999999999998</v>
      </c>
      <c r="U20" s="313">
        <f t="shared" si="11"/>
        <v>30.1</v>
      </c>
      <c r="V20" s="248">
        <f t="shared" ref="V20:AB20" si="12">U20*V23/U23</f>
        <v>39.551400000000001</v>
      </c>
      <c r="W20" s="248">
        <f t="shared" si="12"/>
        <v>42.131399999999999</v>
      </c>
      <c r="X20" s="248">
        <f t="shared" si="12"/>
        <v>43.980399999999996</v>
      </c>
      <c r="Y20" s="248">
        <f t="shared" si="12"/>
        <v>43.851399999999998</v>
      </c>
      <c r="Z20" s="248">
        <f t="shared" si="12"/>
        <v>42.509799999999991</v>
      </c>
      <c r="AA20" s="248">
        <f t="shared" si="12"/>
        <v>41.787399999999991</v>
      </c>
      <c r="AB20" s="248">
        <f t="shared" si="12"/>
        <v>41.271399999999993</v>
      </c>
      <c r="AC20" s="311">
        <f>AB20*AC23/AB23</f>
        <v>41.073599999999992</v>
      </c>
      <c r="AD20" s="267" t="s">
        <v>299</v>
      </c>
    </row>
    <row r="21" spans="1:32" x14ac:dyDescent="0.35">
      <c r="B21" s="256"/>
      <c r="C21" s="257"/>
      <c r="D21" s="275"/>
      <c r="E21" s="245"/>
      <c r="F21" s="245"/>
      <c r="G21" s="245"/>
      <c r="H21" s="241"/>
      <c r="I21" s="241"/>
      <c r="J21" s="241"/>
      <c r="K21" s="241"/>
      <c r="L21" s="241"/>
      <c r="M21" s="241"/>
      <c r="N21" s="241"/>
      <c r="O21" s="241"/>
      <c r="P21" s="241"/>
      <c r="Q21" s="241"/>
      <c r="R21" s="241"/>
      <c r="S21" s="241"/>
      <c r="T21" s="323"/>
      <c r="U21" s="241"/>
      <c r="V21" s="235"/>
      <c r="W21" s="235"/>
      <c r="X21" s="235"/>
      <c r="Y21" s="235"/>
      <c r="Z21" s="235"/>
      <c r="AA21" s="235"/>
      <c r="AB21" s="235"/>
      <c r="AC21" s="314"/>
    </row>
    <row r="22" spans="1:32" x14ac:dyDescent="0.35">
      <c r="B22" s="249" t="s">
        <v>1742</v>
      </c>
      <c r="C22" s="257"/>
      <c r="D22" s="245"/>
      <c r="E22" s="245"/>
      <c r="F22" s="245"/>
      <c r="G22" s="245"/>
      <c r="H22" s="241"/>
      <c r="I22" s="241"/>
      <c r="J22" s="241"/>
      <c r="K22" s="241"/>
      <c r="L22" s="241"/>
      <c r="M22" s="241"/>
      <c r="N22" s="241"/>
      <c r="O22" s="241"/>
      <c r="P22" s="241"/>
      <c r="Q22" s="241"/>
      <c r="R22" s="241"/>
      <c r="S22" s="241"/>
      <c r="T22" s="259"/>
      <c r="U22" s="238"/>
      <c r="V22" s="237">
        <v>4.5990000000000002</v>
      </c>
      <c r="W22" s="237">
        <v>4.899</v>
      </c>
      <c r="X22" s="237">
        <v>5.1139999999999999</v>
      </c>
      <c r="Y22" s="237">
        <v>5.0990000000000002</v>
      </c>
      <c r="Z22" s="237">
        <v>4.9429999999999996</v>
      </c>
      <c r="AA22" s="237">
        <v>4.859</v>
      </c>
      <c r="AB22" s="237">
        <v>4.7990000000000004</v>
      </c>
      <c r="AC22" s="237">
        <v>4.7759999999999998</v>
      </c>
    </row>
    <row r="23" spans="1:32" x14ac:dyDescent="0.35">
      <c r="B23" s="256" t="s">
        <v>1801</v>
      </c>
      <c r="C23" s="316"/>
      <c r="D23" s="317"/>
      <c r="E23" s="318"/>
      <c r="F23" s="318"/>
      <c r="G23" s="318"/>
      <c r="H23" s="319"/>
      <c r="I23" s="319"/>
      <c r="J23" s="319"/>
      <c r="K23" s="319"/>
      <c r="L23" s="319"/>
      <c r="M23" s="319">
        <f>GETPIVOTDATA("Monthly UR",$E$28,"Quarters",M24,"Years",M25)</f>
        <v>6.166666666666667</v>
      </c>
      <c r="N23" s="319">
        <f t="shared" ref="N23:U23" si="13">GETPIVOTDATA("Monthly UR",$E$28,"Quarters",N24,"Years",N25)</f>
        <v>5.7666666666666657</v>
      </c>
      <c r="O23" s="319">
        <f t="shared" si="13"/>
        <v>5.1333333333333337</v>
      </c>
      <c r="P23" s="319">
        <f t="shared" si="13"/>
        <v>4.2333333333333334</v>
      </c>
      <c r="Q23" s="319">
        <f t="shared" si="13"/>
        <v>3.8000000000000003</v>
      </c>
      <c r="R23" s="319">
        <f t="shared" si="13"/>
        <v>3.6</v>
      </c>
      <c r="S23" s="319">
        <f t="shared" si="13"/>
        <v>3.5666666666666664</v>
      </c>
      <c r="T23" s="319">
        <f t="shared" si="13"/>
        <v>3.6</v>
      </c>
      <c r="U23" s="319">
        <f t="shared" si="13"/>
        <v>3.5</v>
      </c>
      <c r="V23" s="324">
        <v>4.5990000000000002</v>
      </c>
      <c r="W23" s="324">
        <v>4.899</v>
      </c>
      <c r="X23" s="324">
        <v>5.1139999999999999</v>
      </c>
      <c r="Y23" s="324">
        <v>5.0990000000000002</v>
      </c>
      <c r="Z23" s="324">
        <v>4.9429999999999996</v>
      </c>
      <c r="AA23" s="324">
        <v>4.859</v>
      </c>
      <c r="AB23" s="324">
        <v>4.7990000000000004</v>
      </c>
      <c r="AC23" s="325">
        <v>4.7759999999999998</v>
      </c>
      <c r="AD23" s="238" t="s">
        <v>300</v>
      </c>
    </row>
    <row r="24" spans="1:32" ht="15.75" customHeight="1" x14ac:dyDescent="0.35">
      <c r="B24" s="321" t="s">
        <v>1815</v>
      </c>
      <c r="C24" s="310"/>
      <c r="D24" s="303"/>
      <c r="E24" s="303"/>
      <c r="F24" s="303"/>
      <c r="G24" s="303"/>
      <c r="H24" s="303"/>
      <c r="I24" s="303"/>
      <c r="J24" s="303"/>
      <c r="K24" s="303"/>
      <c r="L24" s="303"/>
      <c r="M24" s="303">
        <v>1</v>
      </c>
      <c r="N24" s="303">
        <v>2</v>
      </c>
      <c r="O24" s="303">
        <v>3</v>
      </c>
      <c r="P24" s="303">
        <v>4</v>
      </c>
      <c r="Q24" s="303">
        <v>1</v>
      </c>
      <c r="R24" s="303">
        <v>2</v>
      </c>
      <c r="S24" s="303">
        <v>3</v>
      </c>
      <c r="T24" s="303">
        <v>4</v>
      </c>
      <c r="U24" s="303">
        <v>1</v>
      </c>
      <c r="V24" s="303">
        <v>2</v>
      </c>
      <c r="W24" s="303">
        <v>3</v>
      </c>
      <c r="X24" s="303">
        <v>4</v>
      </c>
      <c r="Y24" s="303">
        <v>1</v>
      </c>
      <c r="Z24" s="303">
        <v>2</v>
      </c>
      <c r="AA24" s="303">
        <v>3</v>
      </c>
      <c r="AB24" s="303">
        <v>4</v>
      </c>
      <c r="AC24" s="303">
        <v>1</v>
      </c>
      <c r="AD24" s="233">
        <v>2</v>
      </c>
      <c r="AE24" s="233">
        <v>3</v>
      </c>
      <c r="AF24" s="233">
        <v>4</v>
      </c>
    </row>
    <row r="25" spans="1:32" x14ac:dyDescent="0.35">
      <c r="B25" s="322" t="s">
        <v>1816</v>
      </c>
      <c r="C25" s="310"/>
      <c r="D25" s="303"/>
      <c r="E25" s="303"/>
      <c r="F25" s="303"/>
      <c r="G25" s="303"/>
      <c r="H25" s="303"/>
      <c r="I25" s="303"/>
      <c r="J25" s="303"/>
      <c r="K25" s="303"/>
      <c r="L25" s="303"/>
      <c r="M25" s="303">
        <v>2021</v>
      </c>
      <c r="N25" s="303">
        <v>2021</v>
      </c>
      <c r="O25" s="303">
        <v>2021</v>
      </c>
      <c r="P25" s="303">
        <v>2021</v>
      </c>
      <c r="Q25" s="303">
        <v>2022</v>
      </c>
      <c r="R25" s="303">
        <v>2022</v>
      </c>
      <c r="S25" s="303">
        <v>2022</v>
      </c>
      <c r="T25" s="303">
        <v>2022</v>
      </c>
      <c r="U25" s="303">
        <v>2023</v>
      </c>
      <c r="V25" s="303">
        <v>2023</v>
      </c>
      <c r="W25" s="303">
        <v>2023</v>
      </c>
      <c r="X25" s="303">
        <v>2023</v>
      </c>
      <c r="Y25" s="303">
        <v>2024</v>
      </c>
      <c r="Z25" s="303">
        <v>2024</v>
      </c>
      <c r="AA25" s="303">
        <v>2024</v>
      </c>
      <c r="AB25" s="303">
        <v>2024</v>
      </c>
      <c r="AC25" s="303">
        <v>2025</v>
      </c>
      <c r="AD25" s="238"/>
    </row>
    <row r="26" spans="1:32" x14ac:dyDescent="0.35">
      <c r="C26" s="249"/>
      <c r="D26" s="233"/>
      <c r="E26" s="233"/>
      <c r="F26" s="233"/>
      <c r="G26" s="233"/>
      <c r="H26" s="241"/>
      <c r="I26" s="241"/>
      <c r="J26" s="241"/>
      <c r="K26" s="241"/>
      <c r="L26" s="241"/>
      <c r="M26" s="241"/>
      <c r="N26" s="241"/>
      <c r="O26" s="241"/>
      <c r="P26" s="241"/>
      <c r="AD26" s="238"/>
    </row>
    <row r="27" spans="1:32" x14ac:dyDescent="0.35">
      <c r="M27" s="249"/>
      <c r="N27" s="249"/>
      <c r="O27" s="249"/>
    </row>
    <row r="28" spans="1:32" ht="43.5" customHeight="1" x14ac:dyDescent="0.35">
      <c r="B28" s="282" t="s">
        <v>301</v>
      </c>
      <c r="C28" s="283" t="s">
        <v>302</v>
      </c>
      <c r="D28" s="280"/>
      <c r="E28" s="14" t="s">
        <v>1805</v>
      </c>
      <c r="F28" s="14" t="s">
        <v>1810</v>
      </c>
      <c r="G28" s="14"/>
      <c r="H28" s="14"/>
      <c r="I28" s="14"/>
      <c r="J28" s="14"/>
      <c r="O28" s="284"/>
    </row>
    <row r="29" spans="1:32" x14ac:dyDescent="0.35">
      <c r="A29" s="56"/>
      <c r="B29" s="277">
        <v>44197</v>
      </c>
      <c r="C29" s="239">
        <v>6.3</v>
      </c>
      <c r="D29" s="281"/>
      <c r="E29" s="43" t="s">
        <v>1740</v>
      </c>
      <c r="F29" s="56"/>
      <c r="G29" s="56"/>
      <c r="H29" s="75"/>
      <c r="I29" s="56"/>
      <c r="J29" s="75"/>
      <c r="O29" s="249"/>
    </row>
    <row r="30" spans="1:32" x14ac:dyDescent="0.35">
      <c r="A30" s="56"/>
      <c r="B30" s="277">
        <v>44228</v>
      </c>
      <c r="C30" s="239">
        <v>6.2</v>
      </c>
      <c r="D30" s="281"/>
      <c r="E30" s="102" t="s">
        <v>1806</v>
      </c>
      <c r="F30" s="95">
        <v>6.166666666666667</v>
      </c>
      <c r="G30" s="56"/>
      <c r="H30" s="75"/>
      <c r="I30" s="56"/>
      <c r="J30" s="75"/>
      <c r="O30" s="249"/>
    </row>
    <row r="31" spans="1:32" x14ac:dyDescent="0.35">
      <c r="A31" s="56"/>
      <c r="B31" s="277">
        <v>44256</v>
      </c>
      <c r="C31" s="239">
        <v>6</v>
      </c>
      <c r="D31" s="281"/>
      <c r="E31" s="102" t="s">
        <v>1807</v>
      </c>
      <c r="F31" s="95">
        <v>5.7666666666666657</v>
      </c>
      <c r="G31" s="56"/>
      <c r="H31" s="75"/>
      <c r="I31" s="56"/>
      <c r="J31" s="75"/>
      <c r="O31" s="249"/>
    </row>
    <row r="32" spans="1:32" x14ac:dyDescent="0.35">
      <c r="A32" s="56"/>
      <c r="B32" s="277">
        <v>44287</v>
      </c>
      <c r="C32" s="239">
        <v>6.1</v>
      </c>
      <c r="D32" s="281"/>
      <c r="E32" s="102" t="s">
        <v>1808</v>
      </c>
      <c r="F32" s="95">
        <v>5.1333333333333337</v>
      </c>
      <c r="G32" s="56"/>
      <c r="H32" s="75"/>
      <c r="I32" s="56"/>
      <c r="J32" s="75"/>
      <c r="O32" s="249"/>
    </row>
    <row r="33" spans="1:38" x14ac:dyDescent="0.35">
      <c r="A33" s="56"/>
      <c r="B33" s="277">
        <v>44317</v>
      </c>
      <c r="C33" s="239">
        <v>5.8</v>
      </c>
      <c r="D33" s="281"/>
      <c r="E33" s="102" t="s">
        <v>1809</v>
      </c>
      <c r="F33" s="95">
        <v>4.2333333333333334</v>
      </c>
      <c r="G33" s="56"/>
      <c r="H33" s="75"/>
      <c r="I33" s="56"/>
      <c r="J33" s="75"/>
      <c r="O33" s="249"/>
    </row>
    <row r="34" spans="1:38" x14ac:dyDescent="0.35">
      <c r="A34" s="56"/>
      <c r="B34" s="277">
        <v>44348</v>
      </c>
      <c r="C34" s="239">
        <v>5.4</v>
      </c>
      <c r="D34" s="281"/>
      <c r="E34" s="43" t="s">
        <v>1729</v>
      </c>
      <c r="F34" s="95"/>
      <c r="G34" s="56"/>
      <c r="H34" s="75"/>
      <c r="I34" s="56"/>
      <c r="J34" s="75"/>
      <c r="O34" s="249"/>
    </row>
    <row r="35" spans="1:38" x14ac:dyDescent="0.35">
      <c r="A35" s="56"/>
      <c r="B35" s="277">
        <v>44378</v>
      </c>
      <c r="C35" s="239">
        <v>5.4</v>
      </c>
      <c r="D35" s="281"/>
      <c r="E35" s="102" t="s">
        <v>1806</v>
      </c>
      <c r="F35" s="95">
        <v>3.8000000000000003</v>
      </c>
      <c r="G35" s="56"/>
      <c r="H35" s="75"/>
      <c r="I35" s="56"/>
      <c r="J35" s="75"/>
      <c r="O35" s="249"/>
    </row>
    <row r="36" spans="1:38" x14ac:dyDescent="0.35">
      <c r="A36" s="56"/>
      <c r="B36" s="277">
        <v>44409</v>
      </c>
      <c r="C36" s="239">
        <v>5.2</v>
      </c>
      <c r="D36" s="281"/>
      <c r="E36" s="102" t="s">
        <v>1807</v>
      </c>
      <c r="F36" s="95">
        <v>3.6</v>
      </c>
      <c r="G36" s="56"/>
      <c r="H36" s="75"/>
      <c r="I36" s="56"/>
      <c r="J36" s="75"/>
      <c r="O36" s="249"/>
    </row>
    <row r="37" spans="1:38" x14ac:dyDescent="0.35">
      <c r="A37" s="56"/>
      <c r="B37" s="277">
        <v>44440</v>
      </c>
      <c r="C37" s="239">
        <v>4.8</v>
      </c>
      <c r="D37" s="281"/>
      <c r="E37" s="102" t="s">
        <v>1808</v>
      </c>
      <c r="F37" s="95">
        <v>3.5666666666666664</v>
      </c>
      <c r="G37" s="56"/>
      <c r="H37" s="75"/>
      <c r="I37" s="56"/>
      <c r="J37" s="75"/>
      <c r="O37" s="249"/>
    </row>
    <row r="38" spans="1:38" x14ac:dyDescent="0.35">
      <c r="A38" s="56"/>
      <c r="B38" s="277">
        <v>44470</v>
      </c>
      <c r="C38" s="239">
        <v>4.5999999999999996</v>
      </c>
      <c r="D38" s="281"/>
      <c r="E38" s="102" t="s">
        <v>1809</v>
      </c>
      <c r="F38" s="95">
        <v>3.6</v>
      </c>
      <c r="G38" s="56"/>
      <c r="H38" s="75"/>
      <c r="I38" s="56"/>
      <c r="J38" s="75"/>
      <c r="O38" s="249"/>
    </row>
    <row r="39" spans="1:38" x14ac:dyDescent="0.35">
      <c r="A39" s="56"/>
      <c r="B39" s="277">
        <v>44501</v>
      </c>
      <c r="C39" s="239">
        <v>4.2</v>
      </c>
      <c r="D39" s="281"/>
      <c r="E39" s="43" t="s">
        <v>1811</v>
      </c>
      <c r="F39" s="95"/>
      <c r="G39" s="56"/>
      <c r="H39" s="75"/>
      <c r="I39" s="56"/>
      <c r="J39" s="75"/>
      <c r="O39" s="249"/>
      <c r="AD39" s="249"/>
      <c r="AE39" s="249"/>
      <c r="AF39" s="249"/>
      <c r="AG39" s="249"/>
      <c r="AH39" s="249"/>
      <c r="AI39" s="249"/>
      <c r="AJ39" s="249"/>
      <c r="AK39" s="249"/>
      <c r="AL39" s="249"/>
    </row>
    <row r="40" spans="1:38" x14ac:dyDescent="0.35">
      <c r="A40" s="56"/>
      <c r="B40" s="277">
        <v>44531</v>
      </c>
      <c r="C40" s="239">
        <v>3.9</v>
      </c>
      <c r="D40" s="281"/>
      <c r="E40" s="102" t="s">
        <v>1806</v>
      </c>
      <c r="F40" s="95">
        <v>3.5</v>
      </c>
      <c r="G40" s="56"/>
      <c r="H40" s="75"/>
      <c r="I40" s="56"/>
      <c r="J40" s="75"/>
      <c r="O40" s="249"/>
      <c r="AD40" s="249"/>
      <c r="AE40" s="249"/>
      <c r="AF40" s="249"/>
      <c r="AG40" s="249"/>
      <c r="AH40" s="249"/>
      <c r="AI40" s="249"/>
      <c r="AJ40" s="249"/>
      <c r="AK40" s="249"/>
      <c r="AL40" s="249"/>
    </row>
    <row r="41" spans="1:38" x14ac:dyDescent="0.35">
      <c r="A41" s="56"/>
      <c r="B41" s="277">
        <v>44562</v>
      </c>
      <c r="C41" s="239">
        <v>4</v>
      </c>
      <c r="D41" s="56"/>
      <c r="E41" s="102" t="s">
        <v>1807</v>
      </c>
      <c r="F41" s="95"/>
      <c r="G41" s="56"/>
      <c r="H41" s="75"/>
      <c r="I41" s="56"/>
      <c r="J41" s="75"/>
      <c r="O41" s="249"/>
    </row>
    <row r="42" spans="1:38" x14ac:dyDescent="0.35">
      <c r="A42" s="56"/>
      <c r="B42" s="277">
        <v>44593</v>
      </c>
      <c r="C42" s="239">
        <v>3.8</v>
      </c>
      <c r="D42" s="56"/>
      <c r="E42" s="102" t="s">
        <v>1808</v>
      </c>
      <c r="F42" s="95"/>
      <c r="G42" s="56"/>
      <c r="H42" s="75"/>
      <c r="I42" s="56"/>
      <c r="J42" s="75"/>
    </row>
    <row r="43" spans="1:38" x14ac:dyDescent="0.35">
      <c r="A43" s="56"/>
      <c r="B43" s="277">
        <v>44621</v>
      </c>
      <c r="C43" s="239">
        <v>3.6</v>
      </c>
      <c r="D43" s="56"/>
      <c r="E43" s="102" t="s">
        <v>1809</v>
      </c>
      <c r="F43" s="95"/>
      <c r="G43" s="56"/>
      <c r="H43" s="75"/>
      <c r="I43" s="56"/>
      <c r="J43" s="75"/>
    </row>
    <row r="44" spans="1:38" x14ac:dyDescent="0.35">
      <c r="A44" s="56"/>
      <c r="B44" s="277">
        <v>44652</v>
      </c>
      <c r="C44" s="239">
        <v>3.6</v>
      </c>
      <c r="D44" s="56"/>
      <c r="E44" s="43" t="s">
        <v>1812</v>
      </c>
      <c r="F44" s="95"/>
      <c r="G44" s="56"/>
      <c r="H44" s="75"/>
      <c r="I44" s="56"/>
      <c r="J44" s="75"/>
    </row>
    <row r="45" spans="1:38" x14ac:dyDescent="0.35">
      <c r="A45" s="56"/>
      <c r="B45" s="277">
        <v>44682</v>
      </c>
      <c r="C45" s="239">
        <v>3.6</v>
      </c>
      <c r="D45" s="56"/>
      <c r="E45" s="102" t="s">
        <v>1806</v>
      </c>
      <c r="F45" s="95"/>
      <c r="G45" s="56"/>
      <c r="H45" s="75"/>
      <c r="I45" s="56"/>
      <c r="J45" s="75"/>
    </row>
    <row r="46" spans="1:38" x14ac:dyDescent="0.35">
      <c r="A46" s="56"/>
      <c r="B46" s="277">
        <v>44713</v>
      </c>
      <c r="C46" s="239">
        <v>3.6</v>
      </c>
      <c r="D46" s="56"/>
      <c r="E46" s="102" t="s">
        <v>1807</v>
      </c>
      <c r="F46" s="95"/>
      <c r="G46" s="56"/>
      <c r="H46" s="75"/>
      <c r="I46" s="56"/>
      <c r="J46" s="75"/>
    </row>
    <row r="47" spans="1:38" x14ac:dyDescent="0.35">
      <c r="A47" s="56"/>
      <c r="B47" s="277">
        <v>44743</v>
      </c>
      <c r="C47" s="239">
        <v>3.5</v>
      </c>
      <c r="D47" s="56"/>
      <c r="E47" s="102" t="s">
        <v>1808</v>
      </c>
      <c r="F47" s="95"/>
      <c r="G47" s="56"/>
      <c r="H47" s="75"/>
      <c r="I47" s="56"/>
      <c r="J47" s="75"/>
    </row>
    <row r="48" spans="1:38" x14ac:dyDescent="0.35">
      <c r="A48" s="56"/>
      <c r="B48" s="277">
        <v>44774</v>
      </c>
      <c r="C48" s="239">
        <v>3.7</v>
      </c>
      <c r="D48" s="56"/>
      <c r="E48" s="102" t="s">
        <v>1809</v>
      </c>
      <c r="F48" s="95"/>
      <c r="G48" s="56"/>
      <c r="H48" s="75"/>
      <c r="I48" s="56"/>
      <c r="J48" s="75"/>
    </row>
    <row r="49" spans="2:10" x14ac:dyDescent="0.35">
      <c r="B49" s="277">
        <v>44805</v>
      </c>
      <c r="C49" s="239">
        <v>3.5</v>
      </c>
      <c r="D49" s="56"/>
      <c r="E49" s="43" t="s">
        <v>1813</v>
      </c>
      <c r="F49" s="95"/>
      <c r="G49" s="56"/>
      <c r="H49" s="56"/>
      <c r="I49" s="56"/>
      <c r="J49" s="56"/>
    </row>
    <row r="50" spans="2:10" x14ac:dyDescent="0.35">
      <c r="B50" s="277">
        <v>44835</v>
      </c>
      <c r="C50" s="239">
        <v>3.7</v>
      </c>
      <c r="D50" s="56"/>
      <c r="E50" s="102" t="s">
        <v>1806</v>
      </c>
      <c r="F50" s="95"/>
      <c r="G50" s="56"/>
      <c r="H50" s="56"/>
      <c r="I50" s="56"/>
      <c r="J50" s="56"/>
    </row>
    <row r="51" spans="2:10" x14ac:dyDescent="0.35">
      <c r="B51" s="277">
        <v>44866</v>
      </c>
      <c r="C51" s="239">
        <v>3.6</v>
      </c>
      <c r="D51" s="56"/>
      <c r="E51" s="102" t="s">
        <v>1807</v>
      </c>
      <c r="F51" s="95"/>
      <c r="G51" s="56"/>
      <c r="H51" s="56"/>
      <c r="I51" s="56"/>
      <c r="J51" s="56"/>
    </row>
    <row r="52" spans="2:10" x14ac:dyDescent="0.35">
      <c r="B52" s="277">
        <v>44896</v>
      </c>
      <c r="C52" s="239">
        <v>3.5</v>
      </c>
      <c r="D52" s="56"/>
      <c r="E52" s="102" t="s">
        <v>1808</v>
      </c>
      <c r="F52" s="95"/>
      <c r="G52" s="56"/>
      <c r="H52" s="56"/>
      <c r="I52" s="56"/>
      <c r="J52" s="56"/>
    </row>
    <row r="53" spans="2:10" x14ac:dyDescent="0.35">
      <c r="B53" s="277">
        <v>44927</v>
      </c>
      <c r="C53" s="239">
        <v>3.4</v>
      </c>
      <c r="D53" s="56"/>
      <c r="E53" s="102" t="s">
        <v>1809</v>
      </c>
      <c r="F53" s="95"/>
      <c r="G53" s="56"/>
      <c r="H53" s="56"/>
      <c r="I53" s="56"/>
      <c r="J53" s="56"/>
    </row>
    <row r="54" spans="2:10" x14ac:dyDescent="0.35">
      <c r="B54" s="277">
        <v>44958</v>
      </c>
      <c r="C54" s="239">
        <v>3.6</v>
      </c>
      <c r="D54" s="56"/>
      <c r="E54" s="43" t="s">
        <v>1814</v>
      </c>
      <c r="F54" s="95"/>
      <c r="G54" s="56"/>
      <c r="H54" s="56"/>
      <c r="I54" s="56"/>
      <c r="J54" s="56"/>
    </row>
    <row r="55" spans="2:10" x14ac:dyDescent="0.35">
      <c r="B55" s="277">
        <v>44986</v>
      </c>
      <c r="C55" s="239">
        <v>3.5</v>
      </c>
      <c r="D55" s="56"/>
      <c r="E55" s="102" t="s">
        <v>1806</v>
      </c>
      <c r="F55" s="95"/>
      <c r="G55" s="56"/>
      <c r="H55" s="56"/>
      <c r="I55" s="56"/>
      <c r="J55" s="56"/>
    </row>
    <row r="56" spans="2:10" x14ac:dyDescent="0.35">
      <c r="B56" s="277">
        <v>45017</v>
      </c>
      <c r="C56" s="239"/>
      <c r="D56" s="56"/>
      <c r="E56" s="102" t="s">
        <v>1807</v>
      </c>
      <c r="F56" s="95"/>
      <c r="G56" s="56"/>
      <c r="H56" s="56"/>
      <c r="I56" s="56"/>
      <c r="J56" s="56"/>
    </row>
    <row r="57" spans="2:10" x14ac:dyDescent="0.35">
      <c r="B57" s="277">
        <v>45047</v>
      </c>
      <c r="C57" s="239"/>
      <c r="D57" s="56"/>
      <c r="E57" s="102" t="s">
        <v>1808</v>
      </c>
      <c r="F57" s="95"/>
      <c r="G57" s="56"/>
      <c r="H57" s="56"/>
      <c r="I57" s="56"/>
      <c r="J57" s="56"/>
    </row>
    <row r="58" spans="2:10" x14ac:dyDescent="0.35">
      <c r="B58" s="277">
        <v>45078</v>
      </c>
      <c r="C58" s="239"/>
      <c r="D58" s="56"/>
      <c r="E58" s="102" t="s">
        <v>1809</v>
      </c>
      <c r="F58" s="95"/>
      <c r="G58" s="56"/>
      <c r="H58" s="56"/>
      <c r="I58" s="56"/>
      <c r="J58" s="56"/>
    </row>
    <row r="59" spans="2:10" x14ac:dyDescent="0.35">
      <c r="B59" s="277">
        <v>45108</v>
      </c>
      <c r="C59" s="239"/>
      <c r="D59" s="56"/>
      <c r="E59" s="56"/>
      <c r="F59" s="56"/>
      <c r="G59" s="56"/>
      <c r="H59" s="56"/>
      <c r="I59" s="56"/>
      <c r="J59" s="56"/>
    </row>
    <row r="60" spans="2:10" x14ac:dyDescent="0.35">
      <c r="B60" s="277">
        <v>45139</v>
      </c>
      <c r="C60" s="239"/>
      <c r="D60" s="56"/>
      <c r="E60" s="56"/>
      <c r="F60" s="56"/>
      <c r="G60" s="56"/>
      <c r="H60" s="56"/>
      <c r="I60" s="56"/>
      <c r="J60" s="56"/>
    </row>
    <row r="61" spans="2:10" x14ac:dyDescent="0.35">
      <c r="B61" s="277">
        <v>45170</v>
      </c>
      <c r="C61" s="239"/>
      <c r="D61" s="56"/>
      <c r="E61" s="56"/>
      <c r="F61" s="56"/>
      <c r="G61" s="56"/>
      <c r="H61" s="56"/>
      <c r="I61" s="56"/>
      <c r="J61" s="56"/>
    </row>
    <row r="62" spans="2:10" x14ac:dyDescent="0.35">
      <c r="B62" s="277">
        <v>45200</v>
      </c>
      <c r="C62" s="239"/>
      <c r="D62" s="56"/>
      <c r="E62" s="56"/>
      <c r="F62" s="56"/>
      <c r="G62" s="56"/>
      <c r="H62" s="56"/>
      <c r="I62" s="56"/>
      <c r="J62" s="56"/>
    </row>
    <row r="63" spans="2:10" x14ac:dyDescent="0.35">
      <c r="B63" s="277">
        <v>45231</v>
      </c>
      <c r="C63" s="239"/>
      <c r="D63" s="56"/>
      <c r="E63" s="56"/>
      <c r="F63" s="56"/>
      <c r="G63" s="56"/>
      <c r="H63" s="56"/>
      <c r="I63" s="56"/>
      <c r="J63" s="56"/>
    </row>
    <row r="64" spans="2:10" x14ac:dyDescent="0.35">
      <c r="B64" s="277">
        <v>45261</v>
      </c>
      <c r="C64" s="239"/>
      <c r="D64" s="56"/>
      <c r="E64" s="56"/>
      <c r="F64" s="56"/>
      <c r="G64" s="56"/>
      <c r="H64" s="56"/>
      <c r="I64" s="56"/>
      <c r="J64" s="56"/>
    </row>
    <row r="65" spans="2:10" x14ac:dyDescent="0.35">
      <c r="B65" s="277">
        <v>45292</v>
      </c>
      <c r="C65" s="239"/>
      <c r="D65" s="56"/>
      <c r="E65" s="56"/>
      <c r="F65" s="56"/>
      <c r="G65" s="56"/>
      <c r="H65" s="56"/>
      <c r="I65" s="56"/>
      <c r="J65" s="56"/>
    </row>
    <row r="66" spans="2:10" x14ac:dyDescent="0.35">
      <c r="B66" s="277">
        <v>45323</v>
      </c>
      <c r="C66" s="239"/>
      <c r="D66" s="56"/>
      <c r="E66" s="56"/>
      <c r="F66" s="56"/>
      <c r="G66" s="56"/>
      <c r="H66" s="56"/>
      <c r="I66" s="56"/>
      <c r="J66" s="56"/>
    </row>
    <row r="67" spans="2:10" x14ac:dyDescent="0.35">
      <c r="B67" s="277">
        <v>45352</v>
      </c>
      <c r="C67" s="239"/>
      <c r="D67" s="56"/>
      <c r="E67" s="56"/>
      <c r="F67" s="56"/>
      <c r="G67" s="56"/>
      <c r="H67" s="56"/>
      <c r="I67" s="56"/>
      <c r="J67" s="56"/>
    </row>
    <row r="68" spans="2:10" x14ac:dyDescent="0.35">
      <c r="B68" s="277">
        <v>45383</v>
      </c>
      <c r="C68" s="239"/>
      <c r="D68" s="56"/>
      <c r="E68" s="56"/>
      <c r="F68" s="56"/>
      <c r="G68" s="56"/>
      <c r="H68" s="56"/>
      <c r="I68" s="56"/>
      <c r="J68" s="56"/>
    </row>
    <row r="69" spans="2:10" x14ac:dyDescent="0.35">
      <c r="B69" s="277">
        <v>45413</v>
      </c>
      <c r="C69" s="239"/>
      <c r="D69" s="56"/>
      <c r="E69" s="56"/>
      <c r="F69" s="56"/>
      <c r="G69" s="56"/>
      <c r="H69" s="56"/>
      <c r="I69" s="56"/>
      <c r="J69" s="56"/>
    </row>
    <row r="70" spans="2:10" x14ac:dyDescent="0.35">
      <c r="B70" s="277">
        <v>45444</v>
      </c>
      <c r="C70" s="239"/>
      <c r="D70" s="56"/>
      <c r="E70" s="56"/>
      <c r="F70" s="56"/>
      <c r="G70" s="56"/>
      <c r="H70" s="56"/>
      <c r="I70" s="56"/>
      <c r="J70" s="56"/>
    </row>
    <row r="71" spans="2:10" x14ac:dyDescent="0.35">
      <c r="B71" s="277">
        <v>45474</v>
      </c>
      <c r="C71" s="239"/>
      <c r="D71" s="56"/>
      <c r="E71" s="56"/>
      <c r="F71" s="56"/>
      <c r="G71" s="56"/>
      <c r="H71" s="56"/>
      <c r="I71" s="56"/>
      <c r="J71" s="56"/>
    </row>
    <row r="72" spans="2:10" x14ac:dyDescent="0.35">
      <c r="B72" s="277">
        <v>45505</v>
      </c>
      <c r="C72" s="239"/>
      <c r="D72" s="56"/>
      <c r="E72" s="56"/>
      <c r="F72" s="56"/>
      <c r="G72" s="56"/>
      <c r="H72" s="56"/>
      <c r="I72" s="56"/>
      <c r="J72" s="56"/>
    </row>
    <row r="73" spans="2:10" x14ac:dyDescent="0.35">
      <c r="B73" s="277">
        <v>45536</v>
      </c>
      <c r="C73" s="239"/>
      <c r="D73" s="56"/>
      <c r="E73" s="56"/>
      <c r="F73" s="56"/>
      <c r="G73" s="56"/>
      <c r="H73" s="56"/>
      <c r="I73" s="56"/>
      <c r="J73" s="56"/>
    </row>
    <row r="74" spans="2:10" x14ac:dyDescent="0.35">
      <c r="B74" s="277">
        <v>45566</v>
      </c>
      <c r="C74" s="239"/>
      <c r="D74" s="56"/>
      <c r="E74" s="56"/>
      <c r="F74" s="56"/>
      <c r="G74" s="56"/>
      <c r="H74" s="56"/>
      <c r="I74" s="56"/>
      <c r="J74" s="56"/>
    </row>
    <row r="75" spans="2:10" x14ac:dyDescent="0.35">
      <c r="B75" s="277">
        <v>45597</v>
      </c>
      <c r="C75" s="239"/>
      <c r="D75" s="56"/>
      <c r="E75" s="56"/>
      <c r="F75" s="56"/>
      <c r="G75" s="56"/>
      <c r="H75" s="56"/>
      <c r="I75" s="56"/>
      <c r="J75" s="56"/>
    </row>
    <row r="76" spans="2:10" x14ac:dyDescent="0.35">
      <c r="B76" s="277">
        <v>45627</v>
      </c>
      <c r="C76" s="239"/>
      <c r="D76" s="56"/>
      <c r="E76" s="56"/>
      <c r="F76" s="56"/>
      <c r="G76" s="56"/>
      <c r="H76" s="56"/>
      <c r="I76" s="56"/>
      <c r="J76" s="56"/>
    </row>
    <row r="77" spans="2:10" x14ac:dyDescent="0.35">
      <c r="B77" s="277">
        <v>45658</v>
      </c>
      <c r="C77" s="239"/>
      <c r="D77" s="56"/>
      <c r="E77" s="56"/>
      <c r="F77" s="56"/>
      <c r="G77" s="56"/>
      <c r="H77" s="56"/>
      <c r="I77" s="56"/>
      <c r="J77" s="56"/>
    </row>
    <row r="78" spans="2:10" x14ac:dyDescent="0.35">
      <c r="B78" s="277">
        <v>45689</v>
      </c>
      <c r="C78" s="239"/>
      <c r="D78" s="56"/>
      <c r="E78" s="56"/>
      <c r="F78" s="56"/>
      <c r="G78" s="56"/>
      <c r="H78" s="56"/>
      <c r="I78" s="56"/>
      <c r="J78" s="56"/>
    </row>
    <row r="79" spans="2:10" x14ac:dyDescent="0.35">
      <c r="B79" s="277">
        <v>45717</v>
      </c>
      <c r="C79" s="239"/>
      <c r="D79" s="56"/>
      <c r="E79" s="56"/>
      <c r="F79" s="56"/>
      <c r="G79" s="56"/>
      <c r="H79" s="56"/>
      <c r="I79" s="56"/>
      <c r="J79" s="56"/>
    </row>
    <row r="80" spans="2:10" x14ac:dyDescent="0.35">
      <c r="B80" s="277">
        <v>45748</v>
      </c>
      <c r="C80" s="239"/>
      <c r="D80" s="56"/>
      <c r="E80" s="56"/>
      <c r="F80" s="56"/>
      <c r="G80" s="56"/>
      <c r="H80" s="56"/>
      <c r="I80" s="56"/>
      <c r="J80" s="56"/>
    </row>
    <row r="81" spans="2:10" x14ac:dyDescent="0.35">
      <c r="B81" s="277">
        <v>45778</v>
      </c>
      <c r="C81" s="239"/>
      <c r="D81" s="56"/>
      <c r="E81" s="56"/>
      <c r="F81" s="56"/>
      <c r="G81" s="56"/>
      <c r="H81" s="56"/>
      <c r="I81" s="56"/>
      <c r="J81" s="56"/>
    </row>
    <row r="82" spans="2:10" x14ac:dyDescent="0.35">
      <c r="B82" s="277">
        <v>45809</v>
      </c>
      <c r="C82" s="239"/>
      <c r="D82" s="56"/>
      <c r="E82" s="56"/>
      <c r="F82" s="56"/>
      <c r="G82" s="56"/>
      <c r="H82" s="56"/>
      <c r="I82" s="56"/>
      <c r="J82" s="56"/>
    </row>
    <row r="83" spans="2:10" x14ac:dyDescent="0.35">
      <c r="B83" s="277">
        <v>45839</v>
      </c>
      <c r="C83" s="239"/>
      <c r="D83" s="56"/>
      <c r="E83" s="56"/>
      <c r="F83" s="56"/>
      <c r="G83" s="56"/>
      <c r="H83" s="56"/>
      <c r="I83" s="56"/>
      <c r="J83" s="56"/>
    </row>
    <row r="84" spans="2:10" x14ac:dyDescent="0.35">
      <c r="B84" s="277">
        <v>45870</v>
      </c>
      <c r="C84" s="239"/>
      <c r="D84" s="56"/>
      <c r="E84" s="56"/>
      <c r="F84" s="56"/>
      <c r="G84" s="56"/>
      <c r="H84" s="56"/>
      <c r="I84" s="56"/>
      <c r="J84" s="56"/>
    </row>
    <row r="85" spans="2:10" x14ac:dyDescent="0.35">
      <c r="B85" s="277">
        <v>45901</v>
      </c>
      <c r="C85" s="239"/>
      <c r="D85" s="56"/>
      <c r="E85" s="56"/>
      <c r="F85" s="56"/>
      <c r="G85" s="56"/>
      <c r="H85" s="56"/>
      <c r="I85" s="56"/>
      <c r="J85" s="56"/>
    </row>
    <row r="86" spans="2:10" x14ac:dyDescent="0.35">
      <c r="B86" s="277">
        <v>45931</v>
      </c>
      <c r="C86" s="239"/>
      <c r="D86" s="56"/>
      <c r="E86" s="56"/>
      <c r="F86" s="56"/>
      <c r="G86" s="56"/>
      <c r="H86" s="56"/>
      <c r="I86" s="56"/>
      <c r="J86" s="56"/>
    </row>
    <row r="87" spans="2:10" x14ac:dyDescent="0.35">
      <c r="B87" s="277">
        <v>45962</v>
      </c>
      <c r="C87" s="239"/>
      <c r="D87" s="56"/>
      <c r="E87" s="56"/>
      <c r="F87" s="56"/>
      <c r="G87" s="56"/>
      <c r="H87" s="56"/>
      <c r="I87" s="56"/>
      <c r="J87" s="56"/>
    </row>
    <row r="88" spans="2:10" x14ac:dyDescent="0.35">
      <c r="B88" s="277">
        <v>45992</v>
      </c>
      <c r="C88" s="239"/>
      <c r="D88" s="56"/>
      <c r="E88" s="56"/>
      <c r="F88" s="56"/>
      <c r="G88" s="56"/>
      <c r="H88" s="56"/>
      <c r="I88" s="56"/>
      <c r="J88" s="56"/>
    </row>
    <row r="89" spans="2:10" x14ac:dyDescent="0.35">
      <c r="B89" s="277">
        <v>46023</v>
      </c>
      <c r="C89" s="239"/>
      <c r="D89" s="56"/>
      <c r="E89" s="56"/>
      <c r="F89" s="56"/>
      <c r="G89" s="56"/>
      <c r="H89" s="56"/>
      <c r="I89" s="56"/>
      <c r="J89" s="56"/>
    </row>
    <row r="90" spans="2:10" x14ac:dyDescent="0.35">
      <c r="B90" s="277">
        <v>46054</v>
      </c>
      <c r="C90" s="239"/>
      <c r="D90" s="56"/>
      <c r="E90" s="56"/>
      <c r="F90" s="56"/>
      <c r="G90" s="56"/>
      <c r="H90" s="56"/>
      <c r="I90" s="56"/>
      <c r="J90" s="56"/>
    </row>
    <row r="91" spans="2:10" x14ac:dyDescent="0.35">
      <c r="B91" s="277">
        <v>46082</v>
      </c>
      <c r="C91" s="239"/>
      <c r="D91" s="56"/>
      <c r="E91" s="56"/>
      <c r="F91" s="56"/>
      <c r="G91" s="56"/>
      <c r="H91" s="56"/>
      <c r="I91" s="56"/>
      <c r="J91" s="56"/>
    </row>
    <row r="92" spans="2:10" x14ac:dyDescent="0.35">
      <c r="B92" s="277">
        <v>46113</v>
      </c>
      <c r="C92" s="239"/>
      <c r="D92" s="56"/>
      <c r="E92" s="56"/>
      <c r="F92" s="56"/>
      <c r="G92" s="56"/>
      <c r="H92" s="56"/>
      <c r="I92" s="56"/>
      <c r="J92" s="56"/>
    </row>
    <row r="93" spans="2:10" x14ac:dyDescent="0.35">
      <c r="B93" s="277">
        <v>46143</v>
      </c>
      <c r="C93" s="239"/>
      <c r="D93" s="56"/>
      <c r="E93" s="56"/>
      <c r="F93" s="56"/>
      <c r="G93" s="56"/>
      <c r="H93" s="56"/>
      <c r="I93" s="56"/>
      <c r="J93" s="56"/>
    </row>
    <row r="94" spans="2:10" x14ac:dyDescent="0.35">
      <c r="B94" s="277">
        <v>46174</v>
      </c>
      <c r="C94" s="239"/>
      <c r="D94" s="56"/>
      <c r="E94" s="56"/>
      <c r="F94" s="56"/>
      <c r="G94" s="56"/>
      <c r="H94" s="56"/>
      <c r="I94" s="56"/>
      <c r="J94" s="56"/>
    </row>
    <row r="95" spans="2:10" x14ac:dyDescent="0.35">
      <c r="B95" s="277">
        <v>46204</v>
      </c>
      <c r="C95" s="239"/>
      <c r="D95" s="56"/>
      <c r="E95" s="56"/>
      <c r="F95" s="56"/>
      <c r="G95" s="56"/>
      <c r="H95" s="56"/>
      <c r="I95" s="56"/>
      <c r="J95" s="56"/>
    </row>
    <row r="96" spans="2:10" x14ac:dyDescent="0.35">
      <c r="B96" s="277">
        <v>46235</v>
      </c>
      <c r="C96" s="239"/>
      <c r="D96" s="56"/>
      <c r="E96" s="56"/>
      <c r="F96" s="56"/>
      <c r="G96" s="56"/>
      <c r="H96" s="56"/>
      <c r="I96" s="56"/>
      <c r="J96" s="56"/>
    </row>
    <row r="97" spans="2:10" x14ac:dyDescent="0.35">
      <c r="B97" s="277">
        <v>46266</v>
      </c>
      <c r="C97" s="239"/>
      <c r="D97" s="56"/>
      <c r="E97" s="56"/>
      <c r="F97" s="56"/>
      <c r="G97" s="56"/>
      <c r="H97" s="56"/>
      <c r="I97" s="56"/>
      <c r="J97" s="56"/>
    </row>
    <row r="98" spans="2:10" x14ac:dyDescent="0.35">
      <c r="B98" s="277">
        <v>46296</v>
      </c>
      <c r="C98" s="239"/>
      <c r="D98" s="56"/>
      <c r="E98" s="56"/>
      <c r="F98" s="56"/>
      <c r="G98" s="56"/>
      <c r="H98" s="56"/>
      <c r="I98" s="56"/>
      <c r="J98" s="56"/>
    </row>
    <row r="99" spans="2:10" x14ac:dyDescent="0.35">
      <c r="B99" s="277">
        <v>46327</v>
      </c>
      <c r="C99" s="239"/>
      <c r="D99" s="56"/>
      <c r="E99" s="56"/>
      <c r="F99" s="56"/>
      <c r="G99" s="56"/>
      <c r="H99" s="56"/>
      <c r="I99" s="56"/>
      <c r="J99" s="56"/>
    </row>
    <row r="100" spans="2:10" x14ac:dyDescent="0.35">
      <c r="B100" s="278">
        <v>46357</v>
      </c>
      <c r="C100" s="240"/>
      <c r="D100" s="56"/>
      <c r="E100" s="56"/>
      <c r="F100" s="56"/>
      <c r="G100" s="56"/>
      <c r="H100" s="56"/>
      <c r="I100" s="56"/>
      <c r="J100" s="56"/>
    </row>
  </sheetData>
  <mergeCells count="11">
    <mergeCell ref="Y9:AB9"/>
    <mergeCell ref="B1:AC1"/>
    <mergeCell ref="B2:AC6"/>
    <mergeCell ref="B8:C10"/>
    <mergeCell ref="D8:T8"/>
    <mergeCell ref="U8:AC8"/>
    <mergeCell ref="E9:H9"/>
    <mergeCell ref="I9:L9"/>
    <mergeCell ref="M9:P9"/>
    <mergeCell ref="Q9:R9"/>
    <mergeCell ref="U9:X9"/>
  </mergeCells>
  <pageMargins left="0.7" right="0.7" top="0.75" bottom="0.75" header="0.3" footer="0.3"/>
  <pageSetup orientation="portrait"/>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U97"/>
  <sheetViews>
    <sheetView topLeftCell="A3" zoomScaleNormal="100" workbookViewId="0">
      <pane xSplit="3" ySplit="6" topLeftCell="J53" activePane="bottomRight" state="frozen"/>
      <selection activeCell="A3" sqref="A3"/>
      <selection pane="topRight" activeCell="D3" sqref="D3"/>
      <selection pane="bottomLeft" activeCell="A9" sqref="A9"/>
      <selection pane="bottomRight" activeCell="AE73" sqref="AE73"/>
    </sheetView>
  </sheetViews>
  <sheetFormatPr defaultColWidth="10.90625" defaultRowHeight="14.5" x14ac:dyDescent="0.35"/>
  <cols>
    <col min="1" max="1" width="18.54296875" customWidth="1"/>
    <col min="2" max="2" width="40.453125" customWidth="1"/>
    <col min="3" max="3" width="7.1796875" customWidth="1"/>
    <col min="4" max="4" width="11.1796875" customWidth="1"/>
    <col min="5" max="5" width="12.453125" customWidth="1"/>
    <col min="6" max="7" width="7.1796875" customWidth="1"/>
    <col min="8" max="8" width="10.453125" customWidth="1"/>
    <col min="9" max="9" width="11.453125" customWidth="1"/>
    <col min="10" max="13" width="7.453125" customWidth="1"/>
    <col min="14" max="18" width="8.1796875" customWidth="1"/>
    <col min="19" max="19" width="8.81640625" customWidth="1"/>
    <col min="20" max="40" width="8.1796875" customWidth="1"/>
    <col min="41" max="41" width="29.453125" customWidth="1"/>
    <col min="42" max="42" width="31.1796875" customWidth="1"/>
    <col min="43" max="43" width="114.81640625" customWidth="1"/>
  </cols>
  <sheetData>
    <row r="1" spans="2:45" x14ac:dyDescent="0.35">
      <c r="B1" s="1318" t="s">
        <v>192</v>
      </c>
      <c r="C1" s="1318"/>
      <c r="D1" s="1318"/>
      <c r="E1" s="1318"/>
      <c r="F1" s="1318"/>
      <c r="G1" s="1318"/>
      <c r="H1" s="1318"/>
      <c r="I1" s="1318"/>
      <c r="J1" s="1318"/>
      <c r="K1" s="1318"/>
      <c r="L1" s="1318"/>
      <c r="M1" s="1318"/>
      <c r="N1" s="1318"/>
      <c r="O1" s="1318"/>
      <c r="P1" s="1318"/>
      <c r="Q1" s="1318"/>
      <c r="R1" s="1318"/>
      <c r="S1" s="1318"/>
      <c r="T1" s="1318"/>
      <c r="U1" s="1318"/>
      <c r="V1" s="1318"/>
      <c r="W1" s="1318"/>
      <c r="X1" s="1318"/>
      <c r="Y1" s="1318"/>
      <c r="Z1" s="223"/>
      <c r="AA1" s="223"/>
      <c r="AB1" s="223"/>
      <c r="AC1" s="223"/>
      <c r="AD1" s="223"/>
      <c r="AE1" s="223"/>
      <c r="AF1" s="223"/>
      <c r="AG1" s="223"/>
      <c r="AH1" s="223"/>
      <c r="AI1" s="223"/>
      <c r="AJ1" s="223"/>
      <c r="AK1" s="223"/>
      <c r="AL1" s="223"/>
      <c r="AM1" s="223"/>
      <c r="AN1" s="223"/>
      <c r="AO1" s="331"/>
      <c r="AP1" s="331"/>
    </row>
    <row r="2" spans="2:45" ht="14.25" customHeight="1" x14ac:dyDescent="0.35">
      <c r="B2" s="1319" t="s">
        <v>331</v>
      </c>
      <c r="C2" s="1319"/>
      <c r="D2" s="1319"/>
      <c r="E2" s="1319"/>
      <c r="F2" s="1319"/>
      <c r="G2" s="1319"/>
      <c r="H2" s="1319"/>
      <c r="I2" s="1319"/>
      <c r="J2" s="1319"/>
      <c r="K2" s="1319"/>
      <c r="L2" s="1319"/>
      <c r="M2" s="1319"/>
      <c r="N2" s="1319"/>
      <c r="O2" s="1319"/>
      <c r="P2" s="1319"/>
      <c r="Q2" s="1319"/>
      <c r="R2" s="1319"/>
      <c r="S2" s="1319"/>
      <c r="T2" s="1319"/>
      <c r="U2" s="1319"/>
      <c r="V2" s="1319"/>
      <c r="W2" s="1319"/>
      <c r="X2" s="1319"/>
      <c r="Y2" s="1319"/>
      <c r="Z2" s="1319"/>
      <c r="AA2" s="1319"/>
      <c r="AB2" s="1319"/>
      <c r="AC2" s="1319"/>
      <c r="AD2" s="224"/>
      <c r="AE2" s="224"/>
      <c r="AF2" s="224"/>
      <c r="AG2" s="224"/>
      <c r="AH2" s="224"/>
      <c r="AI2" s="224"/>
      <c r="AJ2" s="224"/>
      <c r="AK2" s="224"/>
      <c r="AL2" s="224"/>
      <c r="AM2" s="224"/>
      <c r="AN2" s="224"/>
      <c r="AO2" s="224"/>
      <c r="AP2" s="224"/>
    </row>
    <row r="3" spans="2:45" ht="50.9" customHeight="1" x14ac:dyDescent="0.35">
      <c r="B3" s="1319"/>
      <c r="C3" s="1319"/>
      <c r="D3" s="1319"/>
      <c r="E3" s="1319"/>
      <c r="F3" s="1319"/>
      <c r="G3" s="1319"/>
      <c r="H3" s="1319"/>
      <c r="I3" s="1319"/>
      <c r="J3" s="1319"/>
      <c r="K3" s="1319"/>
      <c r="L3" s="1319"/>
      <c r="M3" s="1319"/>
      <c r="N3" s="1319"/>
      <c r="O3" s="1319"/>
      <c r="P3" s="1319"/>
      <c r="Q3" s="1319"/>
      <c r="R3" s="1319"/>
      <c r="S3" s="1319"/>
      <c r="T3" s="1319"/>
      <c r="U3" s="1319"/>
      <c r="V3" s="1319"/>
      <c r="W3" s="1319"/>
      <c r="X3" s="1319"/>
      <c r="Y3" s="1319"/>
      <c r="Z3" s="1319"/>
      <c r="AA3" s="1319"/>
      <c r="AB3" s="1319"/>
      <c r="AC3" s="1319"/>
      <c r="AD3" s="224"/>
      <c r="AE3" s="224"/>
      <c r="AF3" s="224"/>
      <c r="AG3" s="224"/>
      <c r="AH3" s="224"/>
      <c r="AI3" s="224"/>
      <c r="AJ3" s="224"/>
      <c r="AK3" s="224"/>
      <c r="AL3" s="224"/>
      <c r="AM3" s="224"/>
      <c r="AN3" s="224"/>
      <c r="AO3" s="224"/>
      <c r="AP3" s="224"/>
    </row>
    <row r="4" spans="2:45" ht="5.25" customHeight="1" x14ac:dyDescent="0.35">
      <c r="B4" s="1319"/>
      <c r="C4" s="1319"/>
      <c r="D4" s="1319"/>
      <c r="E4" s="1319"/>
      <c r="F4" s="1319"/>
      <c r="G4" s="1319"/>
      <c r="H4" s="1319"/>
      <c r="I4" s="1319"/>
      <c r="J4" s="1319"/>
      <c r="K4" s="1319"/>
      <c r="L4" s="1319"/>
      <c r="M4" s="1319"/>
      <c r="N4" s="1319"/>
      <c r="O4" s="1319"/>
      <c r="P4" s="1319"/>
      <c r="Q4" s="1319"/>
      <c r="R4" s="1319"/>
      <c r="S4" s="1319"/>
      <c r="T4" s="1319"/>
      <c r="U4" s="1319"/>
      <c r="V4" s="1319"/>
      <c r="W4" s="1319"/>
      <c r="X4" s="1319"/>
      <c r="Y4" s="1319"/>
      <c r="Z4" s="1319"/>
      <c r="AA4" s="1319"/>
      <c r="AB4" s="1319"/>
      <c r="AC4" s="1319"/>
      <c r="AD4" s="224"/>
      <c r="AE4" s="224"/>
      <c r="AF4" s="224"/>
      <c r="AG4" s="224"/>
      <c r="AH4" s="224"/>
      <c r="AI4" s="224"/>
      <c r="AJ4" s="224"/>
      <c r="AK4" s="224"/>
      <c r="AL4" s="224"/>
      <c r="AM4" s="224"/>
      <c r="AN4" s="224"/>
      <c r="AO4" s="224"/>
      <c r="AP4" s="224"/>
    </row>
    <row r="5" spans="2:45" x14ac:dyDescent="0.35">
      <c r="B5" s="409" t="s">
        <v>332</v>
      </c>
    </row>
    <row r="6" spans="2:45" ht="14.9" customHeight="1" x14ac:dyDescent="0.35">
      <c r="B6" s="1323" t="s">
        <v>333</v>
      </c>
      <c r="C6" s="1324"/>
      <c r="D6" s="1347" t="s">
        <v>279</v>
      </c>
      <c r="E6" s="1348"/>
      <c r="F6" s="1348"/>
      <c r="G6" s="1348"/>
      <c r="H6" s="1348"/>
      <c r="I6" s="1348"/>
      <c r="J6" s="1348"/>
      <c r="K6" s="1348"/>
      <c r="L6" s="1348"/>
      <c r="M6" s="1348"/>
      <c r="N6" s="1348"/>
      <c r="O6" s="1348"/>
      <c r="P6" s="1348"/>
      <c r="Q6" s="1348"/>
      <c r="R6" s="1348"/>
      <c r="S6" s="1348"/>
      <c r="T6" s="1348"/>
      <c r="U6" s="1348"/>
      <c r="V6" s="1348"/>
      <c r="W6" s="1348"/>
      <c r="X6" s="1348"/>
      <c r="Y6" s="1348"/>
      <c r="Z6" s="1348"/>
      <c r="AA6" s="1348"/>
      <c r="AB6" s="1349"/>
      <c r="AC6" s="1350" t="s">
        <v>280</v>
      </c>
      <c r="AD6" s="1331"/>
      <c r="AE6" s="1331"/>
      <c r="AF6" s="1331"/>
      <c r="AG6" s="1331"/>
      <c r="AH6" s="1331"/>
      <c r="AI6" s="1331"/>
      <c r="AJ6" s="1331"/>
      <c r="AK6" s="1331"/>
      <c r="AL6" s="1331"/>
      <c r="AM6" s="1331"/>
      <c r="AN6" s="1332"/>
      <c r="AO6" s="1361" t="s">
        <v>334</v>
      </c>
      <c r="AP6" s="1361" t="s">
        <v>335</v>
      </c>
    </row>
    <row r="7" spans="2:45" ht="24" customHeight="1" x14ac:dyDescent="0.35">
      <c r="B7" s="1325"/>
      <c r="C7" s="1326"/>
      <c r="D7" s="225">
        <v>2018</v>
      </c>
      <c r="E7" s="1320">
        <v>2019</v>
      </c>
      <c r="F7" s="1321"/>
      <c r="G7" s="1321"/>
      <c r="H7" s="1322"/>
      <c r="I7" s="1320">
        <v>2020</v>
      </c>
      <c r="J7" s="1321"/>
      <c r="K7" s="1321"/>
      <c r="L7" s="1321"/>
      <c r="M7" s="1320">
        <v>2021</v>
      </c>
      <c r="N7" s="1321"/>
      <c r="O7" s="1321"/>
      <c r="P7" s="1321"/>
      <c r="Q7" s="1320">
        <v>2022</v>
      </c>
      <c r="R7" s="1321"/>
      <c r="S7" s="1321"/>
      <c r="T7" s="1321"/>
      <c r="U7" s="332"/>
      <c r="V7" s="333">
        <v>2023</v>
      </c>
      <c r="W7" s="333"/>
      <c r="X7" s="334"/>
      <c r="Y7" s="293"/>
      <c r="Z7" s="231">
        <v>2024</v>
      </c>
      <c r="AA7" s="231"/>
      <c r="AB7" s="230"/>
      <c r="AC7" s="1352">
        <v>2025</v>
      </c>
      <c r="AD7" s="1353"/>
      <c r="AE7" s="1353"/>
      <c r="AF7" s="1353"/>
      <c r="AG7" s="1329">
        <v>2026</v>
      </c>
      <c r="AH7" s="1330"/>
      <c r="AI7" s="1330"/>
      <c r="AJ7" s="1334"/>
      <c r="AK7" s="1329">
        <v>2027</v>
      </c>
      <c r="AL7" s="1330"/>
      <c r="AM7" s="1330"/>
      <c r="AN7" s="1334"/>
      <c r="AO7" s="1362"/>
      <c r="AP7" s="1362"/>
    </row>
    <row r="8" spans="2:45" ht="14.25" customHeight="1" x14ac:dyDescent="0.35">
      <c r="B8" s="1327"/>
      <c r="C8" s="1328"/>
      <c r="D8" s="225" t="s">
        <v>281</v>
      </c>
      <c r="E8" s="225" t="s">
        <v>282</v>
      </c>
      <c r="F8" s="226" t="s">
        <v>283</v>
      </c>
      <c r="G8" s="226" t="s">
        <v>238</v>
      </c>
      <c r="H8" s="232" t="s">
        <v>281</v>
      </c>
      <c r="I8" s="226" t="s">
        <v>282</v>
      </c>
      <c r="J8" s="226" t="s">
        <v>283</v>
      </c>
      <c r="K8" s="226" t="s">
        <v>238</v>
      </c>
      <c r="L8" s="226" t="s">
        <v>281</v>
      </c>
      <c r="M8" s="225" t="s">
        <v>282</v>
      </c>
      <c r="N8" s="226" t="s">
        <v>283</v>
      </c>
      <c r="O8" s="226" t="s">
        <v>238</v>
      </c>
      <c r="P8" s="226" t="s">
        <v>281</v>
      </c>
      <c r="Q8" s="225" t="s">
        <v>282</v>
      </c>
      <c r="R8" s="226" t="s">
        <v>283</v>
      </c>
      <c r="S8" s="226" t="s">
        <v>238</v>
      </c>
      <c r="T8" s="226" t="s">
        <v>281</v>
      </c>
      <c r="U8" s="286" t="s">
        <v>282</v>
      </c>
      <c r="V8" s="287" t="s">
        <v>283</v>
      </c>
      <c r="W8" s="287" t="s">
        <v>238</v>
      </c>
      <c r="X8" s="285" t="s">
        <v>281</v>
      </c>
      <c r="Y8" s="286" t="s">
        <v>282</v>
      </c>
      <c r="Z8" s="292" t="s">
        <v>283</v>
      </c>
      <c r="AA8" s="287" t="s">
        <v>238</v>
      </c>
      <c r="AB8" s="285" t="s">
        <v>281</v>
      </c>
      <c r="AC8" s="286" t="s">
        <v>282</v>
      </c>
      <c r="AD8" s="292" t="s">
        <v>283</v>
      </c>
      <c r="AE8" s="273" t="s">
        <v>238</v>
      </c>
      <c r="AF8" s="273" t="s">
        <v>281</v>
      </c>
      <c r="AG8" s="299" t="s">
        <v>282</v>
      </c>
      <c r="AH8" s="273" t="s">
        <v>283</v>
      </c>
      <c r="AI8" s="273" t="s">
        <v>238</v>
      </c>
      <c r="AJ8" s="301" t="s">
        <v>281</v>
      </c>
      <c r="AK8" s="299" t="s">
        <v>282</v>
      </c>
      <c r="AL8" s="273" t="s">
        <v>283</v>
      </c>
      <c r="AM8" s="273" t="s">
        <v>238</v>
      </c>
      <c r="AN8" s="301" t="s">
        <v>281</v>
      </c>
      <c r="AO8" s="1363"/>
      <c r="AP8" s="1363"/>
    </row>
    <row r="9" spans="2:45" ht="23.9" customHeight="1" x14ac:dyDescent="0.35">
      <c r="B9" s="365" t="s">
        <v>336</v>
      </c>
      <c r="C9" s="425" t="s">
        <v>337</v>
      </c>
      <c r="D9" s="377">
        <f>'Haver Pivoted'!GO32</f>
        <v>590.1</v>
      </c>
      <c r="E9" s="378">
        <f>'Haver Pivoted'!GP32</f>
        <v>591.20000000000005</v>
      </c>
      <c r="F9" s="378">
        <f>'Haver Pivoted'!GQ32</f>
        <v>610.70000000000005</v>
      </c>
      <c r="G9" s="378">
        <f>'Haver Pivoted'!GR32</f>
        <v>608.79999999999995</v>
      </c>
      <c r="H9" s="378">
        <f>'Haver Pivoted'!GS32</f>
        <v>625</v>
      </c>
      <c r="I9" s="378">
        <f>'Haver Pivoted'!GT32</f>
        <v>635</v>
      </c>
      <c r="J9" s="378">
        <f>'Haver Pivoted'!GU32</f>
        <v>1387</v>
      </c>
      <c r="K9" s="378">
        <f>'Haver Pivoted'!GV32</f>
        <v>734.9</v>
      </c>
      <c r="L9" s="378">
        <f>'Haver Pivoted'!GW32</f>
        <v>757.9</v>
      </c>
      <c r="M9" s="378">
        <f>'Haver Pivoted'!GX32</f>
        <v>777.7</v>
      </c>
      <c r="N9" s="378">
        <f>'Haver Pivoted'!GY32</f>
        <v>1640.8</v>
      </c>
      <c r="O9" s="378">
        <f>'Haver Pivoted'!GZ32</f>
        <v>1085.5999999999999</v>
      </c>
      <c r="P9" s="378">
        <f>'Haver Pivoted'!HA32</f>
        <v>936.3</v>
      </c>
      <c r="Q9" s="378">
        <f>'Haver Pivoted'!HB32</f>
        <v>930</v>
      </c>
      <c r="R9" s="378">
        <f>'Haver Pivoted'!HC32</f>
        <v>951.4</v>
      </c>
      <c r="S9" s="379">
        <f>'Haver Pivoted'!HD32</f>
        <v>956.4</v>
      </c>
      <c r="T9" s="379">
        <f>'Haver Pivoted'!HE32</f>
        <v>955.4</v>
      </c>
      <c r="U9" s="354">
        <f>'Haver Pivoted'!HF32</f>
        <v>977.7</v>
      </c>
      <c r="V9" s="354">
        <f>'Haver Pivoted'!HG32</f>
        <v>967.9</v>
      </c>
      <c r="W9" s="354">
        <f>'Haver Pivoted'!HH32</f>
        <v>915.6</v>
      </c>
      <c r="X9" s="354">
        <f>'Haver Pivoted'!HI32</f>
        <v>941.4</v>
      </c>
      <c r="Y9" s="354">
        <f>'Haver Pivoted'!HJ32</f>
        <v>941</v>
      </c>
      <c r="Z9" s="354">
        <f>'Haver Pivoted'!HK32</f>
        <v>949.1</v>
      </c>
      <c r="AA9" s="354">
        <f>'Haver Pivoted'!HL32</f>
        <v>981.6</v>
      </c>
      <c r="AB9" s="354">
        <f>'Haver Pivoted'!HM32</f>
        <v>981.1</v>
      </c>
      <c r="AC9" s="354">
        <f>'Haver Pivoted'!HN32</f>
        <v>953.4</v>
      </c>
      <c r="AD9" s="354">
        <f>'Haver Pivoted'!HO32</f>
        <v>971.5</v>
      </c>
      <c r="AE9" s="356">
        <f>AE10+AE11</f>
        <v>956.06309760185945</v>
      </c>
      <c r="AF9" s="356">
        <f>AF10+AF11</f>
        <v>968.37091315772864</v>
      </c>
      <c r="AG9" s="356">
        <f t="shared" ref="AG9:AM9" si="0">AG10+AG11</f>
        <v>979.37220101873163</v>
      </c>
      <c r="AH9" s="356">
        <f t="shared" si="0"/>
        <v>994.72385963031661</v>
      </c>
      <c r="AI9" s="356">
        <f t="shared" si="0"/>
        <v>1006.5654113758347</v>
      </c>
      <c r="AJ9" s="356">
        <f t="shared" si="0"/>
        <v>1007.4307031702563</v>
      </c>
      <c r="AK9" s="356">
        <f t="shared" si="0"/>
        <v>1020.9826793156119</v>
      </c>
      <c r="AL9" s="356">
        <f t="shared" si="0"/>
        <v>1035.1339499326891</v>
      </c>
      <c r="AM9" s="356">
        <f t="shared" si="0"/>
        <v>1048.8920832636145</v>
      </c>
      <c r="AN9" s="356" t="e">
        <f>AN10+AN11</f>
        <v>#DIV/0!</v>
      </c>
      <c r="AO9" s="396"/>
      <c r="AP9" s="426"/>
    </row>
    <row r="10" spans="2:45" ht="27.65" customHeight="1" x14ac:dyDescent="0.35">
      <c r="B10" s="432" t="s">
        <v>133</v>
      </c>
      <c r="C10" s="245" t="s">
        <v>338</v>
      </c>
      <c r="D10" s="383">
        <f>'Haver Pivoted'!GO40</f>
        <v>391.92099999999999</v>
      </c>
      <c r="E10" s="54">
        <f>'Haver Pivoted'!GP40</f>
        <v>405.36799999999999</v>
      </c>
      <c r="F10" s="54">
        <f>'Haver Pivoted'!GQ40</f>
        <v>414.19600000000003</v>
      </c>
      <c r="G10" s="54">
        <f>'Haver Pivoted'!GR40</f>
        <v>418.68599999999998</v>
      </c>
      <c r="H10" s="54">
        <f>'Haver Pivoted'!GS40</f>
        <v>416.185</v>
      </c>
      <c r="I10" s="54">
        <f>'Haver Pivoted'!GT40</f>
        <v>422.89</v>
      </c>
      <c r="J10" s="54">
        <f>'Haver Pivoted'!GU40</f>
        <v>502.90600000000001</v>
      </c>
      <c r="K10" s="54">
        <f>'Haver Pivoted'!GV40</f>
        <v>484.48</v>
      </c>
      <c r="L10" s="54">
        <f>'Haver Pivoted'!GW40</f>
        <v>509.88400000000001</v>
      </c>
      <c r="M10" s="54">
        <f>'Haver Pivoted'!GX40</f>
        <v>499.42899999999997</v>
      </c>
      <c r="N10" s="54">
        <f>'Haver Pivoted'!GY40</f>
        <v>520.79</v>
      </c>
      <c r="O10" s="54">
        <f>'Haver Pivoted'!GZ40</f>
        <v>545.32600000000002</v>
      </c>
      <c r="P10" s="441">
        <f>'Haver Pivoted'!HA40</f>
        <v>567.61</v>
      </c>
      <c r="Q10" s="54">
        <f>'Haver Pivoted'!HB40</f>
        <v>589.92700000000002</v>
      </c>
      <c r="R10" s="54">
        <f>'Haver Pivoted'!HC40</f>
        <v>585.74599999999998</v>
      </c>
      <c r="S10" s="353">
        <f>'Haver Pivoted'!HD40</f>
        <v>617.88900000000001</v>
      </c>
      <c r="T10" s="353">
        <f>'Haver Pivoted'!HE40</f>
        <v>611.67999999999995</v>
      </c>
      <c r="U10" s="353">
        <f>'Haver Pivoted'!HF40</f>
        <v>632.66</v>
      </c>
      <c r="V10" s="353">
        <f>'Haver Pivoted'!HG40</f>
        <v>628.88699999999994</v>
      </c>
      <c r="W10" s="353">
        <f>'Haver Pivoted'!HH40</f>
        <v>585.98400000000004</v>
      </c>
      <c r="X10" s="353">
        <f>'Haver Pivoted'!HI40</f>
        <v>612.03399999999999</v>
      </c>
      <c r="Y10" s="353">
        <f>'Haver Pivoted'!HJ40</f>
        <v>618.72699999999998</v>
      </c>
      <c r="Z10" s="353">
        <f>'Haver Pivoted'!HK40</f>
        <v>628.15700000000004</v>
      </c>
      <c r="AA10" s="353">
        <f>'Haver Pivoted'!HL40</f>
        <v>641.23699999999997</v>
      </c>
      <c r="AB10" s="353">
        <f>'Haver Pivoted'!HM40</f>
        <v>655.17499999999995</v>
      </c>
      <c r="AC10" s="353">
        <f>'Haver Pivoted'!HN40</f>
        <v>647.03</v>
      </c>
      <c r="AD10" s="353">
        <f>'Haver Pivoted'!HO40</f>
        <v>680.65800000000002</v>
      </c>
      <c r="AE10" s="357">
        <f>Medicaid!AE28</f>
        <v>687.27647550115967</v>
      </c>
      <c r="AF10" s="357">
        <f>Medicaid!AF28</f>
        <v>696.93582719454662</v>
      </c>
      <c r="AG10" s="357">
        <f>Medicaid!AG28</f>
        <v>705.26255480190014</v>
      </c>
      <c r="AH10" s="357">
        <f>Medicaid!AH28</f>
        <v>717.91329963031671</v>
      </c>
      <c r="AI10" s="357">
        <f>Medicaid!AI28</f>
        <v>727.02732439110707</v>
      </c>
      <c r="AJ10" s="357">
        <f>Medicaid!AJ28</f>
        <v>725.13821376854708</v>
      </c>
      <c r="AK10" s="357">
        <f>Medicaid!AK28</f>
        <v>735.90864725010715</v>
      </c>
      <c r="AL10" s="357">
        <f>Medicaid!AL28</f>
        <v>747.25096753268917</v>
      </c>
      <c r="AM10" s="357">
        <f>Medicaid!AM28</f>
        <v>758.17247279949765</v>
      </c>
      <c r="AN10" s="357" t="e">
        <f>Medicaid!AN28</f>
        <v>#DIV/0!</v>
      </c>
      <c r="AO10" s="369"/>
      <c r="AP10" s="415"/>
    </row>
    <row r="11" spans="2:45" ht="17.25" customHeight="1" x14ac:dyDescent="0.35">
      <c r="B11" s="256" t="s">
        <v>339</v>
      </c>
      <c r="C11" s="245"/>
      <c r="D11" s="383">
        <f t="shared" ref="D11:G11" si="1">D9-D10</f>
        <v>198.17900000000003</v>
      </c>
      <c r="E11" s="54">
        <f t="shared" si="1"/>
        <v>185.83200000000005</v>
      </c>
      <c r="F11" s="54">
        <f t="shared" si="1"/>
        <v>196.50400000000002</v>
      </c>
      <c r="G11" s="54">
        <f t="shared" si="1"/>
        <v>190.11399999999998</v>
      </c>
      <c r="H11" s="54">
        <f>H9-H10</f>
        <v>208.815</v>
      </c>
      <c r="I11" s="54">
        <f t="shared" ref="I11:N11" si="2">I9-I10</f>
        <v>212.11</v>
      </c>
      <c r="J11" s="54">
        <f t="shared" si="2"/>
        <v>884.09400000000005</v>
      </c>
      <c r="K11" s="54">
        <f t="shared" si="2"/>
        <v>250.41999999999996</v>
      </c>
      <c r="L11" s="54">
        <f t="shared" si="2"/>
        <v>248.01599999999996</v>
      </c>
      <c r="M11" s="54">
        <f t="shared" si="2"/>
        <v>278.27100000000007</v>
      </c>
      <c r="N11" s="54">
        <f t="shared" si="2"/>
        <v>1120.01</v>
      </c>
      <c r="O11" s="54">
        <f t="shared" ref="O11:T11" si="3">O9-O10</f>
        <v>540.27399999999989</v>
      </c>
      <c r="P11" s="441">
        <f t="shared" si="3"/>
        <v>368.68999999999994</v>
      </c>
      <c r="Q11" s="54">
        <f t="shared" si="3"/>
        <v>340.07299999999998</v>
      </c>
      <c r="R11" s="54">
        <f t="shared" si="3"/>
        <v>365.654</v>
      </c>
      <c r="S11" s="353">
        <f t="shared" si="3"/>
        <v>338.51099999999997</v>
      </c>
      <c r="T11" s="353">
        <f t="shared" si="3"/>
        <v>343.72</v>
      </c>
      <c r="U11" s="353">
        <f t="shared" ref="U11:Z11" si="4">U9-U10</f>
        <v>345.04000000000008</v>
      </c>
      <c r="V11" s="353">
        <f t="shared" si="4"/>
        <v>339.01300000000003</v>
      </c>
      <c r="W11" s="353">
        <f t="shared" si="4"/>
        <v>329.61599999999999</v>
      </c>
      <c r="X11" s="353">
        <f t="shared" si="4"/>
        <v>329.36599999999999</v>
      </c>
      <c r="Y11" s="353">
        <f t="shared" si="4"/>
        <v>322.27300000000002</v>
      </c>
      <c r="Z11" s="353">
        <f t="shared" si="4"/>
        <v>320.94299999999998</v>
      </c>
      <c r="AA11" s="353">
        <f t="shared" ref="AA11" si="5">AA9-AA10</f>
        <v>340.36300000000006</v>
      </c>
      <c r="AB11" s="353">
        <f>AB9-AB10</f>
        <v>325.92500000000007</v>
      </c>
      <c r="AC11" s="353">
        <f>AC9-AC10</f>
        <v>306.37</v>
      </c>
      <c r="AD11" s="353">
        <f>AD9-AD10</f>
        <v>290.84199999999998</v>
      </c>
      <c r="AE11" s="357">
        <f t="shared" ref="AE11:AH11" si="6">SUM(AE12:AE20)</f>
        <v>268.78662210069973</v>
      </c>
      <c r="AF11" s="357">
        <f t="shared" si="6"/>
        <v>271.43508596318196</v>
      </c>
      <c r="AG11" s="357">
        <f t="shared" si="6"/>
        <v>274.10964621683149</v>
      </c>
      <c r="AH11" s="357">
        <f t="shared" si="6"/>
        <v>276.81055999999995</v>
      </c>
      <c r="AI11" s="357">
        <f t="shared" ref="AI11:AM11" si="7">SUM(AI12:AI20)</f>
        <v>279.53808698472767</v>
      </c>
      <c r="AJ11" s="357">
        <f t="shared" si="7"/>
        <v>282.29248940170919</v>
      </c>
      <c r="AK11" s="357">
        <f t="shared" si="7"/>
        <v>285.0740320655047</v>
      </c>
      <c r="AL11" s="357">
        <f t="shared" si="7"/>
        <v>287.88298239999989</v>
      </c>
      <c r="AM11" s="357">
        <f t="shared" si="7"/>
        <v>290.71961046411673</v>
      </c>
      <c r="AN11" s="357">
        <f>SUM(AN12:AN20)</f>
        <v>293.5841889777775</v>
      </c>
      <c r="AO11" s="369"/>
      <c r="AP11" s="415"/>
    </row>
    <row r="12" spans="2:45" ht="16.399999999999999" customHeight="1" x14ac:dyDescent="0.35">
      <c r="B12" s="374" t="s">
        <v>149</v>
      </c>
      <c r="C12" s="39" t="s">
        <v>340</v>
      </c>
      <c r="D12" s="436"/>
      <c r="E12" s="39"/>
      <c r="F12" s="39"/>
      <c r="G12" s="39"/>
      <c r="H12" s="54"/>
      <c r="I12" s="54"/>
      <c r="J12" s="54">
        <f>'Haver Pivoted'!GU56</f>
        <v>597.9</v>
      </c>
      <c r="K12" s="54"/>
      <c r="L12" s="54"/>
      <c r="M12" s="54"/>
      <c r="N12" s="54"/>
      <c r="O12" s="37">
        <v>0</v>
      </c>
      <c r="P12" s="246">
        <v>0</v>
      </c>
      <c r="Q12" s="37">
        <v>0</v>
      </c>
      <c r="R12" s="37">
        <v>0</v>
      </c>
      <c r="S12" s="37">
        <v>0</v>
      </c>
      <c r="T12" s="37">
        <v>0</v>
      </c>
      <c r="U12" s="37">
        <v>0</v>
      </c>
      <c r="V12" s="37">
        <v>0</v>
      </c>
      <c r="W12" s="37">
        <v>0</v>
      </c>
      <c r="X12" s="357">
        <v>0</v>
      </c>
      <c r="Y12" s="357">
        <v>0</v>
      </c>
      <c r="Z12" s="357">
        <v>0</v>
      </c>
      <c r="AA12" s="357">
        <v>0</v>
      </c>
      <c r="AB12" s="357">
        <v>0</v>
      </c>
      <c r="AC12" s="357">
        <v>0</v>
      </c>
      <c r="AD12" s="357">
        <v>0</v>
      </c>
      <c r="AE12" s="357"/>
      <c r="AF12" s="357"/>
      <c r="AG12" s="357"/>
      <c r="AH12" s="357"/>
      <c r="AI12" s="357"/>
      <c r="AJ12" s="357"/>
      <c r="AK12" s="357"/>
      <c r="AL12" s="357"/>
      <c r="AM12" s="357"/>
      <c r="AN12" s="357"/>
      <c r="AO12" s="369">
        <f t="shared" ref="AO12:AO17" si="8">SUM(I12:Y12)/4</f>
        <v>149.47499999999999</v>
      </c>
      <c r="AP12" s="415">
        <f>AO24</f>
        <v>150</v>
      </c>
    </row>
    <row r="13" spans="2:45" x14ac:dyDescent="0.35">
      <c r="B13" s="374" t="s">
        <v>150</v>
      </c>
      <c r="C13" s="39" t="s">
        <v>341</v>
      </c>
      <c r="D13" s="436"/>
      <c r="E13" s="39"/>
      <c r="F13" s="39"/>
      <c r="G13" s="39"/>
      <c r="H13" s="54"/>
      <c r="I13" s="54"/>
      <c r="J13" s="54">
        <f>'Haver Pivoted'!GU57</f>
        <v>28.4</v>
      </c>
      <c r="K13" s="54">
        <f>'Haver Pivoted'!GV57</f>
        <v>15.8</v>
      </c>
      <c r="L13" s="54">
        <f>'Haver Pivoted'!GW57</f>
        <v>15.2</v>
      </c>
      <c r="M13" s="54">
        <f>'Haver Pivoted'!GX57</f>
        <v>28.9</v>
      </c>
      <c r="N13" s="54">
        <f>'Haver Pivoted'!GY57</f>
        <v>67.599999999999994</v>
      </c>
      <c r="O13" s="54">
        <f>'Haver Pivoted'!GZ57</f>
        <v>80.7</v>
      </c>
      <c r="P13" s="441">
        <f>'Haver Pivoted'!HA57</f>
        <v>87.2</v>
      </c>
      <c r="Q13" s="54">
        <f>'Haver Pivoted'!HB57</f>
        <v>72.400000000000006</v>
      </c>
      <c r="R13" s="54">
        <f>'Haver Pivoted'!HC57</f>
        <v>85.9</v>
      </c>
      <c r="S13" s="353">
        <f>'Haver Pivoted'!HD57</f>
        <v>68.3</v>
      </c>
      <c r="T13" s="353">
        <f>'Haver Pivoted'!HE57</f>
        <v>64</v>
      </c>
      <c r="U13" s="355">
        <f>U25+U29+U35</f>
        <v>60.929333333333297</v>
      </c>
      <c r="V13" s="355">
        <f t="shared" ref="V13:AC13" si="9">V25+V29+V35</f>
        <v>60.929333333333297</v>
      </c>
      <c r="W13" s="355">
        <f>W25+W29+W35</f>
        <v>60.929333333333297</v>
      </c>
      <c r="X13" s="355">
        <f t="shared" si="9"/>
        <v>54.244333333333302</v>
      </c>
      <c r="Y13" s="355">
        <f t="shared" si="9"/>
        <v>50.911000000000001</v>
      </c>
      <c r="Z13" s="355">
        <f t="shared" si="9"/>
        <v>31.911000000000001</v>
      </c>
      <c r="AA13" s="355">
        <f t="shared" si="9"/>
        <v>31.911000000000001</v>
      </c>
      <c r="AB13" s="355">
        <f t="shared" si="9"/>
        <v>23.099</v>
      </c>
      <c r="AC13" s="355">
        <f t="shared" si="9"/>
        <v>23.099</v>
      </c>
      <c r="AD13" s="355">
        <f>AD25+AD29+AD35</f>
        <v>23.099</v>
      </c>
      <c r="AE13" s="355"/>
      <c r="AF13" s="355"/>
      <c r="AG13" s="355"/>
      <c r="AH13" s="355"/>
      <c r="AI13" s="355"/>
      <c r="AJ13" s="355"/>
      <c r="AK13" s="355"/>
      <c r="AL13" s="355"/>
      <c r="AM13" s="355"/>
      <c r="AN13" s="355"/>
      <c r="AO13" s="369">
        <f t="shared" si="8"/>
        <v>225.58583333333326</v>
      </c>
      <c r="AP13" s="415">
        <f>AO25+AO29+AO35</f>
        <v>225.76349999999994</v>
      </c>
      <c r="AQ13" s="43">
        <f>SUM(J13:R13)/4</f>
        <v>120.52500000000001</v>
      </c>
    </row>
    <row r="14" spans="2:45" x14ac:dyDescent="0.35">
      <c r="B14" s="374" t="s">
        <v>152</v>
      </c>
      <c r="C14" s="36" t="s">
        <v>306</v>
      </c>
      <c r="D14" s="371"/>
      <c r="E14" s="36"/>
      <c r="F14" s="36"/>
      <c r="G14" s="36"/>
      <c r="H14" s="54"/>
      <c r="I14" s="54"/>
      <c r="J14" s="54">
        <f>'Haver Pivoted'!GU58</f>
        <v>64.400000000000006</v>
      </c>
      <c r="K14" s="54">
        <f>'Haver Pivoted'!GV58</f>
        <v>23.4</v>
      </c>
      <c r="L14" s="54">
        <f>'Haver Pivoted'!GW58</f>
        <v>13.8</v>
      </c>
      <c r="M14" s="54">
        <f>'Haver Pivoted'!GX58</f>
        <v>12</v>
      </c>
      <c r="N14" s="54">
        <f>'Haver Pivoted'!GY58</f>
        <v>7.5</v>
      </c>
      <c r="O14" s="54">
        <f>'Haver Pivoted'!GZ58</f>
        <v>10.5</v>
      </c>
      <c r="P14" s="441">
        <f>'Haver Pivoted'!HA58</f>
        <v>18</v>
      </c>
      <c r="Q14" s="54">
        <f>'Haver Pivoted'!HB58</f>
        <v>15</v>
      </c>
      <c r="R14" s="54">
        <f>'Haver Pivoted'!HC58</f>
        <v>11.2</v>
      </c>
      <c r="S14" s="353">
        <f>'Haver Pivoted'!HD58</f>
        <v>7.5</v>
      </c>
      <c r="T14" s="353">
        <f>'Haver Pivoted'!HE58</f>
        <v>6.2</v>
      </c>
      <c r="U14" s="353">
        <f>'Haver Pivoted'!HF58</f>
        <v>0</v>
      </c>
      <c r="V14" s="353">
        <f>'Haver Pivoted'!HG58</f>
        <v>0</v>
      </c>
      <c r="W14" s="353">
        <f>'Haver Pivoted'!HH58</f>
        <v>0</v>
      </c>
      <c r="X14" s="353">
        <f>'Haver Pivoted'!HI58</f>
        <v>0</v>
      </c>
      <c r="Y14" s="353">
        <f>'Haver Pivoted'!HJ58</f>
        <v>0</v>
      </c>
      <c r="Z14" s="353">
        <f>'Haver Pivoted'!HK58</f>
        <v>0</v>
      </c>
      <c r="AA14" s="353">
        <f>'Haver Pivoted'!HL58</f>
        <v>0</v>
      </c>
      <c r="AB14" s="353">
        <f>'Haver Pivoted'!HM58</f>
        <v>0</v>
      </c>
      <c r="AC14" s="353">
        <f>'Haver Pivoted'!HN58</f>
        <v>0</v>
      </c>
      <c r="AD14" s="353">
        <f>'Haver Pivoted'!HO58</f>
        <v>0</v>
      </c>
      <c r="AE14" s="357"/>
      <c r="AF14" s="357"/>
      <c r="AG14" s="357"/>
      <c r="AH14" s="357"/>
      <c r="AI14" s="357"/>
      <c r="AJ14" s="357"/>
      <c r="AK14" s="357"/>
      <c r="AL14" s="357"/>
      <c r="AM14" s="357"/>
      <c r="AN14" s="357"/>
      <c r="AO14" s="369">
        <f t="shared" si="8"/>
        <v>47.375</v>
      </c>
      <c r="AP14" s="415">
        <f>AO26+AO30+AO36</f>
        <v>34.125000000000007</v>
      </c>
    </row>
    <row r="15" spans="2:45" ht="15.75" customHeight="1" x14ac:dyDescent="0.35">
      <c r="B15" s="374" t="s">
        <v>342</v>
      </c>
      <c r="C15" s="36"/>
      <c r="D15" s="371"/>
      <c r="E15" s="36"/>
      <c r="F15" s="36"/>
      <c r="G15" s="36"/>
      <c r="H15" s="54"/>
      <c r="I15" s="54"/>
      <c r="J15" s="54"/>
      <c r="K15" s="54"/>
      <c r="L15" s="54"/>
      <c r="M15" s="54">
        <f>M28</f>
        <v>9.6666666666666661</v>
      </c>
      <c r="N15" s="37">
        <f t="shared" ref="N15:AC15" si="10">N28</f>
        <v>9.6666666666666661</v>
      </c>
      <c r="O15" s="37">
        <f t="shared" si="10"/>
        <v>9.6666666666666661</v>
      </c>
      <c r="P15" s="246">
        <f>P28</f>
        <v>9.6666666666666661</v>
      </c>
      <c r="Q15" s="37">
        <f>Q28</f>
        <v>9.6666666666666661</v>
      </c>
      <c r="R15" s="37">
        <f t="shared" si="10"/>
        <v>9.6666666666666661</v>
      </c>
      <c r="S15" s="37">
        <f t="shared" si="10"/>
        <v>9.6666666666666661</v>
      </c>
      <c r="T15" s="37">
        <f t="shared" si="10"/>
        <v>9.6666666666666661</v>
      </c>
      <c r="U15" s="37">
        <f t="shared" si="10"/>
        <v>9.6666666666666661</v>
      </c>
      <c r="V15" s="37">
        <f t="shared" si="10"/>
        <v>9.6666666666666661</v>
      </c>
      <c r="W15" s="37">
        <f t="shared" si="10"/>
        <v>9.6666666666666661</v>
      </c>
      <c r="X15" s="357">
        <f t="shared" si="10"/>
        <v>9.6666666666666661</v>
      </c>
      <c r="Y15" s="357">
        <f t="shared" si="10"/>
        <v>0</v>
      </c>
      <c r="Z15" s="357">
        <f t="shared" si="10"/>
        <v>0</v>
      </c>
      <c r="AA15" s="357">
        <f t="shared" si="10"/>
        <v>0</v>
      </c>
      <c r="AB15" s="357">
        <f t="shared" si="10"/>
        <v>0</v>
      </c>
      <c r="AC15" s="357">
        <f t="shared" si="10"/>
        <v>0</v>
      </c>
      <c r="AD15" s="357">
        <f t="shared" ref="AD15" si="11">AD28</f>
        <v>0</v>
      </c>
      <c r="AE15" s="357"/>
      <c r="AF15" s="357"/>
      <c r="AG15" s="357"/>
      <c r="AH15" s="357"/>
      <c r="AI15" s="357"/>
      <c r="AJ15" s="357"/>
      <c r="AK15" s="357"/>
      <c r="AL15" s="357"/>
      <c r="AM15" s="357"/>
      <c r="AN15" s="357"/>
      <c r="AO15" s="369">
        <f t="shared" si="8"/>
        <v>29.000000000000004</v>
      </c>
      <c r="AP15" s="416">
        <f>AO28</f>
        <v>29.000000000000004</v>
      </c>
      <c r="AQ15" s="386" t="s">
        <v>343</v>
      </c>
      <c r="AR15" s="386"/>
      <c r="AS15" s="386"/>
    </row>
    <row r="16" spans="2:45" ht="31.4" customHeight="1" x14ac:dyDescent="0.35">
      <c r="B16" s="374" t="s">
        <v>344</v>
      </c>
      <c r="C16" s="36"/>
      <c r="D16" s="371"/>
      <c r="E16" s="36"/>
      <c r="F16" s="36"/>
      <c r="G16" s="36"/>
      <c r="H16" s="54"/>
      <c r="I16" s="54"/>
      <c r="J16" s="54"/>
      <c r="K16" s="54"/>
      <c r="L16" s="54"/>
      <c r="M16" s="54">
        <f>M32+M31</f>
        <v>12</v>
      </c>
      <c r="N16" s="37">
        <f>N32+N31</f>
        <v>12</v>
      </c>
      <c r="O16" s="37">
        <f>O32+O31</f>
        <v>12</v>
      </c>
      <c r="P16" s="246">
        <f t="shared" ref="P16:AC16" si="12">P32+P31</f>
        <v>12</v>
      </c>
      <c r="Q16" s="37">
        <f t="shared" si="12"/>
        <v>12</v>
      </c>
      <c r="R16" s="37">
        <f t="shared" si="12"/>
        <v>12</v>
      </c>
      <c r="S16" s="37">
        <f t="shared" si="12"/>
        <v>12</v>
      </c>
      <c r="T16" s="37">
        <f t="shared" si="12"/>
        <v>12</v>
      </c>
      <c r="U16" s="37">
        <f t="shared" si="12"/>
        <v>12</v>
      </c>
      <c r="V16" s="37">
        <f t="shared" si="12"/>
        <v>12</v>
      </c>
      <c r="W16" s="37">
        <f t="shared" si="12"/>
        <v>12</v>
      </c>
      <c r="X16" s="357">
        <f t="shared" si="12"/>
        <v>12</v>
      </c>
      <c r="Y16" s="357">
        <f t="shared" si="12"/>
        <v>0</v>
      </c>
      <c r="Z16" s="357">
        <f t="shared" si="12"/>
        <v>0</v>
      </c>
      <c r="AA16" s="357">
        <f t="shared" si="12"/>
        <v>0</v>
      </c>
      <c r="AB16" s="357">
        <f t="shared" si="12"/>
        <v>0</v>
      </c>
      <c r="AC16" s="357">
        <f t="shared" si="12"/>
        <v>0</v>
      </c>
      <c r="AD16" s="357">
        <f t="shared" ref="AD16" si="13">AD32+AD31</f>
        <v>0</v>
      </c>
      <c r="AE16" s="357"/>
      <c r="AF16" s="357"/>
      <c r="AG16" s="357"/>
      <c r="AH16" s="357"/>
      <c r="AI16" s="357"/>
      <c r="AJ16" s="357"/>
      <c r="AK16" s="357"/>
      <c r="AL16" s="357"/>
      <c r="AM16" s="357"/>
      <c r="AN16" s="357"/>
      <c r="AO16" s="369">
        <f t="shared" si="8"/>
        <v>36</v>
      </c>
      <c r="AP16" s="415">
        <f>SUM(AO31:AO32)+AO37</f>
        <v>130.3365</v>
      </c>
      <c r="AQ16" s="386" t="s">
        <v>345</v>
      </c>
      <c r="AR16" s="386"/>
      <c r="AS16" s="386"/>
    </row>
    <row r="17" spans="1:45" x14ac:dyDescent="0.35">
      <c r="B17" s="374" t="s">
        <v>346</v>
      </c>
      <c r="C17" s="36"/>
      <c r="D17" s="371"/>
      <c r="E17" s="36"/>
      <c r="F17" s="36"/>
      <c r="G17" s="36"/>
      <c r="H17" s="54"/>
      <c r="I17" s="54"/>
      <c r="J17" s="54"/>
      <c r="K17" s="54"/>
      <c r="L17" s="54"/>
      <c r="M17" s="54"/>
      <c r="N17" s="37">
        <f>N37</f>
        <v>59.256</v>
      </c>
      <c r="O17" s="37">
        <f>O37</f>
        <v>59.256</v>
      </c>
      <c r="P17" s="246">
        <f>P37</f>
        <v>35.671000000000006</v>
      </c>
      <c r="Q17" s="37">
        <f>Q37</f>
        <v>35.671000000000006</v>
      </c>
      <c r="R17" s="37">
        <f t="shared" ref="R17:AC17" si="14">R37</f>
        <v>35.671000000000006</v>
      </c>
      <c r="S17" s="37">
        <f t="shared" si="14"/>
        <v>35.671000000000006</v>
      </c>
      <c r="T17" s="37">
        <f t="shared" si="14"/>
        <v>24.216000000000001</v>
      </c>
      <c r="U17" s="37">
        <f t="shared" si="14"/>
        <v>24.216000000000001</v>
      </c>
      <c r="V17" s="37">
        <f t="shared" si="14"/>
        <v>24.216000000000001</v>
      </c>
      <c r="W17" s="37">
        <f t="shared" si="14"/>
        <v>24.216000000000001</v>
      </c>
      <c r="X17" s="357">
        <f t="shared" si="14"/>
        <v>9.6430000000000007</v>
      </c>
      <c r="Y17" s="357">
        <f t="shared" si="14"/>
        <v>9.6430000000000007</v>
      </c>
      <c r="Z17" s="357">
        <f t="shared" si="14"/>
        <v>9.6430000000000007</v>
      </c>
      <c r="AA17" s="357">
        <f t="shared" si="14"/>
        <v>9.6430000000000007</v>
      </c>
      <c r="AB17" s="357">
        <f t="shared" si="14"/>
        <v>4.5789999999999997</v>
      </c>
      <c r="AC17" s="357">
        <f t="shared" si="14"/>
        <v>4.5789999999999997</v>
      </c>
      <c r="AD17" s="357">
        <f>AD37</f>
        <v>4.5789999999999997</v>
      </c>
      <c r="AE17" s="357"/>
      <c r="AF17" s="357"/>
      <c r="AG17" s="357"/>
      <c r="AH17" s="357"/>
      <c r="AI17" s="357"/>
      <c r="AJ17" s="357"/>
      <c r="AK17" s="357"/>
      <c r="AL17" s="357"/>
      <c r="AM17" s="357"/>
      <c r="AN17" s="357"/>
      <c r="AO17" s="369">
        <f t="shared" si="8"/>
        <v>94.336500000000001</v>
      </c>
      <c r="AP17" s="415"/>
      <c r="AQ17" s="386"/>
      <c r="AR17" s="386"/>
      <c r="AS17" s="386"/>
    </row>
    <row r="18" spans="1:45" ht="54" customHeight="1" x14ac:dyDescent="0.35">
      <c r="B18" s="422" t="s">
        <v>778</v>
      </c>
      <c r="C18" s="36"/>
      <c r="D18" s="371"/>
      <c r="E18" s="36"/>
      <c r="F18" s="36"/>
      <c r="G18" s="36"/>
      <c r="H18" s="54"/>
      <c r="I18" s="54"/>
      <c r="J18" s="54"/>
      <c r="K18" s="54"/>
      <c r="L18" s="54"/>
      <c r="M18" s="54"/>
      <c r="N18" s="37">
        <v>-40</v>
      </c>
      <c r="O18" s="37">
        <v>-40</v>
      </c>
      <c r="P18" s="246">
        <f>-51</f>
        <v>-51</v>
      </c>
      <c r="Q18" s="37">
        <f>-51</f>
        <v>-51</v>
      </c>
      <c r="R18" s="37">
        <v>-51</v>
      </c>
      <c r="S18" s="37">
        <f>-51</f>
        <v>-51</v>
      </c>
      <c r="T18" s="37">
        <v>0</v>
      </c>
      <c r="U18" s="37">
        <v>0</v>
      </c>
      <c r="V18" s="37">
        <v>0</v>
      </c>
      <c r="W18" s="37">
        <v>0</v>
      </c>
      <c r="X18" s="357">
        <v>-4</v>
      </c>
      <c r="Y18" s="357">
        <v>-4</v>
      </c>
      <c r="Z18" s="357">
        <v>-4</v>
      </c>
      <c r="AA18" s="357">
        <v>-4</v>
      </c>
      <c r="AB18" s="357">
        <v>-4</v>
      </c>
      <c r="AC18" s="357">
        <v>-4</v>
      </c>
      <c r="AD18" s="357">
        <v>-3</v>
      </c>
      <c r="AE18" s="357">
        <v>0</v>
      </c>
      <c r="AF18" s="357">
        <v>0</v>
      </c>
      <c r="AG18" s="357">
        <v>0</v>
      </c>
      <c r="AH18" s="357">
        <v>0</v>
      </c>
      <c r="AI18" s="357">
        <v>0</v>
      </c>
      <c r="AJ18" s="357">
        <v>0</v>
      </c>
      <c r="AK18" s="357">
        <v>0</v>
      </c>
      <c r="AL18" s="357">
        <v>0</v>
      </c>
      <c r="AM18" s="357">
        <v>0</v>
      </c>
      <c r="AN18" s="357">
        <v>0</v>
      </c>
      <c r="AO18" s="369"/>
      <c r="AP18" s="415"/>
      <c r="AQ18" s="386"/>
      <c r="AR18" s="386"/>
      <c r="AS18" s="386"/>
    </row>
    <row r="19" spans="1:45" ht="15.75" customHeight="1" x14ac:dyDescent="0.35">
      <c r="B19" s="374" t="s">
        <v>347</v>
      </c>
      <c r="C19" s="39" t="s">
        <v>348</v>
      </c>
      <c r="D19" s="371"/>
      <c r="E19" s="36"/>
      <c r="F19" s="36"/>
      <c r="G19" s="36"/>
      <c r="H19" s="54"/>
      <c r="I19" s="54"/>
      <c r="J19" s="54"/>
      <c r="K19" s="54">
        <f>'Haver Pivoted'!GV56</f>
        <v>0</v>
      </c>
      <c r="L19" s="54">
        <f>'Haver Pivoted'!GW56</f>
        <v>0</v>
      </c>
      <c r="M19" s="54">
        <f>'Haver Pivoted'!GX56</f>
        <v>0</v>
      </c>
      <c r="N19" s="54">
        <f>'Haver Pivoted'!GY56</f>
        <v>785.9</v>
      </c>
      <c r="O19" s="54">
        <f>'Haver Pivoted'!GZ56</f>
        <v>187.9</v>
      </c>
      <c r="P19" s="441">
        <f>'Haver Pivoted'!HA56</f>
        <v>9.1999999999999993</v>
      </c>
      <c r="Q19" s="54">
        <f>'Haver Pivoted'!HB56</f>
        <v>0.6</v>
      </c>
      <c r="R19" s="54">
        <f>'Haver Pivoted'!HC56</f>
        <v>0</v>
      </c>
      <c r="S19" s="353">
        <f>'Haver Pivoted'!HD56</f>
        <v>0</v>
      </c>
      <c r="T19" s="353">
        <f>'Haver Pivoted'!HE56</f>
        <v>0</v>
      </c>
      <c r="U19" s="353">
        <f>'Haver Pivoted'!HF56</f>
        <v>0</v>
      </c>
      <c r="V19" s="353">
        <f>'Haver Pivoted'!HG56</f>
        <v>0</v>
      </c>
      <c r="W19" s="353">
        <f>'Haver Pivoted'!HH56</f>
        <v>0</v>
      </c>
      <c r="X19" s="353">
        <f>'Haver Pivoted'!HI56</f>
        <v>0</v>
      </c>
      <c r="Y19" s="353">
        <f>'Haver Pivoted'!HJ56</f>
        <v>0</v>
      </c>
      <c r="Z19" s="353">
        <f>'Haver Pivoted'!HK56</f>
        <v>0</v>
      </c>
      <c r="AA19" s="353">
        <f>'Haver Pivoted'!HL56</f>
        <v>0</v>
      </c>
      <c r="AB19" s="353">
        <f>'Haver Pivoted'!HM56</f>
        <v>0</v>
      </c>
      <c r="AC19" s="353">
        <f>'Haver Pivoted'!HN56</f>
        <v>0</v>
      </c>
      <c r="AD19" s="353">
        <f>'Haver Pivoted'!HO56</f>
        <v>0</v>
      </c>
      <c r="AE19" s="350">
        <v>0</v>
      </c>
      <c r="AF19" s="350">
        <v>0</v>
      </c>
      <c r="AG19" s="350">
        <v>0</v>
      </c>
      <c r="AH19" s="350">
        <v>0</v>
      </c>
      <c r="AI19" s="350">
        <v>0</v>
      </c>
      <c r="AJ19" s="350">
        <v>0</v>
      </c>
      <c r="AK19" s="350">
        <v>0</v>
      </c>
      <c r="AL19" s="350">
        <v>0</v>
      </c>
      <c r="AM19" s="350">
        <v>0</v>
      </c>
      <c r="AN19" s="350">
        <v>0</v>
      </c>
      <c r="AO19" s="369">
        <f>SUM(I19:Y19)/4</f>
        <v>245.9</v>
      </c>
      <c r="AP19" s="415">
        <f>AO34</f>
        <v>362.04999999999995</v>
      </c>
      <c r="AQ19" s="407"/>
      <c r="AS19" s="386"/>
    </row>
    <row r="20" spans="1:45" ht="15.75" customHeight="1" x14ac:dyDescent="0.35">
      <c r="A20" s="388"/>
      <c r="B20" s="387" t="s">
        <v>349</v>
      </c>
      <c r="C20" s="399"/>
      <c r="D20" s="397">
        <f t="shared" ref="D20:T20" si="15">D11-SUM(D12:D19)</f>
        <v>198.17900000000003</v>
      </c>
      <c r="E20" s="399">
        <f t="shared" si="15"/>
        <v>185.83200000000005</v>
      </c>
      <c r="F20" s="399">
        <f t="shared" si="15"/>
        <v>196.50400000000002</v>
      </c>
      <c r="G20" s="399">
        <f t="shared" si="15"/>
        <v>190.11399999999998</v>
      </c>
      <c r="H20" s="399">
        <f t="shared" si="15"/>
        <v>208.815</v>
      </c>
      <c r="I20" s="399">
        <f t="shared" si="15"/>
        <v>212.11</v>
      </c>
      <c r="J20" s="399">
        <f t="shared" si="15"/>
        <v>193.39400000000012</v>
      </c>
      <c r="K20" s="399">
        <f t="shared" si="15"/>
        <v>211.21999999999997</v>
      </c>
      <c r="L20" s="399">
        <f t="shared" si="15"/>
        <v>219.01599999999996</v>
      </c>
      <c r="M20" s="399">
        <f t="shared" si="15"/>
        <v>215.70433333333341</v>
      </c>
      <c r="N20" s="399">
        <f t="shared" si="15"/>
        <v>218.08733333333339</v>
      </c>
      <c r="O20" s="399">
        <f t="shared" si="15"/>
        <v>220.25133333333321</v>
      </c>
      <c r="P20" s="340">
        <f t="shared" si="15"/>
        <v>247.95233333333329</v>
      </c>
      <c r="Q20" s="399">
        <f t="shared" si="15"/>
        <v>245.7353333333333</v>
      </c>
      <c r="R20" s="399">
        <f t="shared" si="15"/>
        <v>262.2163333333333</v>
      </c>
      <c r="S20" s="376">
        <f t="shared" si="15"/>
        <v>256.37333333333328</v>
      </c>
      <c r="T20" s="376">
        <f t="shared" si="15"/>
        <v>227.63733333333334</v>
      </c>
      <c r="U20" s="376">
        <f t="shared" ref="U20:Z20" si="16">U11-SUM(U12:U19)</f>
        <v>238.22800000000012</v>
      </c>
      <c r="V20" s="376">
        <f t="shared" si="16"/>
        <v>232.20100000000008</v>
      </c>
      <c r="W20" s="376">
        <f t="shared" si="16"/>
        <v>222.80400000000003</v>
      </c>
      <c r="X20" s="376">
        <f t="shared" si="16"/>
        <v>247.81200000000001</v>
      </c>
      <c r="Y20" s="376">
        <f t="shared" si="16"/>
        <v>265.71900000000005</v>
      </c>
      <c r="Z20" s="376">
        <f t="shared" si="16"/>
        <v>283.38900000000001</v>
      </c>
      <c r="AA20" s="376">
        <f>AA11-SUM(AA12:AA19)</f>
        <v>302.80900000000008</v>
      </c>
      <c r="AB20" s="376">
        <f>AB11-SUM(AB12:AB19)</f>
        <v>302.24700000000007</v>
      </c>
      <c r="AC20" s="376">
        <f>AC11-SUM(AC12:AC19)</f>
        <v>282.69200000000001</v>
      </c>
      <c r="AD20" s="376">
        <f>AD11-SUM(AD12:AD19)</f>
        <v>266.16399999999999</v>
      </c>
      <c r="AE20" s="271">
        <f>AD20*(1.04)^0.25</f>
        <v>268.78662210069973</v>
      </c>
      <c r="AF20" s="271">
        <f>AE20*(1.04)^0.25</f>
        <v>271.43508596318196</v>
      </c>
      <c r="AG20" s="271">
        <f t="shared" ref="AG20:AI20" si="17">AF20*(1.04)^0.25</f>
        <v>274.10964621683149</v>
      </c>
      <c r="AH20" s="271">
        <f t="shared" si="17"/>
        <v>276.81055999999995</v>
      </c>
      <c r="AI20" s="271">
        <f t="shared" si="17"/>
        <v>279.53808698472767</v>
      </c>
      <c r="AJ20" s="271">
        <f>AI20*(1.04)^0.25</f>
        <v>282.29248940170919</v>
      </c>
      <c r="AK20" s="271">
        <f>AJ20*(1.04)^0.25</f>
        <v>285.0740320655047</v>
      </c>
      <c r="AL20" s="271">
        <f>AK20*(1.04)^0.25</f>
        <v>287.88298239999989</v>
      </c>
      <c r="AM20" s="271">
        <f>AL20*(1.04)^0.25</f>
        <v>290.71961046411673</v>
      </c>
      <c r="AN20" s="271">
        <f>AM20*(1.04)^0.25</f>
        <v>293.5841889777775</v>
      </c>
      <c r="AO20" s="420"/>
      <c r="AP20" s="417"/>
      <c r="AQ20" s="386" t="s">
        <v>350</v>
      </c>
      <c r="AR20" s="386"/>
      <c r="AS20" s="386"/>
    </row>
    <row r="21" spans="1:45" ht="15.75" customHeight="1" x14ac:dyDescent="0.35">
      <c r="A21" s="6"/>
      <c r="B21" s="359"/>
      <c r="C21" s="36"/>
      <c r="D21" s="36"/>
      <c r="E21" s="36"/>
      <c r="F21" s="36"/>
      <c r="G21" s="36"/>
      <c r="H21" s="36"/>
      <c r="I21" s="36"/>
      <c r="J21" s="36"/>
      <c r="K21" s="36"/>
      <c r="L21" s="36"/>
      <c r="M21" s="36"/>
      <c r="N21" s="36"/>
      <c r="O21" s="36"/>
      <c r="P21" s="391"/>
      <c r="Q21" s="36"/>
      <c r="R21" s="36"/>
      <c r="AO21" s="246"/>
      <c r="AP21" s="391"/>
      <c r="AQ21" s="386"/>
      <c r="AR21" s="386"/>
      <c r="AS21" s="386"/>
    </row>
    <row r="22" spans="1:45" ht="27" customHeight="1" x14ac:dyDescent="0.35">
      <c r="B22" s="1355" t="s">
        <v>352</v>
      </c>
      <c r="C22" s="1356"/>
      <c r="D22" s="1356"/>
      <c r="E22" s="1356"/>
      <c r="F22" s="1356"/>
      <c r="G22" s="1356"/>
      <c r="H22" s="1356"/>
      <c r="I22" s="1356"/>
      <c r="J22" s="1356"/>
      <c r="K22" s="1356"/>
      <c r="L22" s="1356"/>
      <c r="M22" s="1356"/>
      <c r="N22" s="1356"/>
      <c r="O22" s="1356"/>
      <c r="P22" s="1356"/>
      <c r="Q22" s="1356"/>
      <c r="R22" s="1356"/>
      <c r="S22" s="1356"/>
      <c r="T22" s="1356"/>
      <c r="U22" s="1356"/>
      <c r="V22" s="1356"/>
      <c r="W22" s="1356"/>
      <c r="X22" s="1356"/>
      <c r="Y22" s="1356"/>
      <c r="Z22" s="1356"/>
      <c r="AA22" s="1356"/>
      <c r="AB22" s="1356"/>
      <c r="AC22" s="1356"/>
      <c r="AD22" s="330"/>
      <c r="AE22" s="330"/>
      <c r="AF22" s="330"/>
      <c r="AG22" s="330"/>
      <c r="AH22" s="330"/>
      <c r="AI22" s="330"/>
      <c r="AJ22" s="330"/>
      <c r="AK22" s="330"/>
      <c r="AL22" s="330"/>
      <c r="AM22" s="330"/>
      <c r="AN22" s="330"/>
      <c r="AO22" s="362" t="s">
        <v>334</v>
      </c>
      <c r="AP22" s="418"/>
    </row>
    <row r="23" spans="1:45" ht="17.899999999999999" customHeight="1" x14ac:dyDescent="0.35">
      <c r="B23" s="424" t="s">
        <v>353</v>
      </c>
      <c r="C23" s="36"/>
      <c r="D23" s="371"/>
      <c r="E23" s="36"/>
      <c r="F23" s="36"/>
      <c r="G23" s="36"/>
      <c r="H23" s="37"/>
      <c r="I23" s="37"/>
      <c r="J23" s="345">
        <f>SUM(J24:J26)</f>
        <v>692.8</v>
      </c>
      <c r="K23" s="345">
        <f t="shared" ref="K23:P23" si="18">SUM(K24:K26)</f>
        <v>39.200000000000003</v>
      </c>
      <c r="L23" s="345">
        <f t="shared" si="18"/>
        <v>29</v>
      </c>
      <c r="M23" s="345">
        <f t="shared" si="18"/>
        <v>27</v>
      </c>
      <c r="N23" s="345">
        <f t="shared" si="18"/>
        <v>18</v>
      </c>
      <c r="O23" s="345">
        <f t="shared" si="18"/>
        <v>0</v>
      </c>
      <c r="P23" s="242">
        <f t="shared" si="18"/>
        <v>0</v>
      </c>
      <c r="Q23" s="345"/>
      <c r="R23" s="345"/>
      <c r="S23" s="345"/>
      <c r="T23" s="350"/>
      <c r="U23" s="350"/>
      <c r="V23" s="350"/>
      <c r="W23" s="350"/>
      <c r="X23" s="350"/>
      <c r="Y23" s="350"/>
      <c r="Z23" s="350"/>
      <c r="AA23" s="350"/>
      <c r="AB23" s="350"/>
      <c r="AC23" s="350"/>
      <c r="AD23" s="350"/>
      <c r="AE23" s="350"/>
      <c r="AF23" s="350"/>
      <c r="AG23" s="350"/>
      <c r="AH23" s="350"/>
      <c r="AI23" s="350"/>
      <c r="AJ23" s="350"/>
      <c r="AK23" s="350"/>
      <c r="AL23" s="350"/>
      <c r="AM23" s="350"/>
      <c r="AN23" s="350"/>
      <c r="AO23" s="369">
        <f t="shared" ref="AO23:AO36" si="19">SUM(I23:Y23)/4</f>
        <v>201.5</v>
      </c>
      <c r="AP23" s="1359" t="s">
        <v>354</v>
      </c>
      <c r="AQ23" s="1360"/>
    </row>
    <row r="24" spans="1:45" x14ac:dyDescent="0.35">
      <c r="B24" s="389" t="s">
        <v>149</v>
      </c>
      <c r="C24" s="36"/>
      <c r="D24" s="371"/>
      <c r="E24" s="36"/>
      <c r="F24" s="36"/>
      <c r="G24" s="36"/>
      <c r="H24" s="37"/>
      <c r="I24" s="37"/>
      <c r="J24" s="345">
        <f>C44*4</f>
        <v>600</v>
      </c>
      <c r="K24" s="345"/>
      <c r="L24" s="345"/>
      <c r="M24" s="345"/>
      <c r="N24" s="345"/>
      <c r="O24" s="345"/>
      <c r="P24" s="242"/>
      <c r="Q24" s="345"/>
      <c r="R24" s="345"/>
      <c r="S24" s="345"/>
      <c r="T24" s="350"/>
      <c r="U24" s="350"/>
      <c r="V24" s="350"/>
      <c r="W24" s="350"/>
      <c r="X24" s="350"/>
      <c r="Y24" s="350"/>
      <c r="Z24" s="350"/>
      <c r="AA24" s="350"/>
      <c r="AB24" s="350"/>
      <c r="AC24" s="350"/>
      <c r="AD24" s="350"/>
      <c r="AE24" s="350"/>
      <c r="AF24" s="350"/>
      <c r="AG24" s="350"/>
      <c r="AH24" s="350"/>
      <c r="AI24" s="350"/>
      <c r="AJ24" s="350"/>
      <c r="AK24" s="350"/>
      <c r="AL24" s="350"/>
      <c r="AM24" s="350"/>
      <c r="AN24" s="350"/>
      <c r="AO24" s="369">
        <f t="shared" si="19"/>
        <v>150</v>
      </c>
      <c r="AP24" s="345"/>
    </row>
    <row r="25" spans="1:45" ht="15" customHeight="1" x14ac:dyDescent="0.35">
      <c r="B25" s="389" t="s">
        <v>150</v>
      </c>
      <c r="C25" s="36"/>
      <c r="D25" s="371"/>
      <c r="E25" s="36"/>
      <c r="F25" s="36"/>
      <c r="G25" s="36"/>
      <c r="H25" s="37"/>
      <c r="I25" s="37"/>
      <c r="J25" s="345">
        <v>28.4</v>
      </c>
      <c r="K25" s="345">
        <v>15.8</v>
      </c>
      <c r="L25" s="345">
        <v>15.2</v>
      </c>
      <c r="M25" s="345">
        <v>10.9</v>
      </c>
      <c r="N25" s="345">
        <v>18</v>
      </c>
      <c r="O25" s="345"/>
      <c r="P25" s="242"/>
      <c r="Q25" s="345"/>
      <c r="R25" s="345"/>
      <c r="S25" s="345">
        <v>20</v>
      </c>
      <c r="T25" s="385">
        <v>10</v>
      </c>
      <c r="U25" s="350"/>
      <c r="V25" s="350"/>
      <c r="W25" s="350"/>
      <c r="X25" s="350"/>
      <c r="Y25" s="350"/>
      <c r="Z25" s="350"/>
      <c r="AA25" s="350"/>
      <c r="AB25" s="350"/>
      <c r="AC25" s="350"/>
      <c r="AD25" s="350"/>
      <c r="AE25" s="350"/>
      <c r="AF25" s="350"/>
      <c r="AG25" s="350"/>
      <c r="AH25" s="350"/>
      <c r="AI25" s="350"/>
      <c r="AJ25" s="350"/>
      <c r="AK25" s="350"/>
      <c r="AL25" s="350"/>
      <c r="AM25" s="350"/>
      <c r="AN25" s="350"/>
      <c r="AO25" s="369">
        <f t="shared" si="19"/>
        <v>29.575000000000003</v>
      </c>
      <c r="AP25" s="345"/>
    </row>
    <row r="26" spans="1:45" x14ac:dyDescent="0.35">
      <c r="B26" s="389" t="s">
        <v>152</v>
      </c>
      <c r="C26" s="36"/>
      <c r="D26" s="371"/>
      <c r="E26" s="36"/>
      <c r="F26" s="36"/>
      <c r="G26" s="36"/>
      <c r="H26" s="37"/>
      <c r="I26" s="37"/>
      <c r="J26" s="245">
        <v>64.400000000000006</v>
      </c>
      <c r="K26" s="245">
        <v>23.4</v>
      </c>
      <c r="L26" s="245">
        <v>13.8</v>
      </c>
      <c r="M26" s="245">
        <v>16.100000000000001</v>
      </c>
      <c r="N26" s="345"/>
      <c r="O26" s="345"/>
      <c r="P26" s="242"/>
      <c r="Q26" s="345"/>
      <c r="R26" s="345"/>
      <c r="S26" s="345"/>
      <c r="T26" s="350"/>
      <c r="U26" s="350"/>
      <c r="V26" s="350"/>
      <c r="W26" s="350"/>
      <c r="X26" s="350"/>
      <c r="Y26" s="350"/>
      <c r="Z26" s="350"/>
      <c r="AA26" s="350"/>
      <c r="AB26" s="350"/>
      <c r="AC26" s="350"/>
      <c r="AD26" s="350"/>
      <c r="AE26" s="350"/>
      <c r="AF26" s="350"/>
      <c r="AG26" s="350"/>
      <c r="AH26" s="350"/>
      <c r="AI26" s="350"/>
      <c r="AJ26" s="350"/>
      <c r="AK26" s="350"/>
      <c r="AL26" s="350"/>
      <c r="AM26" s="350"/>
      <c r="AN26" s="350"/>
      <c r="AO26" s="369">
        <f t="shared" si="19"/>
        <v>29.425000000000004</v>
      </c>
      <c r="AP26" s="345"/>
    </row>
    <row r="27" spans="1:45" ht="16.5" customHeight="1" x14ac:dyDescent="0.35">
      <c r="B27" s="424" t="s">
        <v>355</v>
      </c>
      <c r="C27" s="36"/>
      <c r="D27" s="371"/>
      <c r="E27" s="36"/>
      <c r="F27" s="36"/>
      <c r="G27" s="36"/>
      <c r="H27" s="37"/>
      <c r="I27" s="37"/>
      <c r="J27" s="37"/>
      <c r="K27" s="37"/>
      <c r="L27" s="37"/>
      <c r="M27" s="345">
        <f>SUM(M28:M32)</f>
        <v>43</v>
      </c>
      <c r="N27" s="345">
        <f t="shared" ref="N27:AD27" si="20">SUM(N28:N32)</f>
        <v>70</v>
      </c>
      <c r="O27" s="345">
        <f t="shared" si="20"/>
        <v>59.999999999999964</v>
      </c>
      <c r="P27" s="242">
        <f t="shared" si="20"/>
        <v>50</v>
      </c>
      <c r="Q27" s="345">
        <f t="shared" si="20"/>
        <v>44.999999999999964</v>
      </c>
      <c r="R27" s="345">
        <f t="shared" si="20"/>
        <v>44.999999999999964</v>
      </c>
      <c r="S27" s="345">
        <f t="shared" si="20"/>
        <v>44.999999999999964</v>
      </c>
      <c r="T27" s="350">
        <f t="shared" si="20"/>
        <v>44.999999999999964</v>
      </c>
      <c r="U27" s="350">
        <f t="shared" si="20"/>
        <v>44.999999999999964</v>
      </c>
      <c r="V27" s="350">
        <f t="shared" si="20"/>
        <v>44.999999999999964</v>
      </c>
      <c r="W27" s="350">
        <f t="shared" si="20"/>
        <v>44.999999999999964</v>
      </c>
      <c r="X27" s="350">
        <f>SUM(X28:X32)</f>
        <v>44.999999999999964</v>
      </c>
      <c r="Y27" s="350">
        <f t="shared" si="20"/>
        <v>19</v>
      </c>
      <c r="Z27" s="350">
        <f t="shared" si="20"/>
        <v>0</v>
      </c>
      <c r="AA27" s="350">
        <f t="shared" si="20"/>
        <v>0</v>
      </c>
      <c r="AB27" s="350">
        <f t="shared" si="20"/>
        <v>0</v>
      </c>
      <c r="AC27" s="350">
        <f t="shared" si="20"/>
        <v>0</v>
      </c>
      <c r="AD27" s="350">
        <f t="shared" si="20"/>
        <v>0</v>
      </c>
      <c r="AE27" s="350"/>
      <c r="AF27" s="350"/>
      <c r="AG27" s="350"/>
      <c r="AH27" s="350"/>
      <c r="AI27" s="350"/>
      <c r="AJ27" s="350"/>
      <c r="AK27" s="350"/>
      <c r="AL27" s="350"/>
      <c r="AM27" s="350"/>
      <c r="AN27" s="350"/>
      <c r="AO27" s="369">
        <f t="shared" si="19"/>
        <v>150.49999999999991</v>
      </c>
      <c r="AP27" s="1359" t="s">
        <v>356</v>
      </c>
      <c r="AQ27" s="1360"/>
    </row>
    <row r="28" spans="1:45" x14ac:dyDescent="0.35">
      <c r="B28" s="389" t="s">
        <v>342</v>
      </c>
      <c r="C28" s="36"/>
      <c r="D28" s="371"/>
      <c r="E28" s="36"/>
      <c r="F28" s="36"/>
      <c r="G28" s="36"/>
      <c r="H28" s="37"/>
      <c r="I28" s="37"/>
      <c r="J28" s="37"/>
      <c r="K28" s="37"/>
      <c r="L28" s="37"/>
      <c r="M28" s="345">
        <f>C47/12*4</f>
        <v>9.6666666666666661</v>
      </c>
      <c r="N28" s="345">
        <f>M28</f>
        <v>9.6666666666666661</v>
      </c>
      <c r="O28" s="345">
        <f t="shared" ref="O28:X28" si="21">N28</f>
        <v>9.6666666666666661</v>
      </c>
      <c r="P28" s="242">
        <f t="shared" si="21"/>
        <v>9.6666666666666661</v>
      </c>
      <c r="Q28" s="345">
        <f t="shared" si="21"/>
        <v>9.6666666666666661</v>
      </c>
      <c r="R28" s="345">
        <f t="shared" si="21"/>
        <v>9.6666666666666661</v>
      </c>
      <c r="S28" s="345">
        <f t="shared" si="21"/>
        <v>9.6666666666666661</v>
      </c>
      <c r="T28" s="350">
        <f t="shared" si="21"/>
        <v>9.6666666666666661</v>
      </c>
      <c r="U28" s="350">
        <f t="shared" si="21"/>
        <v>9.6666666666666661</v>
      </c>
      <c r="V28" s="350">
        <f t="shared" si="21"/>
        <v>9.6666666666666661</v>
      </c>
      <c r="W28" s="350">
        <f t="shared" si="21"/>
        <v>9.6666666666666661</v>
      </c>
      <c r="X28" s="350">
        <f t="shared" si="21"/>
        <v>9.6666666666666661</v>
      </c>
      <c r="Y28" s="357"/>
      <c r="Z28" s="357"/>
      <c r="AA28" s="357"/>
      <c r="AB28" s="357"/>
      <c r="AC28" s="357"/>
      <c r="AD28" s="357"/>
      <c r="AE28" s="357"/>
      <c r="AF28" s="357"/>
      <c r="AG28" s="357"/>
      <c r="AH28" s="357"/>
      <c r="AI28" s="357"/>
      <c r="AJ28" s="357"/>
      <c r="AK28" s="357"/>
      <c r="AL28" s="357"/>
      <c r="AM28" s="357"/>
      <c r="AN28" s="357"/>
      <c r="AO28" s="369">
        <f t="shared" si="19"/>
        <v>29.000000000000004</v>
      </c>
      <c r="AP28" s="1359"/>
      <c r="AQ28" s="1360"/>
    </row>
    <row r="29" spans="1:45" ht="41.9" customHeight="1" x14ac:dyDescent="0.35">
      <c r="B29" s="389" t="s">
        <v>150</v>
      </c>
      <c r="C29" s="36"/>
      <c r="D29" s="371"/>
      <c r="E29" s="36"/>
      <c r="F29" s="36"/>
      <c r="G29" s="36"/>
      <c r="H29" s="37"/>
      <c r="I29" s="37"/>
      <c r="J29" s="37"/>
      <c r="K29" s="37"/>
      <c r="L29" s="37"/>
      <c r="M29" s="411">
        <f>C58/12*4 - 7</f>
        <v>20.333333333333332</v>
      </c>
      <c r="N29" s="411">
        <f>C58/12*4 + 20</f>
        <v>47.333333333333329</v>
      </c>
      <c r="O29" s="411">
        <v>37.3333333333333</v>
      </c>
      <c r="P29" s="341">
        <v>27.333333333333332</v>
      </c>
      <c r="Q29" s="411">
        <v>22.3333333333333</v>
      </c>
      <c r="R29" s="411">
        <v>22.3333333333333</v>
      </c>
      <c r="S29" s="411">
        <v>22.3333333333333</v>
      </c>
      <c r="T29" s="361">
        <v>22.3333333333333</v>
      </c>
      <c r="U29" s="361">
        <v>22.3333333333333</v>
      </c>
      <c r="V29" s="361">
        <v>22.3333333333333</v>
      </c>
      <c r="W29" s="361">
        <v>22.3333333333333</v>
      </c>
      <c r="X29" s="361">
        <v>22.3333333333333</v>
      </c>
      <c r="Y29" s="361">
        <v>19</v>
      </c>
      <c r="Z29" s="361"/>
      <c r="AA29" s="361"/>
      <c r="AB29" s="361"/>
      <c r="AC29" s="361"/>
      <c r="AD29" s="361"/>
      <c r="AE29" s="361"/>
      <c r="AF29" s="361"/>
      <c r="AG29" s="361"/>
      <c r="AH29" s="361"/>
      <c r="AI29" s="361"/>
      <c r="AJ29" s="361"/>
      <c r="AK29" s="361"/>
      <c r="AL29" s="361"/>
      <c r="AM29" s="361"/>
      <c r="AN29" s="361"/>
      <c r="AO29" s="369">
        <f t="shared" si="19"/>
        <v>82.499999999999943</v>
      </c>
      <c r="AP29" s="430" t="s">
        <v>357</v>
      </c>
    </row>
    <row r="30" spans="1:45" x14ac:dyDescent="0.35">
      <c r="B30" s="389" t="s">
        <v>152</v>
      </c>
      <c r="C30" s="36"/>
      <c r="D30" s="371"/>
      <c r="E30" s="36"/>
      <c r="F30" s="36"/>
      <c r="G30" s="36"/>
      <c r="H30" s="37"/>
      <c r="I30" s="37"/>
      <c r="J30" s="37"/>
      <c r="K30" s="37"/>
      <c r="L30" s="37"/>
      <c r="M30" s="345">
        <f>C59/12*4</f>
        <v>1</v>
      </c>
      <c r="N30" s="345">
        <f>C59/12*4</f>
        <v>1</v>
      </c>
      <c r="O30" s="345">
        <f t="shared" ref="O30:X30" si="22">$C$59/12*4</f>
        <v>1</v>
      </c>
      <c r="P30" s="242">
        <f t="shared" si="22"/>
        <v>1</v>
      </c>
      <c r="Q30" s="345">
        <f t="shared" si="22"/>
        <v>1</v>
      </c>
      <c r="R30" s="345">
        <f t="shared" si="22"/>
        <v>1</v>
      </c>
      <c r="S30" s="345">
        <f t="shared" si="22"/>
        <v>1</v>
      </c>
      <c r="T30" s="350">
        <f t="shared" si="22"/>
        <v>1</v>
      </c>
      <c r="U30" s="350">
        <f t="shared" si="22"/>
        <v>1</v>
      </c>
      <c r="V30" s="350">
        <f t="shared" si="22"/>
        <v>1</v>
      </c>
      <c r="W30" s="350">
        <f t="shared" si="22"/>
        <v>1</v>
      </c>
      <c r="X30" s="350">
        <f t="shared" si="22"/>
        <v>1</v>
      </c>
      <c r="Y30" s="357"/>
      <c r="Z30" s="357"/>
      <c r="AA30" s="357"/>
      <c r="AB30" s="357"/>
      <c r="AC30" s="357"/>
      <c r="AD30" s="357"/>
      <c r="AE30" s="357"/>
      <c r="AF30" s="357"/>
      <c r="AG30" s="357"/>
      <c r="AH30" s="357"/>
      <c r="AI30" s="357"/>
      <c r="AJ30" s="357"/>
      <c r="AK30" s="357"/>
      <c r="AL30" s="357"/>
      <c r="AM30" s="357"/>
      <c r="AN30" s="357"/>
      <c r="AO30" s="369">
        <f t="shared" si="19"/>
        <v>3</v>
      </c>
      <c r="AP30" s="37"/>
    </row>
    <row r="31" spans="1:45" ht="13.4" customHeight="1" x14ac:dyDescent="0.35">
      <c r="B31" s="389" t="s">
        <v>358</v>
      </c>
      <c r="C31" s="36"/>
      <c r="D31" s="371"/>
      <c r="E31" s="36"/>
      <c r="F31" s="36"/>
      <c r="G31" s="36"/>
      <c r="H31" s="37"/>
      <c r="I31" s="37"/>
      <c r="J31" s="37"/>
      <c r="K31" s="37"/>
      <c r="L31" s="37"/>
      <c r="M31" s="345">
        <f t="shared" ref="M31:X31" si="23">$C$60/12*4</f>
        <v>11.333333333333334</v>
      </c>
      <c r="N31" s="345">
        <f t="shared" si="23"/>
        <v>11.333333333333334</v>
      </c>
      <c r="O31" s="345">
        <f t="shared" si="23"/>
        <v>11.333333333333334</v>
      </c>
      <c r="P31" s="242">
        <f t="shared" si="23"/>
        <v>11.333333333333334</v>
      </c>
      <c r="Q31" s="345">
        <f t="shared" si="23"/>
        <v>11.333333333333334</v>
      </c>
      <c r="R31" s="345">
        <f t="shared" si="23"/>
        <v>11.333333333333334</v>
      </c>
      <c r="S31" s="345">
        <f t="shared" si="23"/>
        <v>11.333333333333334</v>
      </c>
      <c r="T31" s="350">
        <f t="shared" si="23"/>
        <v>11.333333333333334</v>
      </c>
      <c r="U31" s="350">
        <f t="shared" si="23"/>
        <v>11.333333333333334</v>
      </c>
      <c r="V31" s="350">
        <f t="shared" si="23"/>
        <v>11.333333333333334</v>
      </c>
      <c r="W31" s="350">
        <f t="shared" si="23"/>
        <v>11.333333333333334</v>
      </c>
      <c r="X31" s="350">
        <f t="shared" si="23"/>
        <v>11.333333333333334</v>
      </c>
      <c r="Y31" s="357"/>
      <c r="Z31" s="357"/>
      <c r="AA31" s="357"/>
      <c r="AB31" s="357"/>
      <c r="AC31" s="357"/>
      <c r="AD31" s="357"/>
      <c r="AE31" s="357"/>
      <c r="AF31" s="357"/>
      <c r="AG31" s="357"/>
      <c r="AH31" s="357"/>
      <c r="AI31" s="357"/>
      <c r="AJ31" s="357"/>
      <c r="AK31" s="357"/>
      <c r="AL31" s="357"/>
      <c r="AM31" s="357"/>
      <c r="AN31" s="357"/>
      <c r="AO31" s="369">
        <f t="shared" si="19"/>
        <v>33.999999999999993</v>
      </c>
      <c r="AP31" s="37"/>
    </row>
    <row r="32" spans="1:45" ht="29.25" customHeight="1" x14ac:dyDescent="0.35">
      <c r="B32" s="389" t="s">
        <v>359</v>
      </c>
      <c r="C32" s="36"/>
      <c r="D32" s="371"/>
      <c r="E32" s="36"/>
      <c r="F32" s="36"/>
      <c r="G32" s="36"/>
      <c r="H32" s="37"/>
      <c r="I32" s="37"/>
      <c r="J32" s="37"/>
      <c r="K32" s="37"/>
      <c r="L32" s="37"/>
      <c r="M32" s="345">
        <f t="shared" ref="M32:X32" si="24">$C$61/12*4</f>
        <v>0.66666666666666663</v>
      </c>
      <c r="N32" s="345">
        <f t="shared" si="24"/>
        <v>0.66666666666666663</v>
      </c>
      <c r="O32" s="345">
        <f t="shared" si="24"/>
        <v>0.66666666666666663</v>
      </c>
      <c r="P32" s="242">
        <f t="shared" si="24"/>
        <v>0.66666666666666663</v>
      </c>
      <c r="Q32" s="345">
        <f t="shared" si="24"/>
        <v>0.66666666666666663</v>
      </c>
      <c r="R32" s="345">
        <f t="shared" si="24"/>
        <v>0.66666666666666663</v>
      </c>
      <c r="S32" s="345">
        <f t="shared" si="24"/>
        <v>0.66666666666666663</v>
      </c>
      <c r="T32" s="350">
        <f t="shared" si="24"/>
        <v>0.66666666666666663</v>
      </c>
      <c r="U32" s="350">
        <f t="shared" si="24"/>
        <v>0.66666666666666663</v>
      </c>
      <c r="V32" s="350">
        <f t="shared" si="24"/>
        <v>0.66666666666666663</v>
      </c>
      <c r="W32" s="350">
        <f t="shared" si="24"/>
        <v>0.66666666666666663</v>
      </c>
      <c r="X32" s="350">
        <f t="shared" si="24"/>
        <v>0.66666666666666663</v>
      </c>
      <c r="Y32" s="357"/>
      <c r="Z32" s="357"/>
      <c r="AA32" s="357"/>
      <c r="AB32" s="357"/>
      <c r="AC32" s="357"/>
      <c r="AD32" s="357"/>
      <c r="AE32" s="357"/>
      <c r="AF32" s="357"/>
      <c r="AG32" s="357"/>
      <c r="AH32" s="357"/>
      <c r="AI32" s="357"/>
      <c r="AJ32" s="357"/>
      <c r="AK32" s="357"/>
      <c r="AL32" s="357"/>
      <c r="AM32" s="357"/>
      <c r="AN32" s="357"/>
      <c r="AO32" s="369">
        <f t="shared" si="19"/>
        <v>2</v>
      </c>
      <c r="AP32" s="37"/>
    </row>
    <row r="33" spans="1:99" ht="44.25" customHeight="1" x14ac:dyDescent="0.35">
      <c r="B33" s="424" t="s">
        <v>360</v>
      </c>
      <c r="C33" s="36"/>
      <c r="D33" s="371"/>
      <c r="E33" s="36"/>
      <c r="F33" s="36"/>
      <c r="G33" s="36"/>
      <c r="H33" s="37"/>
      <c r="I33" s="37"/>
      <c r="J33" s="37"/>
      <c r="K33" s="37"/>
      <c r="L33" s="37"/>
      <c r="M33" s="345"/>
      <c r="N33" s="345">
        <f t="shared" ref="N33:AC33" si="25">SUM(N34:N38)</f>
        <v>954.03959999999972</v>
      </c>
      <c r="O33" s="345">
        <f t="shared" si="25"/>
        <v>85.500399999999999</v>
      </c>
      <c r="P33" s="242">
        <f t="shared" si="25"/>
        <v>83.481000000000009</v>
      </c>
      <c r="Q33" s="345">
        <f t="shared" si="25"/>
        <v>662.76099999999997</v>
      </c>
      <c r="R33" s="345">
        <f t="shared" si="25"/>
        <v>83.481000000000009</v>
      </c>
      <c r="S33" s="345">
        <f t="shared" si="25"/>
        <v>83.481000000000009</v>
      </c>
      <c r="T33" s="350">
        <f t="shared" si="25"/>
        <v>62.811999999999998</v>
      </c>
      <c r="U33" s="350">
        <f t="shared" si="25"/>
        <v>62.811999999999998</v>
      </c>
      <c r="V33" s="350">
        <f t="shared" si="25"/>
        <v>62.811999999999998</v>
      </c>
      <c r="W33" s="350">
        <f t="shared" si="25"/>
        <v>62.811999999999998</v>
      </c>
      <c r="X33" s="350">
        <f t="shared" si="25"/>
        <v>41.554000000000002</v>
      </c>
      <c r="Y33" s="350">
        <f t="shared" si="25"/>
        <v>41.554000000000002</v>
      </c>
      <c r="Z33" s="350">
        <f t="shared" si="25"/>
        <v>41.554000000000002</v>
      </c>
      <c r="AA33" s="350">
        <f t="shared" si="25"/>
        <v>41.554000000000002</v>
      </c>
      <c r="AB33" s="350">
        <f t="shared" si="25"/>
        <v>27.678000000000001</v>
      </c>
      <c r="AC33" s="350">
        <f t="shared" si="25"/>
        <v>27.678000000000001</v>
      </c>
      <c r="AD33" s="350">
        <f>SUM(AD34:AD38)</f>
        <v>27.678000000000001</v>
      </c>
      <c r="AE33" s="350"/>
      <c r="AF33" s="350"/>
      <c r="AG33" s="350"/>
      <c r="AH33" s="350"/>
      <c r="AI33" s="350"/>
      <c r="AJ33" s="350"/>
      <c r="AK33" s="350"/>
      <c r="AL33" s="350"/>
      <c r="AM33" s="350"/>
      <c r="AN33" s="350"/>
      <c r="AO33" s="369">
        <f t="shared" si="19"/>
        <v>571.77499999999986</v>
      </c>
      <c r="AP33" s="1359" t="s">
        <v>361</v>
      </c>
      <c r="AQ33" s="1360"/>
    </row>
    <row r="34" spans="1:99" ht="17.899999999999999" customHeight="1" x14ac:dyDescent="0.35">
      <c r="B34" s="389" t="s">
        <v>347</v>
      </c>
      <c r="C34" s="36"/>
      <c r="D34" s="371"/>
      <c r="E34" s="36"/>
      <c r="F34" s="36"/>
      <c r="G34" s="36"/>
      <c r="H34" s="37"/>
      <c r="I34" s="37"/>
      <c r="J34" s="37"/>
      <c r="K34" s="37"/>
      <c r="L34" s="37"/>
      <c r="M34" s="345"/>
      <c r="N34" s="345">
        <f>0.6*C63*4</f>
        <v>868.91999999999985</v>
      </c>
      <c r="O34" s="345"/>
      <c r="P34" s="242"/>
      <c r="Q34" s="345">
        <f>0.4*C63*4</f>
        <v>579.28</v>
      </c>
      <c r="R34" s="345"/>
      <c r="S34" s="345"/>
      <c r="T34" s="350"/>
      <c r="U34" s="350"/>
      <c r="V34" s="350"/>
      <c r="W34" s="350"/>
      <c r="X34" s="350"/>
      <c r="Y34" s="350"/>
      <c r="Z34" s="350"/>
      <c r="AA34" s="350"/>
      <c r="AB34" s="350"/>
      <c r="AC34" s="350"/>
      <c r="AD34" s="350"/>
      <c r="AE34" s="350"/>
      <c r="AF34" s="350"/>
      <c r="AG34" s="350"/>
      <c r="AH34" s="350"/>
      <c r="AI34" s="350"/>
      <c r="AJ34" s="350"/>
      <c r="AK34" s="350"/>
      <c r="AL34" s="350"/>
      <c r="AM34" s="350"/>
      <c r="AN34" s="350"/>
      <c r="AO34" s="369">
        <f t="shared" si="19"/>
        <v>362.04999999999995</v>
      </c>
      <c r="AP34" s="407" t="s">
        <v>362</v>
      </c>
      <c r="AQ34" s="407"/>
    </row>
    <row r="35" spans="1:99" x14ac:dyDescent="0.35">
      <c r="B35" s="389" t="s">
        <v>150</v>
      </c>
      <c r="C35" s="36"/>
      <c r="D35" s="371"/>
      <c r="E35" s="36"/>
      <c r="F35" s="36"/>
      <c r="G35" s="36"/>
      <c r="H35" s="37"/>
      <c r="I35" s="37"/>
      <c r="J35" s="37"/>
      <c r="K35" s="37"/>
      <c r="L35" s="37"/>
      <c r="M35" s="345"/>
      <c r="N35" s="345">
        <f>'ARP Quarterly'!D9</f>
        <v>24.693999999999999</v>
      </c>
      <c r="O35" s="345">
        <f>'ARP Quarterly'!E9</f>
        <v>24.693999999999999</v>
      </c>
      <c r="P35" s="242">
        <f>'ARP Quarterly'!F9</f>
        <v>46.79</v>
      </c>
      <c r="Q35" s="345">
        <f>'ARP Quarterly'!G9</f>
        <v>46.79</v>
      </c>
      <c r="R35" s="345">
        <f>'ARP Quarterly'!H9</f>
        <v>46.79</v>
      </c>
      <c r="S35" s="345">
        <f>'ARP Quarterly'!I9</f>
        <v>46.79</v>
      </c>
      <c r="T35" s="350">
        <f>'ARP Quarterly'!J9</f>
        <v>38.595999999999997</v>
      </c>
      <c r="U35" s="350">
        <f>'ARP Quarterly'!K9</f>
        <v>38.595999999999997</v>
      </c>
      <c r="V35" s="350">
        <f>'ARP Quarterly'!L9</f>
        <v>38.595999999999997</v>
      </c>
      <c r="W35" s="350">
        <f>'ARP Quarterly'!M9</f>
        <v>38.595999999999997</v>
      </c>
      <c r="X35" s="350">
        <f>'ARP Quarterly'!N9</f>
        <v>31.911000000000001</v>
      </c>
      <c r="Y35" s="350">
        <f>'ARP Quarterly'!O9</f>
        <v>31.911000000000001</v>
      </c>
      <c r="Z35" s="350">
        <f>'ARP Quarterly'!P9</f>
        <v>31.911000000000001</v>
      </c>
      <c r="AA35" s="350">
        <f>'ARP Quarterly'!Q9</f>
        <v>31.911000000000001</v>
      </c>
      <c r="AB35" s="350">
        <f>'ARP Quarterly'!R9</f>
        <v>23.099</v>
      </c>
      <c r="AC35" s="350">
        <f>'ARP Quarterly'!S9</f>
        <v>23.099</v>
      </c>
      <c r="AD35" s="350">
        <f>'ARP Quarterly'!T9</f>
        <v>23.099</v>
      </c>
      <c r="AE35" s="350"/>
      <c r="AF35" s="350"/>
      <c r="AG35" s="350"/>
      <c r="AH35" s="350"/>
      <c r="AI35" s="350"/>
      <c r="AJ35" s="350"/>
      <c r="AK35" s="350"/>
      <c r="AL35" s="350"/>
      <c r="AM35" s="350"/>
      <c r="AN35" s="350"/>
      <c r="AO35" s="369">
        <f t="shared" si="19"/>
        <v>113.68849999999999</v>
      </c>
      <c r="AP35" s="345"/>
    </row>
    <row r="36" spans="1:99" x14ac:dyDescent="0.35">
      <c r="B36" s="389" t="s">
        <v>152</v>
      </c>
      <c r="C36" s="36"/>
      <c r="D36" s="371"/>
      <c r="E36" s="36"/>
      <c r="F36" s="36"/>
      <c r="G36" s="36"/>
      <c r="H36" s="37"/>
      <c r="I36" s="37"/>
      <c r="J36" s="37"/>
      <c r="K36" s="37"/>
      <c r="L36" s="37"/>
      <c r="M36" s="345"/>
      <c r="N36" s="345">
        <f>'ARP Quarterly'!D14</f>
        <v>1.1696</v>
      </c>
      <c r="O36" s="345">
        <f>'ARP Quarterly'!E14</f>
        <v>1.5503999999999998</v>
      </c>
      <c r="P36" s="242">
        <f>'ARP Quarterly'!F14</f>
        <v>1.02</v>
      </c>
      <c r="Q36" s="345">
        <f>'ARP Quarterly'!G14</f>
        <v>1.02</v>
      </c>
      <c r="R36" s="345">
        <f>'ARP Quarterly'!H14</f>
        <v>1.02</v>
      </c>
      <c r="S36" s="345">
        <f>'ARP Quarterly'!I14</f>
        <v>1.02</v>
      </c>
      <c r="T36" s="350">
        <f>'ARP Quarterly'!J14</f>
        <v>0</v>
      </c>
      <c r="U36" s="350">
        <f>'ARP Quarterly'!K14</f>
        <v>0</v>
      </c>
      <c r="V36" s="350">
        <f>'ARP Quarterly'!L14</f>
        <v>0</v>
      </c>
      <c r="W36" s="350">
        <f>'ARP Quarterly'!M14</f>
        <v>0</v>
      </c>
      <c r="X36" s="350">
        <f>'ARP Quarterly'!N14</f>
        <v>0</v>
      </c>
      <c r="Y36" s="350">
        <f>'ARP Quarterly'!O14</f>
        <v>0</v>
      </c>
      <c r="Z36" s="350">
        <f>'ARP Quarterly'!P14</f>
        <v>0</v>
      </c>
      <c r="AA36" s="350">
        <f>'ARP Quarterly'!Q14</f>
        <v>0</v>
      </c>
      <c r="AB36" s="350">
        <f>'ARP Quarterly'!R14</f>
        <v>0</v>
      </c>
      <c r="AC36" s="350">
        <f>'ARP Quarterly'!S14</f>
        <v>0</v>
      </c>
      <c r="AD36" s="350">
        <f>'ARP Quarterly'!T14</f>
        <v>0</v>
      </c>
      <c r="AE36" s="350"/>
      <c r="AF36" s="350"/>
      <c r="AG36" s="350"/>
      <c r="AH36" s="350"/>
      <c r="AI36" s="350"/>
      <c r="AJ36" s="350"/>
      <c r="AK36" s="350"/>
      <c r="AL36" s="350"/>
      <c r="AM36" s="350"/>
      <c r="AN36" s="350"/>
      <c r="AO36" s="369">
        <f t="shared" si="19"/>
        <v>1.6999999999999997</v>
      </c>
      <c r="AP36" s="345"/>
    </row>
    <row r="37" spans="1:99" x14ac:dyDescent="0.35">
      <c r="B37" s="389" t="s">
        <v>363</v>
      </c>
      <c r="C37" s="36"/>
      <c r="D37" s="371"/>
      <c r="E37" s="36"/>
      <c r="F37" s="36"/>
      <c r="G37" s="36"/>
      <c r="H37" s="37"/>
      <c r="I37" s="37"/>
      <c r="J37" s="37"/>
      <c r="K37" s="37"/>
      <c r="L37" s="37"/>
      <c r="M37" s="345"/>
      <c r="N37" s="345">
        <f>'ARP Quarterly'!D10</f>
        <v>59.256</v>
      </c>
      <c r="O37" s="345">
        <f>'ARP Quarterly'!E10</f>
        <v>59.256</v>
      </c>
      <c r="P37" s="242">
        <f>'ARP Quarterly'!F10</f>
        <v>35.671000000000006</v>
      </c>
      <c r="Q37" s="345">
        <f>'ARP Quarterly'!G10</f>
        <v>35.671000000000006</v>
      </c>
      <c r="R37" s="345">
        <f>'ARP Quarterly'!H10</f>
        <v>35.671000000000006</v>
      </c>
      <c r="S37" s="345">
        <f>'ARP Quarterly'!I10</f>
        <v>35.671000000000006</v>
      </c>
      <c r="T37" s="350">
        <f>'ARP Quarterly'!J10</f>
        <v>24.216000000000001</v>
      </c>
      <c r="U37" s="350">
        <f>'ARP Quarterly'!K10</f>
        <v>24.216000000000001</v>
      </c>
      <c r="V37" s="350">
        <f>'ARP Quarterly'!L10</f>
        <v>24.216000000000001</v>
      </c>
      <c r="W37" s="350">
        <f>'ARP Quarterly'!M10</f>
        <v>24.216000000000001</v>
      </c>
      <c r="X37" s="350">
        <f>'ARP Quarterly'!N10</f>
        <v>9.6430000000000007</v>
      </c>
      <c r="Y37" s="350">
        <f>'ARP Quarterly'!O10</f>
        <v>9.6430000000000007</v>
      </c>
      <c r="Z37" s="350">
        <f>'ARP Quarterly'!P10</f>
        <v>9.6430000000000007</v>
      </c>
      <c r="AA37" s="350">
        <f>'ARP Quarterly'!Q10</f>
        <v>9.6430000000000007</v>
      </c>
      <c r="AB37" s="350">
        <f>'ARP Quarterly'!R10</f>
        <v>4.5789999999999997</v>
      </c>
      <c r="AC37" s="350">
        <f>'ARP Quarterly'!S10</f>
        <v>4.5789999999999997</v>
      </c>
      <c r="AD37" s="350">
        <f>'ARP Quarterly'!T10</f>
        <v>4.5789999999999997</v>
      </c>
      <c r="AE37" s="350"/>
      <c r="AF37" s="350"/>
      <c r="AG37" s="350"/>
      <c r="AH37" s="350"/>
      <c r="AI37" s="350"/>
      <c r="AJ37" s="350"/>
      <c r="AK37" s="350"/>
      <c r="AL37" s="350"/>
      <c r="AM37" s="350"/>
      <c r="AN37" s="350"/>
      <c r="AO37" s="369">
        <f>SUM(I37:Y37)/4</f>
        <v>94.336500000000001</v>
      </c>
      <c r="AP37" s="345"/>
    </row>
    <row r="38" spans="1:99" x14ac:dyDescent="0.35">
      <c r="A38" s="6"/>
      <c r="B38" s="402"/>
      <c r="C38" s="399"/>
      <c r="D38" s="397"/>
      <c r="E38" s="399"/>
      <c r="F38" s="399"/>
      <c r="G38" s="399"/>
      <c r="H38" s="404"/>
      <c r="I38" s="404"/>
      <c r="J38" s="404"/>
      <c r="K38" s="404"/>
      <c r="L38" s="404"/>
      <c r="M38" s="346"/>
      <c r="N38" s="346"/>
      <c r="O38" s="346"/>
      <c r="P38" s="342"/>
      <c r="Q38" s="346"/>
      <c r="R38" s="346"/>
      <c r="S38" s="346"/>
      <c r="T38" s="408"/>
      <c r="U38" s="408"/>
      <c r="V38" s="408"/>
      <c r="W38" s="408"/>
      <c r="X38" s="408"/>
      <c r="Y38" s="408"/>
      <c r="Z38" s="408"/>
      <c r="AA38" s="408"/>
      <c r="AB38" s="408"/>
      <c r="AC38" s="408"/>
      <c r="AD38" s="408"/>
      <c r="AE38" s="408"/>
      <c r="AF38" s="408"/>
      <c r="AG38" s="408"/>
      <c r="AH38" s="408"/>
      <c r="AI38" s="408"/>
      <c r="AJ38" s="408"/>
      <c r="AK38" s="408"/>
      <c r="AL38" s="408"/>
      <c r="AM38" s="408"/>
      <c r="AN38" s="408"/>
      <c r="AO38" s="419"/>
      <c r="AP38" s="345"/>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row>
    <row r="39" spans="1:99" x14ac:dyDescent="0.35">
      <c r="B39" s="359"/>
      <c r="C39" s="36"/>
      <c r="D39" s="36"/>
      <c r="E39" s="36"/>
      <c r="F39" s="36"/>
      <c r="G39" s="36"/>
      <c r="H39" s="36"/>
      <c r="I39" s="36"/>
      <c r="J39" s="36"/>
      <c r="K39" s="36"/>
      <c r="L39" s="36"/>
      <c r="M39" s="36"/>
      <c r="N39" s="36"/>
      <c r="O39" s="36"/>
      <c r="P39" s="391"/>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row>
    <row r="40" spans="1:99" x14ac:dyDescent="0.35">
      <c r="B40" s="359"/>
      <c r="C40" s="36"/>
      <c r="D40" s="36"/>
      <c r="E40" s="36"/>
      <c r="F40" s="36"/>
      <c r="G40" s="36"/>
      <c r="H40" s="36"/>
      <c r="I40" s="36"/>
      <c r="J40" s="36"/>
      <c r="K40" s="36"/>
      <c r="L40" s="36"/>
      <c r="M40" s="36"/>
      <c r="N40" s="36"/>
      <c r="O40" s="36"/>
      <c r="P40" s="391"/>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row>
    <row r="41" spans="1:99" ht="17.899999999999999" customHeight="1" x14ac:dyDescent="0.35">
      <c r="B41" s="409" t="s">
        <v>364</v>
      </c>
      <c r="H41" s="37"/>
      <c r="I41" s="37"/>
      <c r="J41" s="37"/>
      <c r="K41" s="37"/>
      <c r="L41" s="37"/>
      <c r="M41" s="37"/>
      <c r="N41" s="37"/>
      <c r="O41" s="37"/>
      <c r="P41" s="246"/>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row>
    <row r="42" spans="1:99" ht="29.9" customHeight="1" x14ac:dyDescent="0.35">
      <c r="B42" s="427" t="s">
        <v>365</v>
      </c>
      <c r="C42" s="428" t="s">
        <v>366</v>
      </c>
      <c r="D42" s="429" t="s">
        <v>367</v>
      </c>
      <c r="E42" s="414" t="s">
        <v>368</v>
      </c>
      <c r="F42" s="37"/>
      <c r="G42" s="37"/>
      <c r="H42" s="37"/>
      <c r="I42" s="37"/>
      <c r="J42" s="37"/>
      <c r="K42" s="37"/>
      <c r="L42" s="37"/>
      <c r="M42" s="37"/>
      <c r="N42" s="37"/>
      <c r="O42" s="37"/>
      <c r="P42" s="246"/>
      <c r="Q42" s="37"/>
      <c r="R42" s="37"/>
      <c r="S42" s="37"/>
      <c r="T42" s="37"/>
      <c r="U42" s="37"/>
      <c r="V42" s="37"/>
      <c r="W42" s="37"/>
    </row>
    <row r="43" spans="1:99" ht="18.75" customHeight="1" x14ac:dyDescent="0.35">
      <c r="B43" s="433" t="s">
        <v>369</v>
      </c>
      <c r="C43" s="405">
        <f>SUM(C44:C49)</f>
        <v>898.11599999999999</v>
      </c>
      <c r="D43" s="37">
        <f>SUM(D44:D48)</f>
        <v>202.36666666666667</v>
      </c>
      <c r="E43" s="375">
        <f>SUM(E44:E48)</f>
        <v>650.35233333333326</v>
      </c>
      <c r="F43" s="37"/>
      <c r="G43" s="37"/>
      <c r="H43" s="37"/>
      <c r="I43" s="37"/>
      <c r="J43" s="37"/>
      <c r="K43" s="37"/>
      <c r="L43" s="37"/>
      <c r="M43" s="37"/>
      <c r="N43" s="37"/>
      <c r="O43" s="37"/>
      <c r="P43" s="246"/>
      <c r="Q43" s="37"/>
      <c r="R43" s="37"/>
      <c r="S43" s="37"/>
      <c r="T43" s="37"/>
      <c r="U43" s="37"/>
      <c r="V43" s="37"/>
      <c r="W43" s="37"/>
    </row>
    <row r="44" spans="1:99" x14ac:dyDescent="0.35">
      <c r="B44" s="432" t="s">
        <v>149</v>
      </c>
      <c r="C44" s="405">
        <f>C53</f>
        <v>150</v>
      </c>
      <c r="D44" s="37">
        <f>SUM(H12:M12)/4</f>
        <v>149.47499999999999</v>
      </c>
      <c r="E44" s="369">
        <f>C44-D44</f>
        <v>0.52500000000000568</v>
      </c>
      <c r="F44" s="37"/>
      <c r="G44" s="37"/>
      <c r="H44" s="37"/>
      <c r="I44" s="395"/>
      <c r="J44" s="395"/>
      <c r="K44" s="395"/>
      <c r="L44" s="395"/>
      <c r="M44" s="395"/>
      <c r="N44" s="395"/>
      <c r="O44" s="395"/>
      <c r="P44" s="440"/>
      <c r="Q44" s="37"/>
      <c r="R44" s="37"/>
      <c r="S44" s="37"/>
      <c r="T44" s="37"/>
      <c r="U44" s="37"/>
      <c r="V44" s="37"/>
      <c r="W44" s="37"/>
    </row>
    <row r="45" spans="1:99" x14ac:dyDescent="0.35">
      <c r="B45" s="432" t="s">
        <v>150</v>
      </c>
      <c r="C45" s="434">
        <f>C54+C58+C64</f>
        <v>273.16899999999998</v>
      </c>
      <c r="D45" s="37">
        <f>SUM(H13:M13)/4</f>
        <v>22.075000000000003</v>
      </c>
      <c r="E45" s="369">
        <f>C45-D45</f>
        <v>251.09399999999999</v>
      </c>
      <c r="F45" s="37"/>
      <c r="G45" s="37"/>
      <c r="H45" s="37"/>
      <c r="I45" s="395"/>
      <c r="J45" s="395"/>
      <c r="K45" s="395"/>
      <c r="L45" s="395"/>
      <c r="M45" s="395"/>
      <c r="N45" s="395"/>
      <c r="O45" s="395"/>
      <c r="P45" s="440"/>
      <c r="Q45" s="37"/>
      <c r="R45" s="37"/>
      <c r="S45" s="37"/>
      <c r="T45" s="37"/>
      <c r="U45" s="37"/>
      <c r="V45" s="37"/>
      <c r="W45" s="37"/>
    </row>
    <row r="46" spans="1:99" x14ac:dyDescent="0.35">
      <c r="B46" s="432" t="s">
        <v>152</v>
      </c>
      <c r="C46" s="275">
        <f>C55+C65+C59</f>
        <v>38.5</v>
      </c>
      <c r="D46" s="37">
        <f>SUM(H14:M14)/4</f>
        <v>28.400000000000002</v>
      </c>
      <c r="E46" s="369">
        <f>C46-D46</f>
        <v>10.099999999999998</v>
      </c>
      <c r="F46" s="37"/>
      <c r="G46" s="37"/>
      <c r="H46" s="37"/>
      <c r="I46" s="395"/>
      <c r="J46" s="395"/>
      <c r="K46" s="395"/>
      <c r="L46" s="395"/>
      <c r="M46" s="395"/>
      <c r="N46" s="395"/>
      <c r="O46" s="395"/>
      <c r="P46" s="440"/>
      <c r="Q46" s="1357"/>
      <c r="R46" s="1357"/>
      <c r="S46" s="1357"/>
      <c r="T46" s="1357"/>
      <c r="U46" s="1357"/>
      <c r="V46" s="1357"/>
      <c r="W46" s="1357"/>
      <c r="X46" s="1357"/>
      <c r="Y46" s="1357"/>
      <c r="Z46" s="1357"/>
      <c r="AA46" s="1357"/>
      <c r="AB46" s="1357"/>
      <c r="AC46" s="1357"/>
      <c r="AD46" s="1357"/>
      <c r="AE46" s="1357"/>
      <c r="AF46" s="1357"/>
      <c r="AG46" s="1357"/>
      <c r="AH46" s="1357"/>
      <c r="AI46" s="1357"/>
      <c r="AJ46" s="1357"/>
      <c r="AK46" s="1357"/>
      <c r="AL46" s="1357"/>
      <c r="AM46" s="1357"/>
      <c r="AN46" s="1357"/>
      <c r="AO46" s="1357"/>
      <c r="AP46" s="1357"/>
      <c r="AQ46" s="1357"/>
      <c r="AR46" s="1357"/>
      <c r="AS46" s="1357"/>
    </row>
    <row r="47" spans="1:99" ht="17.25" customHeight="1" x14ac:dyDescent="0.35">
      <c r="B47" s="432" t="s">
        <v>370</v>
      </c>
      <c r="C47" s="275">
        <f>C57</f>
        <v>29</v>
      </c>
      <c r="D47" s="37">
        <f>SUM(H15:M15)/4</f>
        <v>2.4166666666666665</v>
      </c>
      <c r="E47" s="369">
        <f>C47-D47</f>
        <v>26.583333333333332</v>
      </c>
      <c r="F47" s="37"/>
      <c r="G47" s="37"/>
      <c r="H47" s="37"/>
      <c r="I47" s="395"/>
      <c r="J47" s="395"/>
      <c r="K47" s="395"/>
      <c r="L47" s="395"/>
      <c r="M47" s="395"/>
      <c r="N47" s="395"/>
      <c r="O47" s="395"/>
      <c r="P47" s="440"/>
      <c r="Q47" s="1358"/>
      <c r="R47" s="1358"/>
      <c r="S47" s="1358"/>
      <c r="T47" s="1358"/>
      <c r="U47" s="1358"/>
      <c r="V47" s="1358"/>
      <c r="W47" s="1358"/>
      <c r="X47" s="1358"/>
      <c r="Y47" s="1358"/>
      <c r="Z47" s="233"/>
      <c r="AA47" s="233"/>
      <c r="AB47" s="233"/>
      <c r="AC47" s="233"/>
      <c r="AD47" s="233"/>
      <c r="AE47" s="233"/>
      <c r="AF47" s="233"/>
      <c r="AG47" s="233"/>
      <c r="AH47" s="233"/>
      <c r="AI47" s="233"/>
      <c r="AJ47" s="233"/>
      <c r="AK47" s="233"/>
      <c r="AL47" s="233"/>
      <c r="AM47" s="233"/>
      <c r="AN47" s="233"/>
      <c r="AO47" s="1358"/>
      <c r="AP47" s="1358"/>
      <c r="AQ47" s="1358"/>
      <c r="AR47" s="1358"/>
      <c r="AS47" s="233"/>
    </row>
    <row r="48" spans="1:99" ht="15.75" customHeight="1" x14ac:dyDescent="0.35">
      <c r="B48" s="432" t="s">
        <v>347</v>
      </c>
      <c r="C48" s="275">
        <f>C63</f>
        <v>362.04999999999995</v>
      </c>
      <c r="D48" s="37">
        <v>0</v>
      </c>
      <c r="E48" s="369">
        <f>C48-D48</f>
        <v>362.04999999999995</v>
      </c>
      <c r="F48" s="37"/>
      <c r="G48" s="37"/>
      <c r="H48" s="37"/>
      <c r="I48" s="395"/>
      <c r="J48" s="395"/>
      <c r="K48" s="395"/>
      <c r="L48" s="395"/>
      <c r="M48" s="395"/>
      <c r="N48" s="395"/>
      <c r="O48" s="395"/>
      <c r="P48" s="440"/>
      <c r="Q48" s="233"/>
      <c r="R48" s="233"/>
      <c r="S48" s="233"/>
      <c r="T48" s="233"/>
      <c r="U48" s="233"/>
      <c r="V48" s="233"/>
      <c r="W48" s="233"/>
      <c r="X48" s="233"/>
      <c r="Y48" s="233"/>
      <c r="Z48" s="233"/>
      <c r="AA48" s="233"/>
      <c r="AB48" s="233"/>
      <c r="AC48" s="233"/>
      <c r="AD48" s="233"/>
      <c r="AE48" s="233"/>
      <c r="AF48" s="233"/>
      <c r="AG48" s="233"/>
      <c r="AH48" s="233"/>
      <c r="AI48" s="233"/>
      <c r="AJ48" s="233"/>
      <c r="AK48" s="233"/>
      <c r="AL48" s="233"/>
      <c r="AM48" s="233"/>
      <c r="AN48" s="233"/>
      <c r="AO48" s="233"/>
      <c r="AP48" s="233"/>
      <c r="AQ48" s="233"/>
      <c r="AR48" s="233"/>
      <c r="AS48" s="233"/>
    </row>
    <row r="49" spans="1:23" ht="15" customHeight="1" x14ac:dyDescent="0.35">
      <c r="B49" s="431" t="s">
        <v>371</v>
      </c>
      <c r="C49" s="405">
        <f>C66+C67+C60+C61</f>
        <v>45.396999999999998</v>
      </c>
      <c r="D49" s="37"/>
      <c r="E49" s="369"/>
      <c r="F49" s="37"/>
      <c r="G49" s="37"/>
      <c r="H49" s="37"/>
      <c r="I49" s="395"/>
      <c r="J49" s="395"/>
      <c r="K49" s="395"/>
      <c r="L49" s="395"/>
      <c r="M49" s="395"/>
      <c r="N49" s="395"/>
      <c r="O49" s="395"/>
      <c r="P49" s="440"/>
      <c r="Q49" s="37"/>
      <c r="R49" s="37"/>
      <c r="S49" s="37"/>
      <c r="T49" s="37"/>
      <c r="U49" s="37"/>
      <c r="V49" s="37"/>
      <c r="W49" s="37"/>
    </row>
    <row r="50" spans="1:23" ht="5.25" customHeight="1" x14ac:dyDescent="0.35">
      <c r="B50" s="431"/>
      <c r="C50" s="405"/>
      <c r="D50" s="37"/>
      <c r="E50" s="369"/>
      <c r="F50" s="37"/>
      <c r="G50" s="37"/>
      <c r="H50" s="37"/>
      <c r="I50" s="395"/>
      <c r="J50" s="395"/>
      <c r="K50" s="395"/>
      <c r="L50" s="395"/>
      <c r="M50" s="395"/>
      <c r="N50" s="395"/>
      <c r="O50" s="395"/>
      <c r="P50" s="440"/>
      <c r="Q50" s="37"/>
      <c r="R50" s="37"/>
      <c r="S50" s="37"/>
      <c r="T50" s="37"/>
      <c r="U50" s="37"/>
      <c r="V50" s="37"/>
      <c r="W50" s="37"/>
    </row>
    <row r="51" spans="1:23" ht="18.75" customHeight="1" x14ac:dyDescent="0.35">
      <c r="B51" s="433" t="s">
        <v>372</v>
      </c>
      <c r="C51" s="275">
        <f>C52+C56+C62</f>
        <v>898.11599999999999</v>
      </c>
      <c r="D51" s="37"/>
      <c r="E51" s="369"/>
      <c r="F51" s="37"/>
      <c r="G51" s="37"/>
      <c r="H51" s="37"/>
      <c r="I51" s="395"/>
      <c r="J51" s="395"/>
      <c r="K51" s="395"/>
      <c r="L51" s="395"/>
      <c r="M51" s="395"/>
      <c r="N51" s="395"/>
      <c r="O51" s="395"/>
      <c r="P51" s="440"/>
      <c r="Q51" s="37"/>
      <c r="R51" s="37"/>
      <c r="S51" s="37"/>
      <c r="T51" s="37"/>
      <c r="U51" s="37"/>
      <c r="V51" s="37"/>
      <c r="W51" s="37"/>
    </row>
    <row r="52" spans="1:23" ht="16.399999999999999" customHeight="1" x14ac:dyDescent="0.35">
      <c r="B52" s="424" t="s">
        <v>353</v>
      </c>
      <c r="C52" s="275">
        <f>SUM(C53:C55)</f>
        <v>199</v>
      </c>
      <c r="D52" s="37"/>
      <c r="E52" s="369"/>
      <c r="F52" s="37"/>
      <c r="G52" s="37"/>
      <c r="H52" s="37"/>
      <c r="I52" s="395"/>
      <c r="J52" s="395"/>
      <c r="K52" s="395"/>
      <c r="L52" s="395"/>
      <c r="M52" s="395"/>
      <c r="N52" s="395"/>
      <c r="O52" s="395"/>
      <c r="P52" s="440"/>
      <c r="Q52" s="37"/>
      <c r="R52" s="37"/>
      <c r="S52" s="37"/>
      <c r="T52" s="37"/>
      <c r="U52" s="37"/>
      <c r="V52" s="37"/>
      <c r="W52" s="37"/>
    </row>
    <row r="53" spans="1:23" ht="20.9" customHeight="1" x14ac:dyDescent="0.35">
      <c r="B53" s="389" t="s">
        <v>149</v>
      </c>
      <c r="C53" s="275">
        <v>150</v>
      </c>
      <c r="D53" s="37"/>
      <c r="E53" s="369"/>
      <c r="F53" s="37"/>
      <c r="G53" s="37"/>
      <c r="H53" s="37"/>
      <c r="I53" s="395"/>
      <c r="J53" s="395"/>
      <c r="K53" s="395"/>
      <c r="L53" s="395"/>
      <c r="M53" s="395"/>
      <c r="N53" s="395"/>
      <c r="O53" s="395"/>
      <c r="P53" s="440"/>
      <c r="Q53" s="37"/>
      <c r="R53" s="37"/>
      <c r="S53" s="37"/>
      <c r="T53" s="37"/>
      <c r="U53" s="37"/>
      <c r="V53" s="37"/>
      <c r="W53" s="37"/>
    </row>
    <row r="54" spans="1:23" ht="16.5" customHeight="1" x14ac:dyDescent="0.35">
      <c r="B54" s="389" t="s">
        <v>150</v>
      </c>
      <c r="C54" s="434">
        <v>22</v>
      </c>
      <c r="D54" s="245"/>
      <c r="E54" s="369"/>
      <c r="F54" s="37"/>
      <c r="G54" s="37"/>
      <c r="H54" s="37"/>
      <c r="I54" s="395"/>
      <c r="J54" s="395"/>
      <c r="K54" s="395"/>
      <c r="L54" s="395"/>
      <c r="M54" s="395"/>
      <c r="N54" s="395"/>
      <c r="O54" s="395"/>
      <c r="P54" s="440"/>
      <c r="Q54" s="37"/>
      <c r="R54" s="37"/>
      <c r="S54" s="37"/>
      <c r="T54" s="37"/>
      <c r="U54" s="37"/>
      <c r="V54" s="37"/>
      <c r="W54" s="37"/>
    </row>
    <row r="55" spans="1:23" x14ac:dyDescent="0.35">
      <c r="B55" s="389" t="s">
        <v>152</v>
      </c>
      <c r="C55" s="275">
        <v>27</v>
      </c>
      <c r="D55" s="37"/>
      <c r="E55" s="369"/>
      <c r="F55" s="36"/>
      <c r="G55" s="37"/>
      <c r="H55" s="37"/>
      <c r="I55" s="395"/>
      <c r="J55" s="395"/>
      <c r="K55" s="395"/>
      <c r="L55" s="395"/>
      <c r="M55" s="395"/>
      <c r="N55" s="395"/>
      <c r="P55" s="440"/>
      <c r="Q55" s="37"/>
      <c r="R55" s="37"/>
      <c r="S55" s="37"/>
      <c r="T55" s="37"/>
      <c r="U55" s="37"/>
      <c r="V55" s="37"/>
      <c r="W55" s="37"/>
    </row>
    <row r="56" spans="1:23" ht="15" customHeight="1" x14ac:dyDescent="0.35">
      <c r="B56" s="424" t="s">
        <v>355</v>
      </c>
      <c r="C56" s="275">
        <f>SUM(C57:C61)</f>
        <v>150</v>
      </c>
      <c r="D56" s="37"/>
      <c r="E56" s="369"/>
      <c r="F56" s="37"/>
      <c r="G56" s="37"/>
      <c r="H56" s="37"/>
      <c r="I56" s="37"/>
      <c r="J56" s="37"/>
      <c r="K56" s="37"/>
      <c r="L56" s="37"/>
      <c r="M56" s="37"/>
      <c r="N56" s="37"/>
      <c r="P56" s="246"/>
      <c r="Q56" s="37"/>
      <c r="R56" s="37"/>
      <c r="S56" s="37"/>
      <c r="T56" s="37"/>
      <c r="U56" s="37"/>
      <c r="V56" s="37"/>
      <c r="W56" s="37"/>
    </row>
    <row r="57" spans="1:23" ht="17.25" customHeight="1" x14ac:dyDescent="0.35">
      <c r="B57" s="389" t="s">
        <v>342</v>
      </c>
      <c r="C57" s="275">
        <f>'Response and Relief Act Score'!F7</f>
        <v>29</v>
      </c>
      <c r="D57" s="37"/>
      <c r="E57" s="369"/>
      <c r="F57" s="37"/>
      <c r="G57" s="37"/>
      <c r="H57" s="37"/>
      <c r="I57" s="37"/>
    </row>
    <row r="58" spans="1:23" x14ac:dyDescent="0.35">
      <c r="B58" s="389" t="s">
        <v>150</v>
      </c>
      <c r="C58" s="275">
        <f>'Response and Relief Act Score'!F5</f>
        <v>82</v>
      </c>
      <c r="D58" s="37"/>
      <c r="E58" s="369"/>
      <c r="F58" s="37"/>
      <c r="G58" s="37"/>
      <c r="H58" s="37"/>
      <c r="I58" s="37"/>
      <c r="J58" s="37"/>
      <c r="K58" s="37"/>
      <c r="L58" s="37"/>
      <c r="M58" s="37"/>
      <c r="N58" s="37"/>
      <c r="P58" s="246"/>
      <c r="Q58" s="37"/>
      <c r="R58" s="37"/>
      <c r="S58" s="37"/>
      <c r="T58" s="37"/>
      <c r="U58" s="37"/>
      <c r="V58" s="37"/>
      <c r="W58" s="37"/>
    </row>
    <row r="59" spans="1:23" x14ac:dyDescent="0.35">
      <c r="B59" s="389" t="s">
        <v>152</v>
      </c>
      <c r="C59" s="275">
        <f>'Response and Relief Act Score'!F6</f>
        <v>3</v>
      </c>
      <c r="D59" s="37"/>
      <c r="E59" s="369"/>
      <c r="F59" s="37"/>
      <c r="G59" s="37"/>
      <c r="H59" s="37"/>
      <c r="I59" s="37"/>
      <c r="J59" s="37"/>
      <c r="K59" s="37"/>
      <c r="L59" s="37"/>
      <c r="M59" s="37"/>
      <c r="N59" s="37"/>
      <c r="P59" s="246"/>
      <c r="Q59" s="37"/>
      <c r="R59" s="37"/>
      <c r="S59" s="37"/>
      <c r="T59" s="37"/>
      <c r="U59" s="37"/>
      <c r="V59" s="37"/>
      <c r="W59" s="37"/>
    </row>
    <row r="60" spans="1:23" ht="29.25" customHeight="1" x14ac:dyDescent="0.35">
      <c r="B60" s="389" t="s">
        <v>358</v>
      </c>
      <c r="C60" s="275">
        <f>'Response and Relief Act Score'!F9</f>
        <v>34</v>
      </c>
      <c r="D60" s="37"/>
      <c r="E60" s="369"/>
      <c r="F60" s="37"/>
      <c r="G60" s="37"/>
      <c r="H60" s="37"/>
      <c r="I60" s="410"/>
      <c r="J60" s="37"/>
      <c r="K60" s="37"/>
      <c r="L60" s="37"/>
      <c r="M60" s="37"/>
      <c r="N60" s="37"/>
      <c r="O60" s="395"/>
      <c r="P60" s="246"/>
      <c r="Q60" s="37"/>
      <c r="R60" s="37"/>
      <c r="S60" s="37"/>
      <c r="T60" s="37"/>
      <c r="U60" s="37"/>
      <c r="V60" s="37"/>
      <c r="W60" s="37"/>
    </row>
    <row r="61" spans="1:23" ht="12.75" customHeight="1" x14ac:dyDescent="0.35">
      <c r="B61" s="389" t="s">
        <v>359</v>
      </c>
      <c r="C61" s="275">
        <f>'Response and Relief Act Score'!F8</f>
        <v>2</v>
      </c>
      <c r="D61" s="37"/>
      <c r="E61" s="369"/>
      <c r="F61" s="37"/>
      <c r="G61" s="37"/>
      <c r="H61" s="37"/>
      <c r="I61" s="37"/>
      <c r="J61" s="37"/>
      <c r="K61" s="37"/>
      <c r="L61" s="37"/>
      <c r="M61" s="37"/>
      <c r="N61" s="37"/>
      <c r="O61" s="37"/>
      <c r="P61" s="246"/>
      <c r="Q61" s="37"/>
      <c r="R61" s="37"/>
      <c r="S61" s="37"/>
      <c r="T61" s="37"/>
      <c r="U61" s="37"/>
      <c r="V61" s="37"/>
      <c r="W61" s="37"/>
    </row>
    <row r="62" spans="1:23" x14ac:dyDescent="0.35">
      <c r="A62" s="401"/>
      <c r="B62" s="398" t="s">
        <v>360</v>
      </c>
      <c r="C62" s="405">
        <f>SUM(C63:C67)</f>
        <v>549.11599999999999</v>
      </c>
      <c r="D62" s="37"/>
      <c r="E62" s="369"/>
      <c r="F62" s="37"/>
      <c r="G62" s="37"/>
      <c r="H62" s="37"/>
      <c r="I62" s="37"/>
      <c r="J62" s="37"/>
      <c r="K62" s="37"/>
      <c r="L62" s="37"/>
      <c r="M62" s="37"/>
      <c r="N62" s="37"/>
      <c r="P62" s="246"/>
      <c r="Q62" s="37"/>
      <c r="R62" s="37"/>
      <c r="S62" s="37"/>
      <c r="T62" s="37"/>
      <c r="U62" s="37"/>
      <c r="V62" s="37"/>
      <c r="W62" s="37"/>
    </row>
    <row r="63" spans="1:23" ht="16.399999999999999" customHeight="1" x14ac:dyDescent="0.35">
      <c r="A63" s="401"/>
      <c r="B63" s="400" t="s">
        <v>347</v>
      </c>
      <c r="C63" s="405">
        <f>'ARP Score'!AJ16</f>
        <v>362.04999999999995</v>
      </c>
      <c r="D63" s="37"/>
      <c r="E63" s="369"/>
      <c r="F63" s="37"/>
      <c r="G63" s="37"/>
      <c r="H63" s="37"/>
      <c r="I63" s="37"/>
      <c r="J63" s="37"/>
      <c r="K63" s="37"/>
      <c r="L63" s="37"/>
      <c r="M63" s="37"/>
      <c r="N63" s="37"/>
      <c r="O63" s="37"/>
      <c r="P63" s="246"/>
      <c r="Q63" s="37"/>
      <c r="R63" s="37"/>
      <c r="S63" s="37"/>
      <c r="T63" s="37"/>
      <c r="U63" s="37"/>
      <c r="V63" s="37"/>
      <c r="W63" s="37"/>
    </row>
    <row r="64" spans="1:23" ht="15" customHeight="1" x14ac:dyDescent="0.35">
      <c r="A64" s="1351"/>
      <c r="B64" s="400" t="s">
        <v>150</v>
      </c>
      <c r="C64" s="405">
        <f>'ARP Score'!AL16</f>
        <v>169.16899999999998</v>
      </c>
      <c r="D64" s="37"/>
      <c r="E64" s="369"/>
      <c r="F64" s="37"/>
      <c r="G64" s="37"/>
      <c r="H64" s="37"/>
      <c r="I64" s="37"/>
      <c r="J64" s="37"/>
      <c r="K64" s="37"/>
      <c r="L64" s="37"/>
      <c r="M64" s="37"/>
      <c r="N64" s="37"/>
      <c r="O64" s="37"/>
      <c r="P64" s="246"/>
      <c r="Q64" s="403"/>
      <c r="R64" s="37"/>
      <c r="S64" s="37"/>
      <c r="T64" s="37"/>
      <c r="U64" s="37"/>
      <c r="V64" s="37"/>
      <c r="W64" s="37"/>
    </row>
    <row r="65" spans="1:42" x14ac:dyDescent="0.35">
      <c r="A65" s="1351"/>
      <c r="B65" s="400" t="s">
        <v>152</v>
      </c>
      <c r="C65" s="405">
        <f>'ARP Score'!AK16</f>
        <v>8.5</v>
      </c>
      <c r="D65" s="37"/>
      <c r="E65" s="369"/>
      <c r="F65" s="37"/>
      <c r="G65" s="37"/>
      <c r="H65" s="37"/>
      <c r="I65" s="37"/>
      <c r="J65" s="37"/>
      <c r="K65" s="37"/>
      <c r="L65" s="37"/>
      <c r="M65" s="37"/>
      <c r="N65" s="37"/>
      <c r="O65" s="37"/>
      <c r="P65" s="246"/>
      <c r="Q65" s="37"/>
      <c r="R65" s="37"/>
      <c r="S65" s="37"/>
      <c r="T65" s="37"/>
      <c r="U65" s="37"/>
      <c r="V65" s="37"/>
      <c r="W65" s="37"/>
    </row>
    <row r="66" spans="1:42" ht="17.25" customHeight="1" x14ac:dyDescent="0.35">
      <c r="A66" s="401"/>
      <c r="B66" s="400" t="s">
        <v>363</v>
      </c>
      <c r="C66" s="405">
        <f>'ARP Score'!AM16</f>
        <v>0.79700000000000004</v>
      </c>
      <c r="D66" s="37"/>
      <c r="E66" s="369"/>
      <c r="F66" s="37"/>
      <c r="G66" s="37"/>
      <c r="H66" s="37"/>
      <c r="I66" s="37"/>
      <c r="J66" s="37"/>
      <c r="K66" s="37"/>
      <c r="L66" s="37"/>
      <c r="M66" s="37"/>
      <c r="N66" s="37"/>
      <c r="O66" s="37"/>
      <c r="P66" s="246"/>
      <c r="Q66" s="37"/>
      <c r="R66" s="37"/>
      <c r="S66" s="37"/>
      <c r="T66" s="37"/>
      <c r="U66" s="37"/>
      <c r="V66" s="37"/>
      <c r="W66" s="37"/>
    </row>
    <row r="67" spans="1:42" ht="17.25" customHeight="1" x14ac:dyDescent="0.35">
      <c r="A67" s="401"/>
      <c r="B67" s="402" t="s">
        <v>373</v>
      </c>
      <c r="C67" s="406">
        <f>'ARP Score'!AN16</f>
        <v>8.6</v>
      </c>
      <c r="D67" s="404"/>
      <c r="E67" s="392"/>
      <c r="F67" s="37"/>
      <c r="G67" s="37"/>
      <c r="H67" s="37"/>
      <c r="I67" s="37"/>
      <c r="J67" s="37"/>
      <c r="K67" s="37"/>
      <c r="L67" s="37"/>
      <c r="M67" s="37"/>
      <c r="N67" s="37"/>
      <c r="O67" s="37"/>
      <c r="P67" s="246"/>
      <c r="Q67" s="37"/>
      <c r="R67" s="37"/>
      <c r="S67" s="37"/>
      <c r="T67" s="37"/>
      <c r="U67" s="37"/>
      <c r="V67" s="37"/>
      <c r="W67" s="37"/>
    </row>
    <row r="68" spans="1:42" ht="17.25" customHeight="1" x14ac:dyDescent="0.35">
      <c r="B68" s="400"/>
      <c r="C68" s="55"/>
      <c r="D68" s="55"/>
      <c r="E68" s="55"/>
      <c r="F68" s="55"/>
      <c r="G68" s="55"/>
      <c r="H68" s="37"/>
      <c r="I68" s="37"/>
      <c r="J68" s="37"/>
      <c r="K68" s="37"/>
      <c r="L68" s="37"/>
      <c r="M68" s="37"/>
      <c r="N68" s="37"/>
      <c r="O68" s="37"/>
      <c r="P68" s="246"/>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row>
    <row r="69" spans="1:42" ht="17.25" customHeight="1" x14ac:dyDescent="0.35">
      <c r="B69" s="390" t="s">
        <v>374</v>
      </c>
      <c r="C69" s="55"/>
      <c r="D69" s="55"/>
      <c r="E69" s="55"/>
      <c r="F69" s="55"/>
      <c r="G69" s="55"/>
      <c r="H69" s="37"/>
      <c r="I69" s="37"/>
      <c r="J69" s="37"/>
      <c r="K69" s="37"/>
      <c r="L69" s="37"/>
      <c r="M69" s="37"/>
      <c r="N69" s="37"/>
      <c r="O69" s="37"/>
      <c r="P69" s="246"/>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row>
    <row r="70" spans="1:42" ht="14.9" customHeight="1" x14ac:dyDescent="0.35">
      <c r="B70" s="1323" t="s">
        <v>375</v>
      </c>
      <c r="C70" s="1324"/>
      <c r="D70" s="1347" t="s">
        <v>279</v>
      </c>
      <c r="E70" s="1348"/>
      <c r="F70" s="1348"/>
      <c r="G70" s="1348"/>
      <c r="H70" s="1348"/>
      <c r="I70" s="1348"/>
      <c r="J70" s="1348"/>
      <c r="K70" s="1348"/>
      <c r="L70" s="1348"/>
      <c r="M70" s="1348"/>
      <c r="N70" s="1348"/>
      <c r="O70" s="1348"/>
      <c r="P70" s="1348"/>
      <c r="Q70" s="1348"/>
      <c r="R70" s="1348"/>
      <c r="S70" s="1348"/>
      <c r="T70" s="1348"/>
      <c r="U70" s="1348"/>
      <c r="V70" s="1348"/>
      <c r="W70" s="1348"/>
      <c r="X70" s="1348"/>
      <c r="Y70" s="1348"/>
      <c r="Z70" s="1348"/>
      <c r="AA70" s="1349"/>
      <c r="AB70" s="1350" t="s">
        <v>280</v>
      </c>
      <c r="AC70" s="1331"/>
      <c r="AD70" s="1331"/>
      <c r="AE70" s="1331"/>
      <c r="AF70" s="1331"/>
      <c r="AG70" s="1331"/>
      <c r="AH70" s="1331"/>
      <c r="AI70" s="1331"/>
      <c r="AJ70" s="1331"/>
      <c r="AK70" s="1331"/>
      <c r="AL70" s="1331"/>
      <c r="AM70" s="1331"/>
      <c r="AN70" s="1332"/>
      <c r="AO70" s="331"/>
      <c r="AP70" s="331"/>
    </row>
    <row r="71" spans="1:42" x14ac:dyDescent="0.35">
      <c r="B71" s="1325"/>
      <c r="C71" s="1326"/>
      <c r="D71" s="296">
        <v>2018</v>
      </c>
      <c r="E71" s="1342">
        <v>2019</v>
      </c>
      <c r="F71" s="1343"/>
      <c r="G71" s="1343"/>
      <c r="H71" s="1344"/>
      <c r="I71" s="1342">
        <v>2020</v>
      </c>
      <c r="J71" s="1343"/>
      <c r="K71" s="1343"/>
      <c r="L71" s="1343"/>
      <c r="M71" s="1342">
        <v>2021</v>
      </c>
      <c r="N71" s="1343"/>
      <c r="O71" s="1343"/>
      <c r="P71" s="1343"/>
      <c r="Q71" s="1345">
        <v>2022</v>
      </c>
      <c r="R71" s="1346"/>
      <c r="S71" s="302"/>
      <c r="T71" s="302"/>
      <c r="U71" s="1342">
        <v>2023</v>
      </c>
      <c r="V71" s="1354"/>
      <c r="W71" s="1354"/>
      <c r="X71" s="1344"/>
      <c r="Y71" s="302"/>
      <c r="Z71" s="442">
        <v>2024</v>
      </c>
      <c r="AA71" s="442"/>
      <c r="AB71" s="335"/>
      <c r="AC71" s="1329">
        <v>2025</v>
      </c>
      <c r="AD71" s="1330"/>
      <c r="AE71" s="1330"/>
      <c r="AF71" s="1334"/>
      <c r="AG71" s="1329">
        <v>2026</v>
      </c>
      <c r="AH71" s="1330"/>
      <c r="AI71" s="1330"/>
      <c r="AJ71" s="1334"/>
      <c r="AK71" s="1329">
        <v>2027</v>
      </c>
      <c r="AL71" s="1330"/>
      <c r="AM71" s="1330"/>
      <c r="AN71" s="1334"/>
      <c r="AO71" s="249"/>
      <c r="AP71" s="249"/>
    </row>
    <row r="72" spans="1:42" x14ac:dyDescent="0.35">
      <c r="B72" s="1327"/>
      <c r="C72" s="1328"/>
      <c r="D72" s="225" t="s">
        <v>281</v>
      </c>
      <c r="E72" s="225" t="s">
        <v>282</v>
      </c>
      <c r="F72" s="226" t="s">
        <v>283</v>
      </c>
      <c r="G72" s="226" t="s">
        <v>238</v>
      </c>
      <c r="H72" s="232" t="s">
        <v>281</v>
      </c>
      <c r="I72" s="226" t="s">
        <v>282</v>
      </c>
      <c r="J72" s="226" t="s">
        <v>283</v>
      </c>
      <c r="K72" s="226" t="s">
        <v>238</v>
      </c>
      <c r="L72" s="226" t="s">
        <v>281</v>
      </c>
      <c r="M72" s="225" t="s">
        <v>282</v>
      </c>
      <c r="N72" s="226" t="s">
        <v>283</v>
      </c>
      <c r="O72" s="226" t="s">
        <v>238</v>
      </c>
      <c r="P72" s="226" t="s">
        <v>281</v>
      </c>
      <c r="Q72" s="225" t="s">
        <v>282</v>
      </c>
      <c r="R72" s="226" t="s">
        <v>283</v>
      </c>
      <c r="S72" s="226" t="s">
        <v>238</v>
      </c>
      <c r="T72" s="226" t="s">
        <v>281</v>
      </c>
      <c r="U72" s="286" t="s">
        <v>282</v>
      </c>
      <c r="V72" s="287" t="s">
        <v>283</v>
      </c>
      <c r="W72" s="287" t="s">
        <v>238</v>
      </c>
      <c r="X72" s="285" t="s">
        <v>281</v>
      </c>
      <c r="Y72" s="287" t="s">
        <v>282</v>
      </c>
      <c r="Z72" s="292" t="s">
        <v>283</v>
      </c>
      <c r="AA72" s="287" t="s">
        <v>238</v>
      </c>
      <c r="AB72" s="273" t="s">
        <v>281</v>
      </c>
      <c r="AC72" s="299" t="s">
        <v>282</v>
      </c>
      <c r="AD72" s="271" t="s">
        <v>283</v>
      </c>
      <c r="AE72" s="273" t="s">
        <v>238</v>
      </c>
      <c r="AF72" s="301" t="s">
        <v>281</v>
      </c>
      <c r="AG72" s="236" t="s">
        <v>282</v>
      </c>
      <c r="AH72" s="271" t="s">
        <v>283</v>
      </c>
      <c r="AI72" s="271" t="s">
        <v>238</v>
      </c>
      <c r="AJ72" s="290" t="s">
        <v>281</v>
      </c>
      <c r="AK72" s="236" t="s">
        <v>282</v>
      </c>
      <c r="AL72" s="271" t="s">
        <v>283</v>
      </c>
      <c r="AM72" s="271" t="s">
        <v>238</v>
      </c>
      <c r="AN72" s="290" t="s">
        <v>281</v>
      </c>
      <c r="AO72" s="56"/>
      <c r="AP72" s="56"/>
    </row>
    <row r="73" spans="1:42" ht="29.25" customHeight="1" x14ac:dyDescent="0.35">
      <c r="B73" s="365" t="s">
        <v>376</v>
      </c>
      <c r="C73" s="425"/>
      <c r="D73" s="366"/>
      <c r="E73" s="367"/>
      <c r="F73" s="367"/>
      <c r="G73" s="367"/>
      <c r="H73" s="368">
        <f t="shared" ref="H73:O73" si="26">SUM(H75:H83)</f>
        <v>208.815</v>
      </c>
      <c r="I73" s="368">
        <f t="shared" si="26"/>
        <v>212.11</v>
      </c>
      <c r="J73" s="368">
        <f t="shared" si="26"/>
        <v>321.19400000000007</v>
      </c>
      <c r="K73" s="368">
        <f t="shared" si="26"/>
        <v>295.41999999999996</v>
      </c>
      <c r="L73" s="368">
        <f t="shared" si="26"/>
        <v>293.01599999999996</v>
      </c>
      <c r="M73" s="368">
        <f t="shared" si="26"/>
        <v>318.27100000000007</v>
      </c>
      <c r="N73" s="368">
        <f t="shared" si="26"/>
        <v>354.85400000000004</v>
      </c>
      <c r="O73" s="368">
        <f t="shared" si="26"/>
        <v>373.11799999999988</v>
      </c>
      <c r="P73" s="439">
        <f>SUM(P75:P84)</f>
        <v>399.43985199999997</v>
      </c>
      <c r="Q73" s="368">
        <f>SUM(Q75:Q84)</f>
        <v>430.7982748</v>
      </c>
      <c r="R73" s="368">
        <f>SUM(R75:R84)</f>
        <v>500.33303199999995</v>
      </c>
      <c r="S73" s="368">
        <f>SUM(S75:S84)</f>
        <v>483.13586799999996</v>
      </c>
      <c r="T73" s="384">
        <f t="shared" ref="T73:AB73" si="27">SUM(T75:T84)</f>
        <v>450.110928</v>
      </c>
      <c r="U73" s="345">
        <f>SUM(U75:U84)</f>
        <v>441.01454320000011</v>
      </c>
      <c r="V73" s="345">
        <f>SUM(V75:V84)</f>
        <v>433.78172000000006</v>
      </c>
      <c r="W73" s="345">
        <f>SUM(W75:W84)</f>
        <v>417.68194400000004</v>
      </c>
      <c r="X73" s="345">
        <f t="shared" si="27"/>
        <v>432.29994399999998</v>
      </c>
      <c r="Y73" s="421">
        <f t="shared" si="27"/>
        <v>434.70694400000002</v>
      </c>
      <c r="Z73" s="421">
        <f t="shared" si="27"/>
        <v>440.59710899999999</v>
      </c>
      <c r="AA73" s="421">
        <f>SUM(AA75:AA84)</f>
        <v>461.9273300000001</v>
      </c>
      <c r="AB73" s="421">
        <f t="shared" si="27"/>
        <v>463.54132570000002</v>
      </c>
      <c r="AC73" s="350">
        <f>SUM(AC75:AC84)</f>
        <v>424.55499699999996</v>
      </c>
      <c r="AD73" s="350">
        <f>SUM(AD75:AD84)</f>
        <v>400.72761949999995</v>
      </c>
      <c r="AE73" s="350">
        <f t="shared" ref="AE73:AJ73" si="28">SUM(AE75:AE84)</f>
        <v>403.22655010069974</v>
      </c>
      <c r="AF73" s="350">
        <f t="shared" si="28"/>
        <v>401.86440476318199</v>
      </c>
      <c r="AG73" s="350">
        <f t="shared" si="28"/>
        <v>404.53896501683153</v>
      </c>
      <c r="AH73" s="350">
        <f t="shared" si="28"/>
        <v>404.43687879999999</v>
      </c>
      <c r="AI73" s="350">
        <f t="shared" si="28"/>
        <v>408.16440578472771</v>
      </c>
      <c r="AJ73" s="350">
        <f t="shared" si="28"/>
        <v>409.91880820170923</v>
      </c>
      <c r="AK73" s="350">
        <f t="shared" ref="AK73:AN73" si="29">SUM(AK75:AK84)</f>
        <v>412.70035086550473</v>
      </c>
      <c r="AL73" s="350">
        <f t="shared" si="29"/>
        <v>415.50930119999992</v>
      </c>
      <c r="AM73" s="350">
        <f>SUM(AM75:AM84)</f>
        <v>418.34592926411676</v>
      </c>
      <c r="AN73" s="350">
        <f t="shared" si="29"/>
        <v>421.21050777777754</v>
      </c>
      <c r="AO73" s="358"/>
      <c r="AP73" s="358"/>
    </row>
    <row r="74" spans="1:42" ht="19.399999999999999" customHeight="1" x14ac:dyDescent="0.35">
      <c r="B74" s="433" t="s">
        <v>377</v>
      </c>
      <c r="C74" s="245"/>
      <c r="D74" s="275"/>
      <c r="E74" s="245"/>
      <c r="F74" s="245"/>
      <c r="G74" s="245"/>
      <c r="H74" s="345"/>
      <c r="I74" s="345"/>
      <c r="J74" s="345"/>
      <c r="K74" s="345"/>
      <c r="L74" s="345"/>
      <c r="M74" s="345"/>
      <c r="N74" s="345"/>
      <c r="O74" s="345"/>
      <c r="P74" s="241"/>
      <c r="Q74" s="345"/>
      <c r="R74" s="345"/>
      <c r="S74" s="345"/>
      <c r="T74" s="345"/>
      <c r="U74" s="345"/>
      <c r="V74" s="345"/>
      <c r="W74" s="345"/>
      <c r="X74" s="345"/>
      <c r="Y74" s="351"/>
      <c r="Z74" s="351"/>
      <c r="AA74" s="351"/>
      <c r="AB74" s="351"/>
      <c r="AC74" s="351"/>
      <c r="AD74" s="351"/>
      <c r="AE74" s="351"/>
      <c r="AF74" s="351"/>
      <c r="AG74" s="350"/>
      <c r="AH74" s="350"/>
      <c r="AI74" s="350"/>
      <c r="AJ74" s="350"/>
      <c r="AK74" s="350"/>
      <c r="AL74" s="350"/>
      <c r="AM74" s="350"/>
      <c r="AN74" s="350"/>
      <c r="AO74" s="358"/>
      <c r="AP74" s="358"/>
    </row>
    <row r="75" spans="1:42" x14ac:dyDescent="0.35">
      <c r="B75" s="374" t="s">
        <v>152</v>
      </c>
      <c r="C75" s="36"/>
      <c r="D75" s="371"/>
      <c r="E75" s="36"/>
      <c r="F75" s="36"/>
      <c r="G75" s="36"/>
      <c r="H75" s="345"/>
      <c r="I75" s="345"/>
      <c r="J75" s="345">
        <f t="shared" ref="J75:AG75" si="30">J14</f>
        <v>64.400000000000006</v>
      </c>
      <c r="K75" s="345">
        <f t="shared" si="30"/>
        <v>23.4</v>
      </c>
      <c r="L75" s="345">
        <f t="shared" si="30"/>
        <v>13.8</v>
      </c>
      <c r="M75" s="345">
        <f t="shared" si="30"/>
        <v>12</v>
      </c>
      <c r="N75" s="345">
        <f t="shared" si="30"/>
        <v>7.5</v>
      </c>
      <c r="O75" s="345">
        <f t="shared" si="30"/>
        <v>10.5</v>
      </c>
      <c r="P75" s="241">
        <f t="shared" si="30"/>
        <v>18</v>
      </c>
      <c r="Q75" s="345">
        <f t="shared" si="30"/>
        <v>15</v>
      </c>
      <c r="R75" s="345">
        <f t="shared" si="30"/>
        <v>11.2</v>
      </c>
      <c r="S75" s="345">
        <f t="shared" si="30"/>
        <v>7.5</v>
      </c>
      <c r="T75" s="345">
        <f t="shared" si="30"/>
        <v>6.2</v>
      </c>
      <c r="U75" s="345">
        <f t="shared" si="30"/>
        <v>0</v>
      </c>
      <c r="V75" s="345">
        <f t="shared" si="30"/>
        <v>0</v>
      </c>
      <c r="W75" s="345">
        <f t="shared" si="30"/>
        <v>0</v>
      </c>
      <c r="X75" s="345">
        <f t="shared" si="30"/>
        <v>0</v>
      </c>
      <c r="Y75" s="351">
        <f t="shared" si="30"/>
        <v>0</v>
      </c>
      <c r="Z75" s="351">
        <f t="shared" si="30"/>
        <v>0</v>
      </c>
      <c r="AA75" s="351">
        <f t="shared" si="30"/>
        <v>0</v>
      </c>
      <c r="AB75" s="351">
        <f t="shared" si="30"/>
        <v>0</v>
      </c>
      <c r="AC75" s="351">
        <f t="shared" si="30"/>
        <v>0</v>
      </c>
      <c r="AD75" s="351">
        <f t="shared" si="30"/>
        <v>0</v>
      </c>
      <c r="AE75" s="351">
        <f t="shared" si="30"/>
        <v>0</v>
      </c>
      <c r="AF75" s="351">
        <f t="shared" si="30"/>
        <v>0</v>
      </c>
      <c r="AG75" s="350">
        <f t="shared" si="30"/>
        <v>0</v>
      </c>
      <c r="AH75" s="350">
        <f t="shared" ref="AH75:AI75" si="31">AH14</f>
        <v>0</v>
      </c>
      <c r="AI75" s="350">
        <f t="shared" si="31"/>
        <v>0</v>
      </c>
      <c r="AJ75" s="350">
        <f t="shared" ref="AJ75:AN75" si="32">AJ14</f>
        <v>0</v>
      </c>
      <c r="AK75" s="350">
        <f>AK14</f>
        <v>0</v>
      </c>
      <c r="AL75" s="350">
        <f t="shared" si="32"/>
        <v>0</v>
      </c>
      <c r="AM75" s="350">
        <f t="shared" si="32"/>
        <v>0</v>
      </c>
      <c r="AN75" s="350">
        <f t="shared" si="32"/>
        <v>0</v>
      </c>
      <c r="AO75" s="345"/>
      <c r="AP75" s="345"/>
    </row>
    <row r="76" spans="1:42" x14ac:dyDescent="0.35">
      <c r="B76" s="374" t="s">
        <v>342</v>
      </c>
      <c r="C76" s="36"/>
      <c r="D76" s="371"/>
      <c r="E76" s="36"/>
      <c r="F76" s="36"/>
      <c r="G76" s="36"/>
      <c r="H76" s="345"/>
      <c r="I76" s="345"/>
      <c r="J76" s="345"/>
      <c r="K76" s="345"/>
      <c r="L76" s="345"/>
      <c r="M76" s="345">
        <f>M28</f>
        <v>9.6666666666666661</v>
      </c>
      <c r="N76" s="345">
        <f t="shared" ref="N76:AC76" si="33">N28</f>
        <v>9.6666666666666661</v>
      </c>
      <c r="O76" s="345">
        <f t="shared" si="33"/>
        <v>9.6666666666666661</v>
      </c>
      <c r="P76" s="241">
        <f t="shared" si="33"/>
        <v>9.6666666666666661</v>
      </c>
      <c r="Q76" s="345">
        <f>Q28</f>
        <v>9.6666666666666661</v>
      </c>
      <c r="R76" s="345">
        <f>R28</f>
        <v>9.6666666666666661</v>
      </c>
      <c r="S76" s="345">
        <f>S28</f>
        <v>9.6666666666666661</v>
      </c>
      <c r="T76" s="345">
        <f t="shared" si="33"/>
        <v>9.6666666666666661</v>
      </c>
      <c r="U76" s="345">
        <f t="shared" si="33"/>
        <v>9.6666666666666661</v>
      </c>
      <c r="V76" s="345">
        <f t="shared" si="33"/>
        <v>9.6666666666666661</v>
      </c>
      <c r="W76" s="345">
        <f t="shared" si="33"/>
        <v>9.6666666666666661</v>
      </c>
      <c r="X76" s="345">
        <f t="shared" si="33"/>
        <v>9.6666666666666661</v>
      </c>
      <c r="Y76" s="351">
        <f t="shared" si="33"/>
        <v>0</v>
      </c>
      <c r="Z76" s="351">
        <f t="shared" si="33"/>
        <v>0</v>
      </c>
      <c r="AA76" s="351">
        <f t="shared" si="33"/>
        <v>0</v>
      </c>
      <c r="AB76" s="351">
        <f t="shared" si="33"/>
        <v>0</v>
      </c>
      <c r="AC76" s="351">
        <f t="shared" si="33"/>
        <v>0</v>
      </c>
      <c r="AD76" s="351">
        <f t="shared" ref="AD76:AG76" si="34">AD28</f>
        <v>0</v>
      </c>
      <c r="AE76" s="351">
        <f t="shared" si="34"/>
        <v>0</v>
      </c>
      <c r="AF76" s="351">
        <f t="shared" si="34"/>
        <v>0</v>
      </c>
      <c r="AG76" s="350">
        <f t="shared" si="34"/>
        <v>0</v>
      </c>
      <c r="AH76" s="350">
        <f t="shared" ref="AH76:AI76" si="35">AH28</f>
        <v>0</v>
      </c>
      <c r="AI76" s="350">
        <f t="shared" si="35"/>
        <v>0</v>
      </c>
      <c r="AJ76" s="350">
        <f t="shared" ref="AJ76:AN76" si="36">AJ28</f>
        <v>0</v>
      </c>
      <c r="AK76" s="350">
        <f t="shared" si="36"/>
        <v>0</v>
      </c>
      <c r="AL76" s="350">
        <f t="shared" si="36"/>
        <v>0</v>
      </c>
      <c r="AM76" s="350">
        <f t="shared" si="36"/>
        <v>0</v>
      </c>
      <c r="AN76" s="350">
        <f t="shared" si="36"/>
        <v>0</v>
      </c>
      <c r="AO76" s="345"/>
      <c r="AP76" s="345"/>
    </row>
    <row r="77" spans="1:42" x14ac:dyDescent="0.35">
      <c r="B77" s="374" t="s">
        <v>378</v>
      </c>
      <c r="C77" s="36"/>
      <c r="D77" s="371"/>
      <c r="E77" s="36"/>
      <c r="F77" s="36"/>
      <c r="G77" s="36"/>
      <c r="H77" s="345"/>
      <c r="I77" s="345"/>
      <c r="J77" s="345"/>
      <c r="K77" s="345"/>
      <c r="L77" s="345"/>
      <c r="M77" s="345">
        <f t="shared" ref="M77:AG77" si="37">M16</f>
        <v>12</v>
      </c>
      <c r="N77" s="345">
        <f t="shared" si="37"/>
        <v>12</v>
      </c>
      <c r="O77" s="345">
        <f t="shared" si="37"/>
        <v>12</v>
      </c>
      <c r="P77" s="241">
        <f t="shared" si="37"/>
        <v>12</v>
      </c>
      <c r="Q77" s="345">
        <f t="shared" si="37"/>
        <v>12</v>
      </c>
      <c r="R77" s="345">
        <f t="shared" si="37"/>
        <v>12</v>
      </c>
      <c r="S77" s="345">
        <f t="shared" si="37"/>
        <v>12</v>
      </c>
      <c r="T77" s="345">
        <f t="shared" si="37"/>
        <v>12</v>
      </c>
      <c r="U77" s="345">
        <f t="shared" si="37"/>
        <v>12</v>
      </c>
      <c r="V77" s="345">
        <f t="shared" si="37"/>
        <v>12</v>
      </c>
      <c r="W77" s="345">
        <f t="shared" si="37"/>
        <v>12</v>
      </c>
      <c r="X77" s="345">
        <f t="shared" si="37"/>
        <v>12</v>
      </c>
      <c r="Y77" s="351">
        <f t="shared" si="37"/>
        <v>0</v>
      </c>
      <c r="Z77" s="351">
        <f t="shared" si="37"/>
        <v>0</v>
      </c>
      <c r="AA77" s="351">
        <f t="shared" si="37"/>
        <v>0</v>
      </c>
      <c r="AB77" s="351">
        <f t="shared" si="37"/>
        <v>0</v>
      </c>
      <c r="AC77" s="351">
        <f t="shared" si="37"/>
        <v>0</v>
      </c>
      <c r="AD77" s="351">
        <f t="shared" si="37"/>
        <v>0</v>
      </c>
      <c r="AE77" s="351">
        <f t="shared" si="37"/>
        <v>0</v>
      </c>
      <c r="AF77" s="351">
        <f t="shared" si="37"/>
        <v>0</v>
      </c>
      <c r="AG77" s="350">
        <f t="shared" si="37"/>
        <v>0</v>
      </c>
      <c r="AH77" s="350">
        <f t="shared" ref="AH77:AI77" si="38">AH16</f>
        <v>0</v>
      </c>
      <c r="AI77" s="350">
        <f t="shared" si="38"/>
        <v>0</v>
      </c>
      <c r="AJ77" s="350">
        <f t="shared" ref="AJ77:AN77" si="39">AJ16</f>
        <v>0</v>
      </c>
      <c r="AK77" s="350">
        <f t="shared" si="39"/>
        <v>0</v>
      </c>
      <c r="AL77" s="350">
        <f t="shared" si="39"/>
        <v>0</v>
      </c>
      <c r="AM77" s="350">
        <f t="shared" si="39"/>
        <v>0</v>
      </c>
      <c r="AN77" s="350">
        <f t="shared" si="39"/>
        <v>0</v>
      </c>
      <c r="AO77" s="345"/>
      <c r="AP77" s="345"/>
    </row>
    <row r="78" spans="1:42" x14ac:dyDescent="0.35">
      <c r="B78" s="374" t="s">
        <v>379</v>
      </c>
      <c r="C78" s="36"/>
      <c r="D78" s="371"/>
      <c r="E78" s="36"/>
      <c r="F78" s="36"/>
      <c r="G78" s="36"/>
      <c r="H78" s="39">
        <f t="shared" ref="H78:AH78" si="40">H20</f>
        <v>208.815</v>
      </c>
      <c r="I78" s="39">
        <f t="shared" si="40"/>
        <v>212.11</v>
      </c>
      <c r="J78" s="39">
        <f t="shared" si="40"/>
        <v>193.39400000000012</v>
      </c>
      <c r="K78" s="39">
        <f t="shared" si="40"/>
        <v>211.21999999999997</v>
      </c>
      <c r="L78" s="39">
        <f t="shared" si="40"/>
        <v>219.01599999999996</v>
      </c>
      <c r="M78" s="39">
        <f t="shared" si="40"/>
        <v>215.70433333333341</v>
      </c>
      <c r="N78" s="39">
        <f t="shared" si="40"/>
        <v>218.08733333333339</v>
      </c>
      <c r="O78" s="39">
        <f t="shared" si="40"/>
        <v>220.25133333333321</v>
      </c>
      <c r="P78" s="343">
        <f t="shared" si="40"/>
        <v>247.95233333333329</v>
      </c>
      <c r="Q78" s="39">
        <f t="shared" si="40"/>
        <v>245.7353333333333</v>
      </c>
      <c r="R78" s="39">
        <f t="shared" si="40"/>
        <v>262.2163333333333</v>
      </c>
      <c r="S78" s="39">
        <f t="shared" si="40"/>
        <v>256.37333333333328</v>
      </c>
      <c r="T78" s="39">
        <f t="shared" si="40"/>
        <v>227.63733333333334</v>
      </c>
      <c r="U78" s="363">
        <f t="shared" si="40"/>
        <v>238.22800000000012</v>
      </c>
      <c r="V78" s="39">
        <f t="shared" si="40"/>
        <v>232.20100000000008</v>
      </c>
      <c r="W78" s="39">
        <f t="shared" si="40"/>
        <v>222.80400000000003</v>
      </c>
      <c r="X78" s="39">
        <f t="shared" si="40"/>
        <v>247.81200000000001</v>
      </c>
      <c r="Y78" s="352">
        <f t="shared" si="40"/>
        <v>265.71900000000005</v>
      </c>
      <c r="Z78" s="352">
        <f t="shared" si="40"/>
        <v>283.38900000000001</v>
      </c>
      <c r="AA78" s="352">
        <f>AA20</f>
        <v>302.80900000000008</v>
      </c>
      <c r="AB78" s="352">
        <f t="shared" si="40"/>
        <v>302.24700000000007</v>
      </c>
      <c r="AC78" s="352">
        <f t="shared" si="40"/>
        <v>282.69200000000001</v>
      </c>
      <c r="AD78" s="352">
        <f>AD20</f>
        <v>266.16399999999999</v>
      </c>
      <c r="AE78" s="352">
        <f t="shared" si="40"/>
        <v>268.78662210069973</v>
      </c>
      <c r="AF78" s="352">
        <f t="shared" si="40"/>
        <v>271.43508596318196</v>
      </c>
      <c r="AG78" s="336">
        <f t="shared" si="40"/>
        <v>274.10964621683149</v>
      </c>
      <c r="AH78" s="336">
        <f t="shared" si="40"/>
        <v>276.81055999999995</v>
      </c>
      <c r="AI78" s="336">
        <f t="shared" ref="AI78:AJ78" si="41">AI20</f>
        <v>279.53808698472767</v>
      </c>
      <c r="AJ78" s="336">
        <f t="shared" si="41"/>
        <v>282.29248940170919</v>
      </c>
      <c r="AK78" s="336">
        <f t="shared" ref="AK78:AN78" si="42">AK20</f>
        <v>285.0740320655047</v>
      </c>
      <c r="AL78" s="336">
        <f t="shared" si="42"/>
        <v>287.88298239999989</v>
      </c>
      <c r="AM78" s="336">
        <f t="shared" si="42"/>
        <v>290.71961046411673</v>
      </c>
      <c r="AN78" s="336">
        <f t="shared" si="42"/>
        <v>293.5841889777775</v>
      </c>
      <c r="AO78" s="39"/>
      <c r="AP78" s="39"/>
    </row>
    <row r="79" spans="1:42" x14ac:dyDescent="0.35">
      <c r="B79" s="374" t="s">
        <v>1179</v>
      </c>
      <c r="C79" s="36"/>
      <c r="D79" s="371"/>
      <c r="E79" s="36"/>
      <c r="F79" s="36"/>
      <c r="G79" s="36"/>
      <c r="H79" s="39"/>
      <c r="I79" s="39"/>
      <c r="J79" s="39"/>
      <c r="K79" s="39"/>
      <c r="L79" s="39"/>
      <c r="M79" s="39"/>
      <c r="N79" s="39"/>
      <c r="O79" s="39"/>
      <c r="P79" s="343"/>
      <c r="Q79" s="39"/>
      <c r="R79" s="39"/>
      <c r="S79" s="347">
        <f>'IRA and CHIPS'!E184</f>
        <v>0</v>
      </c>
      <c r="T79" s="347">
        <f>'IRA and CHIPS'!F184</f>
        <v>6.8000000000000005E-2</v>
      </c>
      <c r="U79" s="347">
        <f>'IRA and CHIPS'!G184</f>
        <v>6.8000000000000005E-2</v>
      </c>
      <c r="V79" s="347">
        <f>'IRA and CHIPS'!H184</f>
        <v>6.8000000000000005E-2</v>
      </c>
      <c r="W79" s="347">
        <f>'IRA and CHIPS'!I184</f>
        <v>6.8000000000000005E-2</v>
      </c>
      <c r="X79" s="347">
        <f>'IRA and CHIPS'!J184</f>
        <v>1.363</v>
      </c>
      <c r="Y79" s="360">
        <f>'IRA and CHIPS'!K184</f>
        <v>1.363</v>
      </c>
      <c r="Z79" s="360">
        <f>'IRA and CHIPS'!L184</f>
        <v>1.363</v>
      </c>
      <c r="AA79" s="360">
        <f>'IRA and CHIPS'!M184</f>
        <v>1.363</v>
      </c>
      <c r="AB79" s="360">
        <f>'IRA and CHIPS'!N184</f>
        <v>2.4329999999999998</v>
      </c>
      <c r="AC79" s="360">
        <f>'IRA and CHIPS'!O184</f>
        <v>2.4329999999999998</v>
      </c>
      <c r="AD79" s="360">
        <f>'IRA and CHIPS'!P184</f>
        <v>2.4329999999999998</v>
      </c>
      <c r="AE79" s="360">
        <f>'IRA and CHIPS'!Q184</f>
        <v>2.4329999999999998</v>
      </c>
      <c r="AF79" s="360">
        <f>'IRA and CHIPS'!R184</f>
        <v>2.8029999999999999</v>
      </c>
      <c r="AG79" s="360">
        <f>'IRA and CHIPS'!S184</f>
        <v>2.8029999999999999</v>
      </c>
      <c r="AH79" s="360"/>
      <c r="AI79" s="360">
        <f>'IRA and CHIPS'!U184</f>
        <v>0</v>
      </c>
      <c r="AJ79" s="360"/>
      <c r="AK79" s="360"/>
      <c r="AL79" s="360"/>
      <c r="AM79" s="360"/>
      <c r="AN79" s="360"/>
      <c r="AO79" s="39"/>
      <c r="AP79" s="39"/>
    </row>
    <row r="80" spans="1:42" ht="14.9" customHeight="1" x14ac:dyDescent="0.35">
      <c r="B80" s="413" t="s">
        <v>380</v>
      </c>
      <c r="C80" s="36"/>
      <c r="D80" s="371"/>
      <c r="E80" s="36"/>
      <c r="F80" s="36"/>
      <c r="G80" s="36"/>
      <c r="H80" s="345"/>
      <c r="I80" s="345"/>
      <c r="J80" s="345"/>
      <c r="K80" s="345"/>
      <c r="L80" s="345"/>
      <c r="M80" s="345"/>
      <c r="N80" s="345"/>
      <c r="O80" s="345"/>
      <c r="P80" s="241"/>
      <c r="Q80" s="345"/>
      <c r="R80" s="345"/>
      <c r="S80" s="345"/>
      <c r="T80" s="345"/>
      <c r="U80" s="345"/>
      <c r="V80" s="345"/>
      <c r="W80" s="345"/>
      <c r="X80" s="345"/>
      <c r="Y80" s="351"/>
      <c r="Z80" s="351"/>
      <c r="AA80" s="351"/>
      <c r="AB80" s="351"/>
      <c r="AC80" s="351"/>
      <c r="AD80" s="351"/>
      <c r="AE80" s="351"/>
      <c r="AF80" s="351"/>
      <c r="AG80" s="350"/>
      <c r="AH80" s="350"/>
      <c r="AI80" s="350"/>
      <c r="AJ80" s="350"/>
      <c r="AK80" s="350"/>
      <c r="AL80" s="350"/>
      <c r="AM80" s="350"/>
      <c r="AN80" s="350"/>
      <c r="AO80" s="345"/>
      <c r="AP80" s="345"/>
    </row>
    <row r="81" spans="2:42" ht="14.9" customHeight="1" x14ac:dyDescent="0.35">
      <c r="B81" s="374" t="s">
        <v>150</v>
      </c>
      <c r="C81" s="36"/>
      <c r="D81" s="371"/>
      <c r="E81" s="36"/>
      <c r="F81" s="36"/>
      <c r="G81" s="36"/>
      <c r="H81" s="345"/>
      <c r="I81" s="345"/>
      <c r="J81" s="345">
        <f t="shared" ref="J81:Y81" si="43">J13</f>
        <v>28.4</v>
      </c>
      <c r="K81" s="345">
        <f t="shared" si="43"/>
        <v>15.8</v>
      </c>
      <c r="L81" s="345">
        <f t="shared" si="43"/>
        <v>15.2</v>
      </c>
      <c r="M81" s="345">
        <f t="shared" si="43"/>
        <v>28.9</v>
      </c>
      <c r="N81" s="345">
        <f t="shared" si="43"/>
        <v>67.599999999999994</v>
      </c>
      <c r="O81" s="345">
        <f t="shared" si="43"/>
        <v>80.7</v>
      </c>
      <c r="P81" s="241">
        <f t="shared" si="43"/>
        <v>87.2</v>
      </c>
      <c r="Q81" s="345">
        <f t="shared" si="43"/>
        <v>72.400000000000006</v>
      </c>
      <c r="R81" s="345">
        <f t="shared" si="43"/>
        <v>85.9</v>
      </c>
      <c r="S81" s="345">
        <f t="shared" si="43"/>
        <v>68.3</v>
      </c>
      <c r="T81" s="345">
        <f t="shared" si="43"/>
        <v>64</v>
      </c>
      <c r="U81" s="345">
        <f t="shared" si="43"/>
        <v>60.929333333333297</v>
      </c>
      <c r="V81" s="345">
        <f t="shared" si="43"/>
        <v>60.929333333333297</v>
      </c>
      <c r="W81" s="345">
        <f t="shared" si="43"/>
        <v>60.929333333333297</v>
      </c>
      <c r="X81" s="345">
        <f t="shared" si="43"/>
        <v>54.244333333333302</v>
      </c>
      <c r="Y81" s="350">
        <f t="shared" si="43"/>
        <v>50.911000000000001</v>
      </c>
      <c r="Z81" s="351">
        <f>Z25+Z29+'ARP Quarterly'!P28</f>
        <v>44.428388999999996</v>
      </c>
      <c r="AA81" s="351">
        <f>AA25+AA29+'ARP Quarterly'!Q28</f>
        <v>46.338610000000003</v>
      </c>
      <c r="AB81" s="351">
        <f>AB25+AB29+'ARP Quarterly'!R28</f>
        <v>47.279744500000007</v>
      </c>
      <c r="AC81" s="351">
        <f>AC25+AC29+'ARP Quarterly'!S28</f>
        <v>46.283419000000009</v>
      </c>
      <c r="AD81" s="351">
        <f>AD25+AD29+'ARP Quarterly'!T28</f>
        <v>45.578489500000011</v>
      </c>
      <c r="AE81" s="351">
        <f>AE25+AE29+'ARP Quarterly'!U28</f>
        <v>45.454798000000011</v>
      </c>
      <c r="AF81" s="351">
        <f>AF25+AF29+'ARP Quarterly'!V28</f>
        <v>45.360580000000013</v>
      </c>
      <c r="AG81" s="350">
        <f>AF81</f>
        <v>45.360580000000013</v>
      </c>
      <c r="AH81" s="350">
        <f>AG81</f>
        <v>45.360580000000013</v>
      </c>
      <c r="AI81" s="350">
        <f>AH81</f>
        <v>45.360580000000013</v>
      </c>
      <c r="AJ81" s="350">
        <f>AI81</f>
        <v>45.360580000000013</v>
      </c>
      <c r="AK81" s="350">
        <f t="shared" ref="AK81:AN81" si="44">AJ81</f>
        <v>45.360580000000013</v>
      </c>
      <c r="AL81" s="350">
        <f t="shared" si="44"/>
        <v>45.360580000000013</v>
      </c>
      <c r="AM81" s="350">
        <f t="shared" si="44"/>
        <v>45.360580000000013</v>
      </c>
      <c r="AN81" s="350">
        <f t="shared" si="44"/>
        <v>45.360580000000013</v>
      </c>
      <c r="AO81" s="359"/>
      <c r="AP81" s="345"/>
    </row>
    <row r="82" spans="2:42" x14ac:dyDescent="0.35">
      <c r="B82" s="374" t="s">
        <v>149</v>
      </c>
      <c r="C82" s="39"/>
      <c r="D82" s="436"/>
      <c r="E82" s="39"/>
      <c r="F82" s="39"/>
      <c r="G82" s="39"/>
      <c r="H82" s="345"/>
      <c r="I82" s="345"/>
      <c r="J82" s="345">
        <v>35</v>
      </c>
      <c r="K82" s="345">
        <v>45</v>
      </c>
      <c r="L82" s="345">
        <v>45</v>
      </c>
      <c r="M82" s="345">
        <v>40</v>
      </c>
      <c r="N82" s="345">
        <v>40</v>
      </c>
      <c r="O82" s="345">
        <v>40</v>
      </c>
      <c r="P82" s="241">
        <v>40</v>
      </c>
      <c r="Q82" s="345">
        <v>50</v>
      </c>
      <c r="R82" s="345">
        <v>50</v>
      </c>
      <c r="S82" s="345">
        <v>50</v>
      </c>
      <c r="T82" s="345">
        <v>50</v>
      </c>
      <c r="U82" s="364">
        <v>40</v>
      </c>
      <c r="V82" s="345">
        <v>30</v>
      </c>
      <c r="W82" s="345">
        <v>20</v>
      </c>
      <c r="X82" s="345">
        <v>15</v>
      </c>
      <c r="Y82" s="351">
        <v>10</v>
      </c>
      <c r="Z82" s="351">
        <v>0</v>
      </c>
      <c r="AA82" s="351">
        <v>0</v>
      </c>
      <c r="AB82" s="351">
        <v>0</v>
      </c>
      <c r="AC82" s="351">
        <v>0</v>
      </c>
      <c r="AD82" s="351">
        <v>0</v>
      </c>
      <c r="AE82" s="351">
        <v>0</v>
      </c>
      <c r="AF82" s="351">
        <v>0</v>
      </c>
      <c r="AG82" s="350">
        <v>0</v>
      </c>
      <c r="AH82" s="350"/>
      <c r="AI82" s="350">
        <v>1</v>
      </c>
      <c r="AJ82" s="350"/>
      <c r="AK82" s="350"/>
      <c r="AL82" s="350"/>
      <c r="AM82" s="350"/>
      <c r="AN82" s="350"/>
      <c r="AO82" s="339"/>
    </row>
    <row r="83" spans="2:42" ht="28.5" customHeight="1" x14ac:dyDescent="0.35">
      <c r="B83" s="387" t="s">
        <v>381</v>
      </c>
      <c r="C83" s="399"/>
      <c r="D83" s="371"/>
      <c r="E83" s="36"/>
      <c r="F83" s="36"/>
      <c r="G83" s="36"/>
      <c r="H83" s="345"/>
      <c r="I83" s="345"/>
      <c r="J83" s="345"/>
      <c r="K83" s="345"/>
      <c r="L83" s="345"/>
      <c r="M83" s="345"/>
      <c r="N83" s="345">
        <f>'ARP Quarterly'!D47</f>
        <v>0</v>
      </c>
      <c r="O83" s="345">
        <f>'ARP Quarterly'!E47</f>
        <v>0</v>
      </c>
      <c r="P83" s="241">
        <f>'ARP Quarterly'!F47</f>
        <v>34.620851999999999</v>
      </c>
      <c r="Q83" s="345">
        <f>'ARP Quarterly'!G47</f>
        <v>50.996274799999995</v>
      </c>
      <c r="R83" s="345">
        <f>'ARP Quarterly'!H47</f>
        <v>69.350031999999999</v>
      </c>
      <c r="S83" s="345">
        <f>'ARP Quarterly'!I47</f>
        <v>79.295867999999999</v>
      </c>
      <c r="T83" s="345">
        <f>'ARP Quarterly'!J47</f>
        <v>80.538927999999999</v>
      </c>
      <c r="U83" s="345">
        <f>'ARP Quarterly'!K47</f>
        <v>80.122543199999996</v>
      </c>
      <c r="V83" s="345">
        <f>'ARP Quarterly'!L47</f>
        <v>88.916719999999998</v>
      </c>
      <c r="W83" s="346">
        <f>'ARP Quarterly'!M47</f>
        <v>92.213943999999998</v>
      </c>
      <c r="X83" s="346">
        <f>'ARP Quarterly'!N47</f>
        <v>92.213943999999998</v>
      </c>
      <c r="Y83" s="423">
        <f>'ARP Quarterly'!O47</f>
        <v>94.213943999999998</v>
      </c>
      <c r="Z83" s="423">
        <f>'ARP Quarterly'!P47</f>
        <v>98.916719999999998</v>
      </c>
      <c r="AA83" s="423">
        <f>'ARP Quarterly'!Q47</f>
        <v>98.916719999999998</v>
      </c>
      <c r="AB83" s="423">
        <f>'ARP Quarterly'!R47</f>
        <v>99.081581199999988</v>
      </c>
      <c r="AC83" s="423">
        <f>'ARP Quarterly'!S47</f>
        <v>93.146578000000005</v>
      </c>
      <c r="AD83" s="423">
        <f>'ARP Quarterly'!T47</f>
        <v>86.552129999999991</v>
      </c>
      <c r="AE83" s="423">
        <f>'ARP Quarterly'!U47</f>
        <v>86.552129999999991</v>
      </c>
      <c r="AF83" s="423">
        <f>'ARP Quarterly'!V47</f>
        <v>82.265738799999994</v>
      </c>
      <c r="AG83" s="408">
        <f>AF83</f>
        <v>82.265738799999994</v>
      </c>
      <c r="AH83" s="408">
        <f>AG83</f>
        <v>82.265738799999994</v>
      </c>
      <c r="AI83" s="408">
        <f>AH83</f>
        <v>82.265738799999994</v>
      </c>
      <c r="AJ83" s="408">
        <f>AI83</f>
        <v>82.265738799999994</v>
      </c>
      <c r="AK83" s="408">
        <f t="shared" ref="AK83:AN83" si="45">AJ83</f>
        <v>82.265738799999994</v>
      </c>
      <c r="AL83" s="408">
        <f t="shared" si="45"/>
        <v>82.265738799999994</v>
      </c>
      <c r="AM83" s="408">
        <f t="shared" si="45"/>
        <v>82.265738799999994</v>
      </c>
      <c r="AN83" s="408">
        <f t="shared" si="45"/>
        <v>82.265738799999994</v>
      </c>
      <c r="AO83" s="412"/>
    </row>
    <row r="84" spans="2:42" ht="55.4" customHeight="1" x14ac:dyDescent="0.35">
      <c r="B84" s="393" t="s">
        <v>827</v>
      </c>
      <c r="C84" s="394"/>
      <c r="D84" s="443"/>
      <c r="E84" s="394"/>
      <c r="F84" s="394"/>
      <c r="G84" s="394"/>
      <c r="H84" s="394"/>
      <c r="I84" s="394"/>
      <c r="J84" s="394"/>
      <c r="K84" s="394"/>
      <c r="L84" s="394"/>
      <c r="M84" s="394"/>
      <c r="N84" s="394"/>
      <c r="O84" s="394"/>
      <c r="P84" s="394">
        <v>-50</v>
      </c>
      <c r="Q84" s="394">
        <v>-25</v>
      </c>
      <c r="R84" s="394"/>
      <c r="S84" s="394"/>
      <c r="T84" s="394"/>
      <c r="U84" s="437"/>
      <c r="V84" s="370"/>
      <c r="W84" s="394"/>
      <c r="X84" s="394"/>
      <c r="Y84" s="394">
        <v>12.5</v>
      </c>
      <c r="Z84" s="394">
        <v>12.5</v>
      </c>
      <c r="AA84" s="394">
        <v>12.5</v>
      </c>
      <c r="AB84" s="370">
        <v>12.5</v>
      </c>
      <c r="AC84" s="437"/>
      <c r="AD84" s="249"/>
      <c r="AE84" s="249"/>
      <c r="AF84" s="249"/>
      <c r="AG84" s="249"/>
      <c r="AH84" s="249"/>
      <c r="AI84" s="249"/>
      <c r="AJ84" s="249"/>
      <c r="AK84" s="249"/>
      <c r="AL84" s="249"/>
      <c r="AM84" s="249"/>
      <c r="AN84" s="249"/>
    </row>
    <row r="85" spans="2:42" x14ac:dyDescent="0.35">
      <c r="B85" s="284"/>
      <c r="C85" s="249"/>
      <c r="D85" s="249"/>
      <c r="E85" s="249"/>
      <c r="F85" s="249"/>
      <c r="G85" s="249"/>
      <c r="H85" s="249"/>
      <c r="I85" s="249"/>
      <c r="J85" s="249"/>
      <c r="K85" s="249"/>
      <c r="L85" s="249"/>
      <c r="M85" s="249"/>
      <c r="Z85" s="249"/>
      <c r="AA85" s="249"/>
      <c r="AB85" s="249"/>
      <c r="AC85" s="249"/>
      <c r="AD85" s="249"/>
      <c r="AE85" s="249"/>
      <c r="AF85" s="249"/>
      <c r="AG85" s="249"/>
      <c r="AH85" s="249"/>
      <c r="AI85" s="249"/>
      <c r="AJ85" s="249"/>
      <c r="AK85" s="249"/>
      <c r="AL85" s="249"/>
      <c r="AM85" s="249"/>
      <c r="AN85" s="249"/>
    </row>
    <row r="86" spans="2:42" x14ac:dyDescent="0.35">
      <c r="B86" s="284"/>
      <c r="C86" s="249"/>
      <c r="D86" s="249"/>
      <c r="E86" s="249"/>
      <c r="F86" s="249"/>
      <c r="G86" s="249"/>
      <c r="H86" s="249"/>
      <c r="I86" s="249"/>
      <c r="J86" s="249"/>
      <c r="K86" s="249"/>
      <c r="L86" s="249"/>
      <c r="M86" s="249"/>
      <c r="N86" s="249"/>
      <c r="O86" s="249"/>
      <c r="P86" s="249"/>
      <c r="Q86" s="249"/>
      <c r="R86" s="249"/>
      <c r="S86" s="249"/>
      <c r="T86" s="249"/>
      <c r="U86" s="249"/>
      <c r="V86" s="249"/>
      <c r="W86" s="249"/>
      <c r="X86" s="249"/>
      <c r="Y86" s="249"/>
      <c r="Z86" s="249"/>
      <c r="AA86" s="249"/>
      <c r="AB86" s="249"/>
      <c r="AC86" s="249"/>
      <c r="AD86" s="249"/>
      <c r="AE86" s="249"/>
      <c r="AF86" s="249"/>
      <c r="AG86" s="249"/>
      <c r="AH86" s="249"/>
      <c r="AI86" s="249"/>
      <c r="AJ86" s="249"/>
      <c r="AK86" s="249"/>
      <c r="AL86" s="249"/>
      <c r="AM86" s="249"/>
      <c r="AN86" s="249"/>
    </row>
    <row r="87" spans="2:42" ht="14.5" customHeight="1" x14ac:dyDescent="0.35">
      <c r="B87" s="284"/>
      <c r="C87" s="249"/>
      <c r="D87" s="249"/>
      <c r="E87" s="249"/>
      <c r="F87" s="249"/>
      <c r="G87" s="249"/>
      <c r="H87" s="249"/>
      <c r="I87" s="249"/>
      <c r="J87" s="249"/>
      <c r="K87" s="249"/>
      <c r="L87" s="249"/>
      <c r="M87" s="249"/>
      <c r="N87" s="249"/>
      <c r="O87" s="249"/>
      <c r="P87" s="249"/>
      <c r="Q87" s="249"/>
      <c r="R87" s="249"/>
      <c r="S87" s="249"/>
      <c r="T87" s="249"/>
      <c r="U87" s="249"/>
      <c r="V87" s="249"/>
      <c r="W87" s="249"/>
      <c r="X87" s="249"/>
      <c r="Y87" s="249"/>
      <c r="Z87" s="249"/>
      <c r="AA87" s="249"/>
      <c r="AB87" s="249"/>
      <c r="AC87" s="249"/>
      <c r="AD87" s="249"/>
      <c r="AE87" s="249"/>
      <c r="AF87" s="249"/>
      <c r="AG87" s="249"/>
      <c r="AH87" s="249"/>
      <c r="AI87" s="249"/>
      <c r="AJ87" s="249"/>
      <c r="AK87" s="249"/>
      <c r="AL87" s="249"/>
      <c r="AM87" s="249"/>
      <c r="AN87" s="249"/>
    </row>
    <row r="88" spans="2:42" x14ac:dyDescent="0.35">
      <c r="B88" s="1318" t="s">
        <v>134</v>
      </c>
      <c r="C88" s="1318"/>
      <c r="D88" s="1318"/>
      <c r="E88" s="1318"/>
      <c r="F88" s="1318"/>
      <c r="G88" s="1318"/>
      <c r="H88" s="1318"/>
      <c r="I88" s="1318"/>
      <c r="J88" s="1318"/>
      <c r="K88" s="1318"/>
      <c r="L88" s="1318"/>
      <c r="M88" s="1318"/>
      <c r="N88" s="1318"/>
      <c r="O88" s="1318"/>
      <c r="P88" s="1318"/>
      <c r="Q88" s="1318"/>
      <c r="R88" s="1318"/>
      <c r="S88" s="1318"/>
      <c r="T88" s="1318"/>
      <c r="U88" s="1318"/>
      <c r="V88" s="1318"/>
      <c r="W88" s="1318"/>
      <c r="X88" s="1318"/>
      <c r="Y88" s="1318"/>
      <c r="Z88" s="223"/>
      <c r="AA88" s="223"/>
      <c r="AB88" s="223"/>
      <c r="AC88" s="223"/>
      <c r="AD88" s="223"/>
      <c r="AE88" s="223"/>
      <c r="AF88" s="223"/>
      <c r="AG88" s="223"/>
      <c r="AH88" s="223"/>
      <c r="AI88" s="223"/>
      <c r="AJ88" s="223"/>
      <c r="AK88" s="223"/>
      <c r="AL88" s="223"/>
      <c r="AM88" s="223"/>
      <c r="AN88" s="223"/>
      <c r="AO88" s="331"/>
      <c r="AP88" s="331"/>
    </row>
    <row r="89" spans="2:42" ht="19.399999999999999" customHeight="1" x14ac:dyDescent="0.35">
      <c r="B89" s="1319" t="s">
        <v>1826</v>
      </c>
      <c r="C89" s="1319"/>
      <c r="D89" s="1319"/>
      <c r="E89" s="1319"/>
      <c r="F89" s="1319"/>
      <c r="G89" s="1319"/>
      <c r="H89" s="1319"/>
      <c r="I89" s="1319"/>
      <c r="J89" s="1319"/>
      <c r="K89" s="1319"/>
      <c r="L89" s="1319"/>
      <c r="M89" s="1319"/>
      <c r="N89" s="1319"/>
      <c r="O89" s="1319"/>
      <c r="P89" s="1319"/>
      <c r="Q89" s="1319"/>
      <c r="R89" s="1319"/>
      <c r="S89" s="1319"/>
      <c r="T89" s="1319"/>
      <c r="U89" s="1319"/>
      <c r="V89" s="1319"/>
      <c r="W89" s="1319"/>
      <c r="X89" s="1319"/>
      <c r="Y89" s="1319"/>
      <c r="Z89" s="1319"/>
      <c r="AA89" s="1319"/>
      <c r="AB89" s="1319"/>
      <c r="AC89" s="1319"/>
      <c r="AD89" s="224"/>
      <c r="AE89" s="224"/>
      <c r="AF89" s="224"/>
      <c r="AG89" s="224"/>
      <c r="AH89" s="224"/>
      <c r="AI89" s="224"/>
      <c r="AJ89" s="224"/>
      <c r="AK89" s="224"/>
      <c r="AL89" s="224"/>
      <c r="AM89" s="224"/>
      <c r="AN89" s="224"/>
      <c r="AO89" s="224"/>
      <c r="AP89" s="224"/>
    </row>
    <row r="90" spans="2:42" ht="11.9" customHeight="1" x14ac:dyDescent="0.35">
      <c r="B90" s="255"/>
      <c r="C90" s="255"/>
      <c r="D90" s="255"/>
      <c r="E90" s="255"/>
      <c r="F90" s="255"/>
      <c r="G90" s="255"/>
      <c r="H90" s="255"/>
      <c r="I90" s="255"/>
      <c r="J90" s="255"/>
      <c r="K90" s="255"/>
      <c r="L90" s="255"/>
      <c r="M90" s="255"/>
      <c r="V90" s="233"/>
      <c r="W90" s="233"/>
      <c r="X90" s="233"/>
      <c r="Y90" s="233"/>
      <c r="Z90" s="233"/>
      <c r="AA90" s="233"/>
      <c r="AB90" s="233"/>
      <c r="AC90" s="233"/>
      <c r="AD90" s="233"/>
      <c r="AE90" s="233"/>
      <c r="AF90" s="233"/>
      <c r="AG90" s="233"/>
      <c r="AH90" s="233"/>
      <c r="AI90" s="233"/>
      <c r="AJ90" s="233"/>
      <c r="AK90" s="233"/>
      <c r="AL90" s="233"/>
      <c r="AM90" s="233"/>
      <c r="AN90" s="233"/>
      <c r="AO90" s="233"/>
      <c r="AP90" s="233"/>
    </row>
    <row r="91" spans="2:42" ht="14.9" customHeight="1" x14ac:dyDescent="0.35">
      <c r="B91" s="1323" t="s">
        <v>278</v>
      </c>
      <c r="C91" s="1324"/>
      <c r="D91" s="1347" t="s">
        <v>279</v>
      </c>
      <c r="E91" s="1348"/>
      <c r="F91" s="1348"/>
      <c r="G91" s="1348"/>
      <c r="H91" s="1348"/>
      <c r="I91" s="1348"/>
      <c r="J91" s="1348"/>
      <c r="K91" s="1348"/>
      <c r="L91" s="1348"/>
      <c r="M91" s="1348"/>
      <c r="N91" s="1348"/>
      <c r="O91" s="1348"/>
      <c r="P91" s="1348"/>
      <c r="Q91" s="1348"/>
      <c r="R91" s="1348"/>
      <c r="S91" s="1348"/>
      <c r="T91" s="1348"/>
      <c r="U91" s="1348"/>
      <c r="V91" s="1348"/>
      <c r="W91" s="1348"/>
      <c r="X91" s="1348"/>
      <c r="Y91" s="1348"/>
      <c r="Z91" s="1348"/>
      <c r="AA91" s="1349"/>
      <c r="AB91" s="1350" t="s">
        <v>280</v>
      </c>
      <c r="AC91" s="1331"/>
      <c r="AD91" s="1331"/>
      <c r="AE91" s="1331"/>
      <c r="AF91" s="1331"/>
      <c r="AG91" s="1331"/>
      <c r="AH91" s="1331"/>
      <c r="AI91" s="1331"/>
      <c r="AJ91" s="1331"/>
      <c r="AK91" s="1331"/>
      <c r="AL91" s="1331"/>
      <c r="AM91" s="1331"/>
      <c r="AN91" s="1332"/>
      <c r="AO91" s="331"/>
      <c r="AP91" s="331"/>
    </row>
    <row r="92" spans="2:42" x14ac:dyDescent="0.35">
      <c r="B92" s="1325"/>
      <c r="C92" s="1326"/>
      <c r="D92" s="297">
        <v>2018</v>
      </c>
      <c r="E92" s="1342">
        <v>2019</v>
      </c>
      <c r="F92" s="1343"/>
      <c r="G92" s="1343"/>
      <c r="H92" s="1344"/>
      <c r="I92" s="1342">
        <v>2020</v>
      </c>
      <c r="J92" s="1343"/>
      <c r="K92" s="1343"/>
      <c r="L92" s="1343"/>
      <c r="M92" s="1342">
        <v>2021</v>
      </c>
      <c r="N92" s="1343"/>
      <c r="O92" s="1343"/>
      <c r="P92" s="1343"/>
      <c r="Q92" s="1342">
        <v>2022</v>
      </c>
      <c r="R92" s="1354"/>
      <c r="S92" s="1354"/>
      <c r="T92" s="1354"/>
      <c r="U92" s="1342">
        <v>2023</v>
      </c>
      <c r="V92" s="1354"/>
      <c r="W92" s="1354"/>
      <c r="X92" s="1344"/>
      <c r="Y92" s="302"/>
      <c r="Z92" s="442">
        <v>2024</v>
      </c>
      <c r="AA92" s="442"/>
      <c r="AB92" s="338"/>
      <c r="AC92" s="1329">
        <v>2025</v>
      </c>
      <c r="AD92" s="1330"/>
      <c r="AE92" s="1330"/>
      <c r="AF92" s="1334"/>
      <c r="AG92" s="1329">
        <v>2026</v>
      </c>
      <c r="AH92" s="1330"/>
      <c r="AI92" s="1330"/>
      <c r="AJ92" s="1334"/>
      <c r="AK92" s="1329">
        <v>2027</v>
      </c>
      <c r="AL92" s="1330"/>
      <c r="AM92" s="1330"/>
      <c r="AN92" s="1334"/>
      <c r="AO92" s="233"/>
      <c r="AP92" s="233"/>
    </row>
    <row r="93" spans="2:42" x14ac:dyDescent="0.35">
      <c r="B93" s="1325"/>
      <c r="C93" s="1326"/>
      <c r="D93" s="226" t="s">
        <v>281</v>
      </c>
      <c r="E93" s="225" t="s">
        <v>282</v>
      </c>
      <c r="F93" s="226" t="s">
        <v>283</v>
      </c>
      <c r="G93" s="226" t="s">
        <v>238</v>
      </c>
      <c r="H93" s="232" t="s">
        <v>281</v>
      </c>
      <c r="I93" s="226" t="s">
        <v>282</v>
      </c>
      <c r="J93" s="226" t="s">
        <v>283</v>
      </c>
      <c r="K93" s="226" t="s">
        <v>238</v>
      </c>
      <c r="L93" s="226" t="s">
        <v>281</v>
      </c>
      <c r="M93" s="225" t="s">
        <v>282</v>
      </c>
      <c r="N93" s="226" t="s">
        <v>283</v>
      </c>
      <c r="O93" s="226" t="s">
        <v>238</v>
      </c>
      <c r="P93" s="226" t="s">
        <v>281</v>
      </c>
      <c r="Q93" s="225" t="s">
        <v>282</v>
      </c>
      <c r="R93" s="226" t="s">
        <v>283</v>
      </c>
      <c r="S93" s="226" t="s">
        <v>238</v>
      </c>
      <c r="T93" s="226" t="s">
        <v>281</v>
      </c>
      <c r="U93" s="225" t="s">
        <v>282</v>
      </c>
      <c r="V93" s="226" t="s">
        <v>283</v>
      </c>
      <c r="W93" s="226" t="s">
        <v>238</v>
      </c>
      <c r="X93" s="232" t="s">
        <v>281</v>
      </c>
      <c r="Y93" s="226" t="s">
        <v>282</v>
      </c>
      <c r="Z93" s="306" t="s">
        <v>283</v>
      </c>
      <c r="AA93" s="226" t="s">
        <v>238</v>
      </c>
      <c r="AB93" s="329" t="s">
        <v>281</v>
      </c>
      <c r="AC93" s="328" t="s">
        <v>282</v>
      </c>
      <c r="AD93" s="356" t="s">
        <v>283</v>
      </c>
      <c r="AE93" s="329" t="s">
        <v>238</v>
      </c>
      <c r="AF93" s="438" t="s">
        <v>281</v>
      </c>
      <c r="AG93" s="236" t="s">
        <v>282</v>
      </c>
      <c r="AH93" s="271" t="s">
        <v>283</v>
      </c>
      <c r="AI93" s="271" t="s">
        <v>238</v>
      </c>
      <c r="AJ93" s="337" t="s">
        <v>281</v>
      </c>
      <c r="AK93" s="236" t="s">
        <v>282</v>
      </c>
      <c r="AL93" s="271" t="s">
        <v>283</v>
      </c>
      <c r="AM93" s="271" t="s">
        <v>238</v>
      </c>
      <c r="AN93" s="290" t="s">
        <v>281</v>
      </c>
      <c r="AO93" s="233"/>
      <c r="AP93" s="233"/>
    </row>
    <row r="94" spans="2:42" ht="14.9" customHeight="1" x14ac:dyDescent="0.35">
      <c r="B94" s="435" t="s">
        <v>382</v>
      </c>
      <c r="C94" s="380" t="s">
        <v>383</v>
      </c>
      <c r="D94" s="381"/>
      <c r="E94" s="382"/>
      <c r="F94" s="382"/>
      <c r="G94" s="382"/>
      <c r="H94" s="348">
        <f>'Haver Pivoted'!GS41</f>
        <v>72.497</v>
      </c>
      <c r="I94" s="348">
        <f>'Haver Pivoted'!GT41</f>
        <v>75.649000000000001</v>
      </c>
      <c r="J94" s="348">
        <f>'Haver Pivoted'!GU41</f>
        <v>75.483999999999995</v>
      </c>
      <c r="K94" s="348">
        <f>'Haver Pivoted'!GV41</f>
        <v>79.444000000000003</v>
      </c>
      <c r="L94" s="348">
        <f>'Haver Pivoted'!GW41</f>
        <v>75.742999999999995</v>
      </c>
      <c r="M94" s="348">
        <f>'Haver Pivoted'!GX41</f>
        <v>73.183000000000007</v>
      </c>
      <c r="N94" s="348">
        <f>'Haver Pivoted'!GY41</f>
        <v>74.421000000000006</v>
      </c>
      <c r="O94" s="348">
        <f>'Haver Pivoted'!GZ41</f>
        <v>70.334000000000003</v>
      </c>
      <c r="P94" s="348">
        <f>'Haver Pivoted'!HA41</f>
        <v>72.707999999999998</v>
      </c>
      <c r="Q94" s="348">
        <f>'Haver Pivoted'!HB41</f>
        <v>75.024000000000001</v>
      </c>
      <c r="R94" s="348">
        <f>AVERAGE($H$94:$N$94)</f>
        <v>75.203000000000003</v>
      </c>
      <c r="S94" s="348">
        <f t="shared" ref="S94" si="46">AVERAGE($H$94:$N$94)</f>
        <v>75.203000000000003</v>
      </c>
      <c r="T94" s="348">
        <f>AVERAGE($H$94:$N$94)+T95</f>
        <v>76.022000000000006</v>
      </c>
      <c r="U94" s="348">
        <f>AVERAGE($H$94:$N$94)+U95</f>
        <v>76.022000000000006</v>
      </c>
      <c r="V94" s="348">
        <f>AVERAGE($H$94:$N$94)+V95</f>
        <v>76.022000000000006</v>
      </c>
      <c r="W94" s="348">
        <f>AVERAGE($H$94:$N$94)+W95</f>
        <v>76.022000000000006</v>
      </c>
      <c r="X94" s="373">
        <f>AVERAGE($H$94:$N$94)+X95</f>
        <v>77.680999999999997</v>
      </c>
      <c r="Y94" s="373">
        <f t="shared" ref="Y94:AC94" si="47">AVERAGE($H$94:$N$94)+Y95</f>
        <v>77.680999999999997</v>
      </c>
      <c r="Z94" s="373">
        <f>AVERAGE($H$94:$N$94)+Z95</f>
        <v>77.680999999999997</v>
      </c>
      <c r="AA94" s="373">
        <f t="shared" si="47"/>
        <v>77.680999999999997</v>
      </c>
      <c r="AB94" s="373">
        <f t="shared" si="47"/>
        <v>79.275000000000006</v>
      </c>
      <c r="AC94" s="373">
        <f t="shared" si="47"/>
        <v>79.275000000000006</v>
      </c>
      <c r="AD94" s="373">
        <f>AVERAGE($H$94:$N$94)+AD95</f>
        <v>75.203000000000003</v>
      </c>
      <c r="AE94" s="373">
        <f>AVERAGE($H$94:$N$94)+AE95</f>
        <v>75.203000000000003</v>
      </c>
      <c r="AF94" s="373">
        <f t="shared" ref="AF94" si="48">AVERAGE($H$94:$N$94)+AF95</f>
        <v>75.203000000000003</v>
      </c>
      <c r="AG94" s="373">
        <f>AVERAGE($H$94:$N$94)+AG95</f>
        <v>75.203000000000003</v>
      </c>
      <c r="AH94" s="373">
        <f>AVERAGE($H$94:$N$94)+AH95</f>
        <v>75.203000000000003</v>
      </c>
      <c r="AI94" s="373">
        <f>AVERAGE($H$94:$N$94)+AI95</f>
        <v>75.203000000000003</v>
      </c>
      <c r="AJ94" s="373">
        <f>AVERAGE($H$94:$N$94)+AJ95</f>
        <v>75.203000000000003</v>
      </c>
      <c r="AK94" s="373">
        <f t="shared" ref="AK94:AM94" si="49">AVERAGE($H$94:$N$94)+AK95</f>
        <v>75.203000000000003</v>
      </c>
      <c r="AL94" s="373">
        <f t="shared" si="49"/>
        <v>75.203000000000003</v>
      </c>
      <c r="AM94" s="373">
        <f t="shared" si="49"/>
        <v>75.203000000000003</v>
      </c>
      <c r="AN94" s="373">
        <f>AVERAGE($H$94:$N$94)+AN95</f>
        <v>75.203000000000003</v>
      </c>
      <c r="AO94" s="243"/>
      <c r="AP94" s="243"/>
    </row>
    <row r="95" spans="2:42" x14ac:dyDescent="0.35">
      <c r="B95" s="344" t="s">
        <v>1178</v>
      </c>
      <c r="C95" s="35"/>
      <c r="D95" s="344"/>
      <c r="E95" s="35"/>
      <c r="F95" s="35"/>
      <c r="G95" s="35"/>
      <c r="H95" s="35"/>
      <c r="I95" s="35"/>
      <c r="J95" s="35"/>
      <c r="K95" s="35"/>
      <c r="L95" s="35"/>
      <c r="M95" s="35"/>
      <c r="N95" s="35"/>
      <c r="O95" s="35"/>
      <c r="P95" s="35"/>
      <c r="Q95" s="35"/>
      <c r="R95" s="35"/>
      <c r="S95" s="349">
        <f>'IRA and CHIPS'!E185</f>
        <v>0</v>
      </c>
      <c r="T95" s="349">
        <f>'IRA and CHIPS'!F185</f>
        <v>0.81899999999999995</v>
      </c>
      <c r="U95" s="349">
        <f>'IRA and CHIPS'!G185</f>
        <v>0.81899999999999995</v>
      </c>
      <c r="V95" s="349">
        <f>'IRA and CHIPS'!H185</f>
        <v>0.81899999999999995</v>
      </c>
      <c r="W95" s="349">
        <f>'IRA and CHIPS'!I185</f>
        <v>0.81899999999999995</v>
      </c>
      <c r="X95" s="372">
        <f>'IRA and CHIPS'!J185</f>
        <v>2.4780000000000002</v>
      </c>
      <c r="Y95" s="372">
        <f>'IRA and CHIPS'!K185</f>
        <v>2.4780000000000002</v>
      </c>
      <c r="Z95" s="372">
        <f>'IRA and CHIPS'!L185</f>
        <v>2.4780000000000002</v>
      </c>
      <c r="AA95" s="372">
        <f>'IRA and CHIPS'!M185</f>
        <v>2.4780000000000002</v>
      </c>
      <c r="AB95" s="372">
        <f>'IRA and CHIPS'!N185</f>
        <v>4.0720000000000001</v>
      </c>
      <c r="AC95" s="372">
        <f>'IRA and CHIPS'!O185</f>
        <v>4.0720000000000001</v>
      </c>
      <c r="AD95" s="372">
        <f>'IRA and CHIPS'!T185</f>
        <v>0</v>
      </c>
      <c r="AE95" s="372">
        <v>0</v>
      </c>
      <c r="AF95" s="372">
        <v>0</v>
      </c>
      <c r="AG95" s="372">
        <v>0</v>
      </c>
      <c r="AH95" s="372">
        <v>0</v>
      </c>
      <c r="AI95" s="372">
        <v>0</v>
      </c>
      <c r="AJ95" s="372">
        <v>0</v>
      </c>
      <c r="AK95" s="372">
        <v>0</v>
      </c>
      <c r="AL95" s="372">
        <v>0</v>
      </c>
      <c r="AM95" s="372">
        <v>0</v>
      </c>
      <c r="AN95" s="372">
        <v>0</v>
      </c>
    </row>
    <row r="96" spans="2:42" ht="18.75" customHeight="1" x14ac:dyDescent="0.35"/>
    <row r="97" ht="21.75" customHeight="1" x14ac:dyDescent="0.35"/>
  </sheetData>
  <mergeCells count="47">
    <mergeCell ref="AK92:AN92"/>
    <mergeCell ref="D70:AA70"/>
    <mergeCell ref="U71:X71"/>
    <mergeCell ref="AB70:AN70"/>
    <mergeCell ref="U92:X92"/>
    <mergeCell ref="D91:AA91"/>
    <mergeCell ref="AB91:AN91"/>
    <mergeCell ref="AG92:AJ92"/>
    <mergeCell ref="AC92:AF92"/>
    <mergeCell ref="AK71:AN71"/>
    <mergeCell ref="AP27:AQ28"/>
    <mergeCell ref="AP33:AQ33"/>
    <mergeCell ref="AG7:AJ7"/>
    <mergeCell ref="AG71:AJ71"/>
    <mergeCell ref="AP6:AP8"/>
    <mergeCell ref="AO6:AO8"/>
    <mergeCell ref="AK7:AN7"/>
    <mergeCell ref="B91:C93"/>
    <mergeCell ref="I92:L92"/>
    <mergeCell ref="E92:H92"/>
    <mergeCell ref="B1:Y1"/>
    <mergeCell ref="B6:C8"/>
    <mergeCell ref="I7:L7"/>
    <mergeCell ref="M92:P92"/>
    <mergeCell ref="Q92:T92"/>
    <mergeCell ref="B2:AC4"/>
    <mergeCell ref="B22:AC22"/>
    <mergeCell ref="Q71:R71"/>
    <mergeCell ref="Q46:AS46"/>
    <mergeCell ref="Q47:S47"/>
    <mergeCell ref="T47:Y47"/>
    <mergeCell ref="AO47:AR47"/>
    <mergeCell ref="AP23:AQ23"/>
    <mergeCell ref="D6:AB6"/>
    <mergeCell ref="AC6:AN6"/>
    <mergeCell ref="A64:A65"/>
    <mergeCell ref="B89:AC89"/>
    <mergeCell ref="B70:C72"/>
    <mergeCell ref="I71:L71"/>
    <mergeCell ref="B88:Y88"/>
    <mergeCell ref="E71:H71"/>
    <mergeCell ref="M71:P71"/>
    <mergeCell ref="AC71:AF71"/>
    <mergeCell ref="E7:H7"/>
    <mergeCell ref="M7:P7"/>
    <mergeCell ref="Q7:T7"/>
    <mergeCell ref="AC7:AF7"/>
  </mergeCells>
  <pageMargins left="0.7" right="0.7" top="0.75" bottom="0.75" header="0.3" footer="0.3"/>
  <pageSetup orientation="portrait"/>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T60"/>
  <sheetViews>
    <sheetView zoomScaleNormal="100" workbookViewId="0">
      <pane xSplit="2" ySplit="4" topLeftCell="Z12" activePane="bottomRight" state="frozen"/>
      <selection pane="topRight" activeCell="C1" sqref="C1"/>
      <selection pane="bottomLeft" activeCell="A5" sqref="A5"/>
      <selection pane="bottomRight" activeCell="AC22" sqref="AC22"/>
    </sheetView>
  </sheetViews>
  <sheetFormatPr defaultColWidth="10.90625" defaultRowHeight="14.5" x14ac:dyDescent="0.35"/>
  <cols>
    <col min="1" max="1" width="17.1796875" customWidth="1"/>
    <col min="2" max="2" width="63.81640625" customWidth="1"/>
    <col min="3" max="3" width="18" customWidth="1"/>
    <col min="4" max="7" width="10" customWidth="1"/>
    <col min="8" max="8" width="14.1796875" customWidth="1"/>
    <col min="9" max="9" width="10.1796875" customWidth="1"/>
    <col min="10" max="10" width="11.81640625" customWidth="1"/>
    <col min="11" max="11" width="13.453125" customWidth="1"/>
    <col min="12" max="12" width="11.453125" customWidth="1"/>
    <col min="13" max="13" width="12" customWidth="1"/>
    <col min="14" max="14" width="9" customWidth="1"/>
    <col min="15" max="16" width="10.1796875" customWidth="1"/>
    <col min="17" max="17" width="12.1796875" customWidth="1"/>
    <col min="18" max="18" width="10" customWidth="1"/>
    <col min="19" max="19" width="9" customWidth="1"/>
    <col min="20" max="26" width="8.81640625" customWidth="1"/>
    <col min="38" max="38" width="14.1796875" customWidth="1"/>
    <col min="44" max="44" width="31.81640625" customWidth="1"/>
    <col min="46" max="46" width="10.1796875" customWidth="1"/>
  </cols>
  <sheetData>
    <row r="1" spans="1:72" ht="20.25" customHeight="1" x14ac:dyDescent="0.35">
      <c r="B1" s="1318" t="s">
        <v>384</v>
      </c>
      <c r="C1" s="1318"/>
      <c r="D1" s="1318"/>
      <c r="E1" s="1318"/>
      <c r="F1" s="1318"/>
      <c r="G1" s="1318"/>
      <c r="H1" s="1318"/>
      <c r="I1" s="1318"/>
      <c r="J1" s="1318"/>
      <c r="K1" s="1318"/>
      <c r="L1" s="1318"/>
      <c r="M1" s="1318"/>
      <c r="N1" s="1318"/>
      <c r="O1" s="1318"/>
      <c r="P1" s="1318"/>
      <c r="Q1" s="1318"/>
      <c r="R1" s="1318"/>
      <c r="S1" s="1318"/>
      <c r="T1" s="1318"/>
      <c r="U1" s="1318"/>
      <c r="V1" s="1318"/>
      <c r="W1" s="1318"/>
      <c r="X1" s="1318"/>
      <c r="Y1" s="1318"/>
      <c r="Z1" s="1318"/>
      <c r="AA1" s="1318"/>
      <c r="AB1" s="1318"/>
      <c r="AC1" s="1318"/>
      <c r="AD1" s="223"/>
      <c r="AE1" s="223"/>
      <c r="AF1" s="223"/>
      <c r="AG1" s="223"/>
      <c r="AH1" s="223"/>
    </row>
    <row r="2" spans="1:72" ht="14.25" customHeight="1" x14ac:dyDescent="0.35">
      <c r="B2" s="1360" t="s">
        <v>385</v>
      </c>
      <c r="C2" s="1360"/>
      <c r="D2" s="1360"/>
      <c r="E2" s="1360"/>
      <c r="F2" s="1360"/>
      <c r="G2" s="1360"/>
      <c r="H2" s="1360"/>
      <c r="I2" s="1360"/>
      <c r="J2" s="1360"/>
      <c r="K2" s="1360"/>
      <c r="L2" s="1360"/>
      <c r="M2" s="1360"/>
      <c r="N2" s="1360"/>
      <c r="O2" s="1360"/>
      <c r="P2" s="1360"/>
      <c r="Q2" s="1360"/>
      <c r="R2" s="1360"/>
      <c r="S2" s="1360"/>
      <c r="T2" s="1360"/>
      <c r="U2" s="1360"/>
      <c r="V2" s="1360"/>
      <c r="W2" s="1360"/>
      <c r="X2" s="1360"/>
      <c r="Y2" s="1360"/>
      <c r="Z2" s="1360"/>
      <c r="AA2" s="1360"/>
      <c r="AB2" s="1360"/>
      <c r="AC2" s="1360"/>
      <c r="AD2" s="255"/>
      <c r="AE2" s="255"/>
      <c r="AF2" s="255"/>
      <c r="AG2" s="255"/>
      <c r="AH2" s="255"/>
    </row>
    <row r="3" spans="1:72" ht="9" customHeight="1" x14ac:dyDescent="0.35">
      <c r="B3" s="1360"/>
      <c r="C3" s="1360"/>
      <c r="D3" s="1360"/>
      <c r="E3" s="1360"/>
      <c r="F3" s="1360"/>
      <c r="G3" s="1360"/>
      <c r="H3" s="1360"/>
      <c r="I3" s="1360"/>
      <c r="J3" s="1360"/>
      <c r="K3" s="1360"/>
      <c r="L3" s="1360"/>
      <c r="M3" s="1360"/>
      <c r="N3" s="1360"/>
      <c r="O3" s="1360"/>
      <c r="P3" s="1360"/>
      <c r="Q3" s="1360"/>
      <c r="R3" s="1360"/>
      <c r="S3" s="1360"/>
      <c r="T3" s="1360"/>
      <c r="U3" s="1360"/>
      <c r="V3" s="1360"/>
      <c r="W3" s="1360"/>
      <c r="X3" s="1360"/>
      <c r="Y3" s="1360"/>
      <c r="Z3" s="1360"/>
      <c r="AA3" s="1360"/>
      <c r="AB3" s="1360"/>
      <c r="AC3" s="1360"/>
      <c r="AD3" s="255"/>
      <c r="AE3" s="255"/>
      <c r="AF3" s="255"/>
      <c r="AG3" s="255"/>
      <c r="AH3" s="255"/>
    </row>
    <row r="4" spans="1:72" ht="27" customHeight="1" x14ac:dyDescent="0.35">
      <c r="B4" s="1360"/>
      <c r="C4" s="1360"/>
      <c r="D4" s="1360"/>
      <c r="E4" s="1360"/>
      <c r="F4" s="1360"/>
      <c r="G4" s="1360"/>
      <c r="H4" s="1360"/>
      <c r="I4" s="1360"/>
      <c r="J4" s="1360"/>
      <c r="K4" s="1360"/>
      <c r="L4" s="1360"/>
      <c r="M4" s="1360"/>
      <c r="N4" s="1360"/>
      <c r="O4" s="1360"/>
      <c r="P4" s="1360"/>
      <c r="Q4" s="1360"/>
      <c r="R4" s="1360"/>
      <c r="S4" s="1360"/>
      <c r="T4" s="1360"/>
      <c r="U4" s="1360"/>
      <c r="V4" s="1360"/>
      <c r="W4" s="1360"/>
      <c r="X4" s="1360"/>
      <c r="Y4" s="1360"/>
      <c r="Z4" s="1360"/>
      <c r="AA4" s="1360"/>
      <c r="AB4" s="1360"/>
      <c r="AC4" s="1360"/>
      <c r="AD4" s="255"/>
      <c r="AE4" s="255"/>
      <c r="AF4" s="255"/>
      <c r="AG4" s="255"/>
      <c r="AH4" s="255"/>
      <c r="AJ4" s="502"/>
      <c r="AK4" s="502"/>
      <c r="AL4" s="502"/>
      <c r="AM4" s="502"/>
      <c r="AN4" s="502"/>
      <c r="AO4" s="502"/>
      <c r="AP4" s="502"/>
      <c r="AQ4" s="502"/>
      <c r="AR4" s="502"/>
    </row>
    <row r="5" spans="1:72" x14ac:dyDescent="0.35">
      <c r="B5" s="284"/>
      <c r="AC5" s="238"/>
      <c r="AD5" s="238"/>
      <c r="AE5" s="238"/>
      <c r="AF5" s="238"/>
      <c r="AG5" s="238"/>
      <c r="AH5" s="238"/>
      <c r="AI5" s="238"/>
      <c r="AJ5" s="238"/>
      <c r="AK5" s="238"/>
    </row>
    <row r="6" spans="1:72" ht="14.9" customHeight="1" x14ac:dyDescent="0.35">
      <c r="B6" s="1370"/>
      <c r="C6" s="1371"/>
      <c r="D6" s="1377" t="s">
        <v>279</v>
      </c>
      <c r="E6" s="1377"/>
      <c r="F6" s="1377"/>
      <c r="G6" s="1377"/>
      <c r="H6" s="1377"/>
      <c r="I6" s="1377"/>
      <c r="J6" s="1377"/>
      <c r="K6" s="1377"/>
      <c r="L6" s="1377"/>
      <c r="M6" s="1377"/>
      <c r="N6" s="1377"/>
      <c r="O6" s="1377"/>
      <c r="P6" s="1377"/>
      <c r="Q6" s="1377"/>
      <c r="R6" s="1377"/>
      <c r="S6" s="1377"/>
      <c r="T6" s="1377"/>
      <c r="U6" s="1377"/>
      <c r="V6" s="1377"/>
      <c r="W6" s="1377"/>
      <c r="X6" s="1377"/>
      <c r="Y6" s="1377"/>
      <c r="Z6" s="1377"/>
      <c r="AA6" s="1377"/>
      <c r="AB6" s="1377"/>
      <c r="AC6" s="1331" t="s">
        <v>280</v>
      </c>
      <c r="AD6" s="1331"/>
      <c r="AE6" s="1331"/>
      <c r="AF6" s="1331"/>
      <c r="AG6" s="1331"/>
      <c r="AH6" s="1331"/>
      <c r="AI6" s="1331"/>
      <c r="AJ6" s="1331"/>
      <c r="AK6" s="1331"/>
      <c r="AL6" s="1331"/>
      <c r="AM6" s="1331"/>
      <c r="AN6" s="1332"/>
    </row>
    <row r="7" spans="1:72" ht="14.9" customHeight="1" x14ac:dyDescent="0.35">
      <c r="B7" s="1372"/>
      <c r="C7" s="1373"/>
      <c r="D7" s="449">
        <v>2018</v>
      </c>
      <c r="E7" s="1374">
        <v>2019</v>
      </c>
      <c r="F7" s="1375"/>
      <c r="G7" s="1375"/>
      <c r="H7" s="1376"/>
      <c r="I7" s="1374">
        <v>2020</v>
      </c>
      <c r="J7" s="1375"/>
      <c r="K7" s="1375"/>
      <c r="L7" s="1375"/>
      <c r="M7" s="1374">
        <v>2021</v>
      </c>
      <c r="N7" s="1375"/>
      <c r="O7" s="1375"/>
      <c r="P7" s="1375"/>
      <c r="Q7" s="1374">
        <v>2022</v>
      </c>
      <c r="R7" s="1375"/>
      <c r="S7" s="1375"/>
      <c r="T7" s="1376"/>
      <c r="U7" s="293"/>
      <c r="V7" s="231">
        <v>2023</v>
      </c>
      <c r="W7" s="231"/>
      <c r="X7" s="230"/>
      <c r="Y7" s="71"/>
      <c r="Z7" s="231">
        <v>2024</v>
      </c>
      <c r="AA7" s="231"/>
      <c r="AB7" s="230"/>
      <c r="AC7" s="1329">
        <v>2025</v>
      </c>
      <c r="AD7" s="1330"/>
      <c r="AE7" s="1330"/>
      <c r="AF7" s="1334"/>
      <c r="AG7" s="1329">
        <v>2026</v>
      </c>
      <c r="AH7" s="1330"/>
      <c r="AI7" s="1330"/>
      <c r="AJ7" s="1334"/>
      <c r="AK7" s="1329">
        <v>2027</v>
      </c>
      <c r="AL7" s="1330"/>
      <c r="AM7" s="1330"/>
      <c r="AN7" s="1334"/>
    </row>
    <row r="8" spans="1:72" x14ac:dyDescent="0.35">
      <c r="B8" s="1372"/>
      <c r="C8" s="1373"/>
      <c r="D8" s="449" t="s">
        <v>281</v>
      </c>
      <c r="E8" s="449" t="s">
        <v>282</v>
      </c>
      <c r="F8" s="450" t="s">
        <v>283</v>
      </c>
      <c r="G8" s="450" t="s">
        <v>238</v>
      </c>
      <c r="H8" s="489" t="s">
        <v>281</v>
      </c>
      <c r="I8" s="450" t="s">
        <v>282</v>
      </c>
      <c r="J8" s="450" t="s">
        <v>283</v>
      </c>
      <c r="K8" s="450" t="s">
        <v>238</v>
      </c>
      <c r="L8" s="450" t="s">
        <v>281</v>
      </c>
      <c r="M8" s="464" t="s">
        <v>282</v>
      </c>
      <c r="N8" s="465" t="s">
        <v>283</v>
      </c>
      <c r="O8" s="465" t="s">
        <v>238</v>
      </c>
      <c r="P8" s="465" t="s">
        <v>281</v>
      </c>
      <c r="Q8" s="464" t="s">
        <v>282</v>
      </c>
      <c r="R8" s="465" t="s">
        <v>283</v>
      </c>
      <c r="S8" s="465" t="s">
        <v>238</v>
      </c>
      <c r="T8" s="466" t="s">
        <v>281</v>
      </c>
      <c r="U8" s="286" t="s">
        <v>282</v>
      </c>
      <c r="V8" s="287" t="s">
        <v>283</v>
      </c>
      <c r="W8" s="287" t="s">
        <v>238</v>
      </c>
      <c r="X8" s="285" t="s">
        <v>281</v>
      </c>
      <c r="Y8" s="287" t="s">
        <v>282</v>
      </c>
      <c r="Z8" s="292" t="s">
        <v>283</v>
      </c>
      <c r="AA8" s="287" t="s">
        <v>238</v>
      </c>
      <c r="AB8" s="287" t="s">
        <v>281</v>
      </c>
      <c r="AC8" s="286" t="s">
        <v>282</v>
      </c>
      <c r="AD8" s="292" t="s">
        <v>283</v>
      </c>
      <c r="AE8" s="273" t="s">
        <v>238</v>
      </c>
      <c r="AF8" s="301" t="s">
        <v>281</v>
      </c>
      <c r="AG8" s="236" t="s">
        <v>282</v>
      </c>
      <c r="AH8" s="271" t="s">
        <v>283</v>
      </c>
      <c r="AI8" s="271" t="s">
        <v>238</v>
      </c>
      <c r="AJ8" s="290" t="s">
        <v>281</v>
      </c>
      <c r="AK8" s="236" t="s">
        <v>282</v>
      </c>
      <c r="AL8" s="271" t="s">
        <v>283</v>
      </c>
      <c r="AM8" s="271" t="s">
        <v>238</v>
      </c>
      <c r="AN8" s="290" t="s">
        <v>281</v>
      </c>
    </row>
    <row r="9" spans="1:72" ht="18" customHeight="1" x14ac:dyDescent="0.35">
      <c r="A9">
        <f>AVERAGE(0.53, 0.25, 0.18, 0.05)</f>
        <v>0.2525</v>
      </c>
      <c r="B9" s="484" t="s">
        <v>2004</v>
      </c>
      <c r="C9" s="485"/>
      <c r="D9" s="486"/>
      <c r="E9" s="486"/>
      <c r="F9" s="486"/>
      <c r="G9" s="486"/>
      <c r="H9" s="486"/>
      <c r="I9" s="486"/>
      <c r="J9" s="486"/>
      <c r="K9" s="486"/>
      <c r="L9" s="486"/>
      <c r="M9" s="462">
        <v>1609.9</v>
      </c>
      <c r="N9" s="462">
        <v>1588.5</v>
      </c>
      <c r="O9" s="462">
        <v>1576.4</v>
      </c>
      <c r="P9" s="462">
        <v>1602.5</v>
      </c>
      <c r="Q9" s="462">
        <v>1606.5</v>
      </c>
      <c r="R9" s="462">
        <v>1622.1</v>
      </c>
      <c r="S9" s="462">
        <v>1641.4</v>
      </c>
      <c r="T9" s="462">
        <v>1694.2</v>
      </c>
      <c r="U9" s="462">
        <v>1731.6</v>
      </c>
      <c r="V9" s="462">
        <v>1741.8</v>
      </c>
      <c r="W9" s="462">
        <v>1780.9</v>
      </c>
      <c r="X9" s="462">
        <v>1796.2</v>
      </c>
      <c r="Y9" s="462">
        <v>1810.3</v>
      </c>
      <c r="Z9" s="463">
        <v>1842.2</v>
      </c>
      <c r="AA9" s="463">
        <v>1893.4</v>
      </c>
      <c r="AB9" s="463">
        <v>1899.3</v>
      </c>
      <c r="AC9" s="463">
        <v>1905.1</v>
      </c>
      <c r="AD9" s="463">
        <f t="shared" ref="AD9:BI9" si="0">AD10+AD11</f>
        <v>1910.7</v>
      </c>
      <c r="AE9" s="463">
        <f t="shared" si="0"/>
        <v>1935.5</v>
      </c>
      <c r="AF9" s="463">
        <f t="shared" si="0"/>
        <v>1947.1</v>
      </c>
      <c r="AG9" s="463">
        <f t="shared" si="0"/>
        <v>1982.1</v>
      </c>
      <c r="AH9" s="463">
        <f t="shared" si="0"/>
        <v>1997.5</v>
      </c>
      <c r="AI9" s="463">
        <f t="shared" si="0"/>
        <v>2014.7</v>
      </c>
      <c r="AJ9" s="463">
        <f t="shared" si="0"/>
        <v>2024.9</v>
      </c>
      <c r="AK9" s="463">
        <f t="shared" si="0"/>
        <v>2034.5</v>
      </c>
      <c r="AL9" s="463">
        <f t="shared" si="0"/>
        <v>2045.6000000000001</v>
      </c>
      <c r="AM9" s="463">
        <f t="shared" si="0"/>
        <v>2057.1999999999998</v>
      </c>
      <c r="AN9" s="463" t="e">
        <f t="shared" si="0"/>
        <v>#REF!</v>
      </c>
      <c r="AO9" s="463" t="e">
        <f t="shared" si="0"/>
        <v>#REF!</v>
      </c>
      <c r="AP9" s="463" t="e">
        <f t="shared" si="0"/>
        <v>#REF!</v>
      </c>
      <c r="AQ9" s="463" t="e">
        <f t="shared" si="0"/>
        <v>#REF!</v>
      </c>
      <c r="AR9" s="463">
        <f t="shared" si="0"/>
        <v>2047.6</v>
      </c>
      <c r="AS9" s="463">
        <f t="shared" si="0"/>
        <v>2057.4</v>
      </c>
      <c r="AT9" s="463">
        <f t="shared" si="0"/>
        <v>2068.8000000000002</v>
      </c>
      <c r="AU9" s="463">
        <f t="shared" si="0"/>
        <v>2080.3000000000002</v>
      </c>
      <c r="AV9" s="463">
        <f t="shared" si="0"/>
        <v>2091.8000000000002</v>
      </c>
      <c r="AW9" s="463">
        <f t="shared" si="0"/>
        <v>2103.1999999999998</v>
      </c>
      <c r="AX9" s="463">
        <f t="shared" si="0"/>
        <v>2114.6999999999998</v>
      </c>
      <c r="AY9" s="463">
        <f t="shared" si="0"/>
        <v>2124.6999999999998</v>
      </c>
      <c r="AZ9" s="463">
        <f t="shared" si="0"/>
        <v>2134.8000000000002</v>
      </c>
      <c r="BA9" s="463">
        <f t="shared" si="0"/>
        <v>2144.9</v>
      </c>
      <c r="BB9" s="463">
        <f t="shared" si="0"/>
        <v>2156.6</v>
      </c>
      <c r="BC9" s="463">
        <f t="shared" si="0"/>
        <v>2169.1</v>
      </c>
      <c r="BD9" s="463">
        <f t="shared" si="0"/>
        <v>2181.9</v>
      </c>
      <c r="BE9" s="463">
        <f t="shared" si="0"/>
        <v>2194.8000000000002</v>
      </c>
      <c r="BF9" s="463">
        <f t="shared" si="0"/>
        <v>2207.5</v>
      </c>
      <c r="BG9" s="463">
        <f t="shared" si="0"/>
        <v>2221.3000000000002</v>
      </c>
      <c r="BH9" s="463">
        <f t="shared" si="0"/>
        <v>2235.5</v>
      </c>
      <c r="BI9" s="463">
        <f t="shared" si="0"/>
        <v>2249.3000000000002</v>
      </c>
      <c r="BJ9" s="463">
        <v>2263.1999999999998</v>
      </c>
      <c r="BK9" s="463">
        <v>2277.4</v>
      </c>
      <c r="BL9" s="463">
        <v>2290.6999999999998</v>
      </c>
      <c r="BM9" s="463">
        <v>2304.1999999999998</v>
      </c>
      <c r="BN9" s="463">
        <v>2317.3000000000002</v>
      </c>
      <c r="BO9" s="463">
        <v>2330.5</v>
      </c>
      <c r="BP9" s="463">
        <v>2343.6</v>
      </c>
      <c r="BQ9" s="463">
        <v>2356.9</v>
      </c>
      <c r="BR9">
        <v>2370.1999999999998</v>
      </c>
      <c r="BS9">
        <v>2383.6999999999998</v>
      </c>
      <c r="BT9">
        <v>2397.6</v>
      </c>
    </row>
    <row r="10" spans="1:72" ht="18" customHeight="1" x14ac:dyDescent="0.35">
      <c r="B10" s="448" t="s">
        <v>2005</v>
      </c>
      <c r="C10" s="444"/>
      <c r="D10" s="472"/>
      <c r="E10" s="472"/>
      <c r="F10" s="472"/>
      <c r="G10" s="472"/>
      <c r="H10" s="472"/>
      <c r="I10" s="472"/>
      <c r="J10" s="472"/>
      <c r="K10" s="472"/>
      <c r="L10" s="472"/>
      <c r="M10" s="462"/>
      <c r="N10" s="462"/>
      <c r="O10" s="462"/>
      <c r="P10" s="462"/>
      <c r="Q10" s="462"/>
      <c r="R10" s="462"/>
      <c r="S10" s="462"/>
      <c r="T10" s="462"/>
      <c r="U10" s="462"/>
      <c r="V10" s="462"/>
      <c r="W10" s="462"/>
      <c r="X10" s="462"/>
      <c r="Y10" s="462"/>
      <c r="Z10" s="463"/>
      <c r="AA10" s="463"/>
      <c r="AB10" s="463"/>
      <c r="AC10" s="463"/>
      <c r="AD10" s="463"/>
      <c r="AE10" s="463">
        <f>4.8*4</f>
        <v>19.2</v>
      </c>
      <c r="AF10" s="445">
        <v>25</v>
      </c>
      <c r="AG10" s="445">
        <v>50</v>
      </c>
      <c r="AH10" s="445">
        <v>55</v>
      </c>
      <c r="AI10" s="445">
        <v>61</v>
      </c>
      <c r="AJ10" s="463">
        <f>61.2</f>
        <v>61.2</v>
      </c>
      <c r="AK10" s="463">
        <f t="shared" ref="AK10:AM10" si="1">61.2</f>
        <v>61.2</v>
      </c>
      <c r="AL10" s="463">
        <f t="shared" si="1"/>
        <v>61.2</v>
      </c>
      <c r="AM10" s="463">
        <f t="shared" si="1"/>
        <v>61.2</v>
      </c>
      <c r="AN10" s="463" t="e">
        <f>#REF!</f>
        <v>#REF!</v>
      </c>
      <c r="AO10" s="463" t="e">
        <f>#REF!</f>
        <v>#REF!</v>
      </c>
      <c r="AP10" s="463" t="e">
        <f>#REF!</f>
        <v>#REF!</v>
      </c>
      <c r="AQ10" s="463" t="e">
        <f>#REF!</f>
        <v>#REF!</v>
      </c>
      <c r="AR10" s="463"/>
      <c r="AS10" s="463"/>
      <c r="AT10" s="463"/>
      <c r="AU10" s="463"/>
      <c r="AV10" s="463"/>
      <c r="AW10" s="463"/>
      <c r="AX10" s="463"/>
      <c r="AY10" s="463"/>
      <c r="AZ10" s="463"/>
      <c r="BA10" s="463"/>
      <c r="BB10" s="463"/>
      <c r="BC10" s="463"/>
      <c r="BD10" s="463"/>
      <c r="BE10" s="463"/>
      <c r="BF10" s="463"/>
      <c r="BG10" s="463"/>
      <c r="BH10" s="463"/>
      <c r="BI10" s="463"/>
      <c r="BJ10" s="463"/>
      <c r="BK10" s="463"/>
      <c r="BL10" s="463"/>
      <c r="BM10" s="463"/>
      <c r="BN10" s="463"/>
      <c r="BO10" s="463"/>
      <c r="BP10" s="463"/>
      <c r="BQ10" s="463"/>
    </row>
    <row r="11" spans="1:72" ht="18" customHeight="1" x14ac:dyDescent="0.35">
      <c r="B11" s="448" t="s">
        <v>2004</v>
      </c>
      <c r="C11" s="444"/>
      <c r="D11" s="472"/>
      <c r="E11" s="472"/>
      <c r="F11" s="472"/>
      <c r="G11" s="472"/>
      <c r="H11" s="472"/>
      <c r="I11" s="472"/>
      <c r="J11" s="472"/>
      <c r="K11" s="472"/>
      <c r="L11" s="472"/>
      <c r="M11" s="462">
        <v>1609.9</v>
      </c>
      <c r="N11" s="462">
        <v>1588.5</v>
      </c>
      <c r="O11" s="462">
        <v>1576.4</v>
      </c>
      <c r="P11" s="462">
        <v>1602.5</v>
      </c>
      <c r="Q11" s="462">
        <v>1606.5</v>
      </c>
      <c r="R11" s="462">
        <v>1622.1</v>
      </c>
      <c r="S11" s="462">
        <v>1641.4</v>
      </c>
      <c r="T11" s="462">
        <v>1694.2</v>
      </c>
      <c r="U11" s="462">
        <v>1731.6</v>
      </c>
      <c r="V11" s="462">
        <v>1741.8</v>
      </c>
      <c r="W11" s="462">
        <v>1780.9</v>
      </c>
      <c r="X11" s="462">
        <v>1796.2</v>
      </c>
      <c r="Y11" s="462">
        <v>1810.3</v>
      </c>
      <c r="Z11" s="463">
        <v>1842.2</v>
      </c>
      <c r="AA11" s="463">
        <v>1893.4</v>
      </c>
      <c r="AB11" s="463">
        <v>1899.3</v>
      </c>
      <c r="AC11" s="463">
        <v>1905.1</v>
      </c>
      <c r="AD11" s="463">
        <v>1910.7</v>
      </c>
      <c r="AE11" s="463">
        <v>1916.3</v>
      </c>
      <c r="AF11" s="463">
        <v>1922.1</v>
      </c>
      <c r="AG11" s="463">
        <v>1932.1</v>
      </c>
      <c r="AH11" s="463">
        <v>1942.5</v>
      </c>
      <c r="AI11" s="463">
        <v>1953.7</v>
      </c>
      <c r="AJ11" s="463">
        <v>1963.7</v>
      </c>
      <c r="AK11" s="463">
        <v>1973.3</v>
      </c>
      <c r="AL11" s="463">
        <v>1984.4</v>
      </c>
      <c r="AM11" s="463">
        <v>1996</v>
      </c>
      <c r="AN11" s="463">
        <v>2006.3</v>
      </c>
      <c r="AO11" s="463">
        <v>2016.1</v>
      </c>
      <c r="AP11" s="463">
        <v>2026.1</v>
      </c>
      <c r="AQ11" s="463">
        <v>2036.2</v>
      </c>
      <c r="AR11" s="463">
        <v>2047.6</v>
      </c>
      <c r="AS11" s="463">
        <v>2057.4</v>
      </c>
      <c r="AT11" s="463">
        <v>2068.8000000000002</v>
      </c>
      <c r="AU11" s="463">
        <v>2080.3000000000002</v>
      </c>
      <c r="AV11" s="463">
        <v>2091.8000000000002</v>
      </c>
      <c r="AW11" s="463">
        <v>2103.1999999999998</v>
      </c>
      <c r="AX11" s="463">
        <v>2114.6999999999998</v>
      </c>
      <c r="AY11" s="463">
        <v>2124.6999999999998</v>
      </c>
      <c r="AZ11" s="463">
        <v>2134.8000000000002</v>
      </c>
      <c r="BA11" s="463">
        <v>2144.9</v>
      </c>
      <c r="BB11" s="463">
        <v>2156.6</v>
      </c>
      <c r="BC11" s="463">
        <v>2169.1</v>
      </c>
      <c r="BD11" s="463">
        <v>2181.9</v>
      </c>
      <c r="BE11" s="463">
        <v>2194.8000000000002</v>
      </c>
      <c r="BF11" s="463">
        <v>2207.5</v>
      </c>
      <c r="BG11" s="463">
        <v>2221.3000000000002</v>
      </c>
      <c r="BH11" s="463">
        <v>2235.5</v>
      </c>
      <c r="BI11" s="463">
        <v>2249.3000000000002</v>
      </c>
      <c r="BJ11" s="463">
        <v>2263.1999999999998</v>
      </c>
      <c r="BK11" s="463">
        <v>2277.4</v>
      </c>
      <c r="BL11" s="463">
        <v>2290.6999999999998</v>
      </c>
      <c r="BM11" s="463">
        <v>2304.1999999999998</v>
      </c>
      <c r="BN11" s="463">
        <v>2317.3000000000002</v>
      </c>
      <c r="BO11" s="463">
        <v>2330.5</v>
      </c>
      <c r="BP11" s="463">
        <v>2343.6</v>
      </c>
      <c r="BQ11" s="463">
        <v>2356.9</v>
      </c>
      <c r="BR11">
        <v>2370.1999999999998</v>
      </c>
      <c r="BS11">
        <v>2383.6999999999998</v>
      </c>
      <c r="BT11">
        <v>2397.6</v>
      </c>
    </row>
    <row r="12" spans="1:72" ht="18" customHeight="1" x14ac:dyDescent="0.35">
      <c r="B12" s="488" t="s">
        <v>2003</v>
      </c>
      <c r="C12" s="444"/>
      <c r="D12" s="472"/>
      <c r="E12" s="472"/>
      <c r="F12" s="472"/>
      <c r="G12" s="472"/>
      <c r="H12" s="472"/>
      <c r="I12" s="472"/>
      <c r="J12" s="472"/>
      <c r="K12" s="472"/>
      <c r="L12" s="472"/>
      <c r="M12" s="446"/>
      <c r="N12" s="447">
        <f t="shared" ref="N12:AS12" si="2">((N9/M9)^4-1)*100</f>
        <v>-5.212018496634907</v>
      </c>
      <c r="O12" s="447">
        <f t="shared" si="2"/>
        <v>-3.0122625536379122</v>
      </c>
      <c r="P12" s="447">
        <f t="shared" si="2"/>
        <v>6.7889823709596397</v>
      </c>
      <c r="Q12" s="447">
        <f t="shared" si="2"/>
        <v>1.00218447093261</v>
      </c>
      <c r="R12" s="447">
        <f t="shared" si="2"/>
        <v>3.9411643848529243</v>
      </c>
      <c r="S12" s="447">
        <f t="shared" si="2"/>
        <v>4.844878118550211</v>
      </c>
      <c r="T12" s="447">
        <f t="shared" si="2"/>
        <v>13.501341155021663</v>
      </c>
      <c r="U12" s="447">
        <f t="shared" si="2"/>
        <v>9.1268448948295564</v>
      </c>
      <c r="V12" s="447">
        <f t="shared" si="2"/>
        <v>2.3771030680354466</v>
      </c>
      <c r="W12" s="447">
        <f t="shared" si="2"/>
        <v>9.286115814204333</v>
      </c>
      <c r="X12" s="447">
        <f t="shared" si="2"/>
        <v>3.4810037287705597</v>
      </c>
      <c r="Y12" s="447">
        <f t="shared" si="2"/>
        <v>3.1771286181233149</v>
      </c>
      <c r="Z12" s="447">
        <f t="shared" si="2"/>
        <v>7.2370618046588842</v>
      </c>
      <c r="AA12" s="447">
        <f t="shared" si="2"/>
        <v>11.58925529022785</v>
      </c>
      <c r="AB12" s="447">
        <f t="shared" si="2"/>
        <v>1.2522730976384899</v>
      </c>
      <c r="AC12" s="447">
        <f t="shared" si="2"/>
        <v>1.2271093164039293</v>
      </c>
      <c r="AD12" s="447">
        <f t="shared" si="2"/>
        <v>1.1809857833766646</v>
      </c>
      <c r="AE12" s="447">
        <f t="shared" si="2"/>
        <v>5.2937730303575847</v>
      </c>
      <c r="AF12" s="447">
        <f t="shared" si="2"/>
        <v>2.4189512623805198</v>
      </c>
      <c r="AG12" s="447">
        <f t="shared" si="2"/>
        <v>7.3863840728503716</v>
      </c>
      <c r="AH12" s="447">
        <f t="shared" si="2"/>
        <v>3.1442223400736768</v>
      </c>
      <c r="AI12" s="447">
        <f t="shared" si="2"/>
        <v>3.4890484587128734</v>
      </c>
      <c r="AJ12" s="447">
        <f t="shared" si="2"/>
        <v>2.0405464713691313</v>
      </c>
      <c r="AK12" s="447">
        <f t="shared" si="2"/>
        <v>1.909918726152382</v>
      </c>
      <c r="AL12" s="447">
        <f t="shared" si="2"/>
        <v>2.2002794519144331</v>
      </c>
      <c r="AM12" s="447">
        <f t="shared" si="2"/>
        <v>2.2876503453188146</v>
      </c>
      <c r="AN12" s="447" t="e">
        <f t="shared" si="2"/>
        <v>#REF!</v>
      </c>
      <c r="AO12" s="447" t="e">
        <f t="shared" si="2"/>
        <v>#REF!</v>
      </c>
      <c r="AP12" s="447" t="e">
        <f t="shared" si="2"/>
        <v>#REF!</v>
      </c>
      <c r="AQ12" s="447" t="e">
        <f t="shared" si="2"/>
        <v>#REF!</v>
      </c>
      <c r="AR12" s="447" t="e">
        <f t="shared" si="2"/>
        <v>#REF!</v>
      </c>
      <c r="AS12" s="447">
        <f t="shared" si="2"/>
        <v>1.928224319619698</v>
      </c>
      <c r="AT12" s="447">
        <f t="shared" ref="AT12:BQ12" si="3">((AT9/AS9)^4-1)*100</f>
        <v>2.2348791967138348</v>
      </c>
      <c r="AU12" s="447">
        <f t="shared" si="3"/>
        <v>2.2421200241868</v>
      </c>
      <c r="AV12" s="447">
        <f t="shared" si="3"/>
        <v>2.2296227967858684</v>
      </c>
      <c r="AW12" s="447">
        <f t="shared" si="3"/>
        <v>2.1978260860924248</v>
      </c>
      <c r="AX12" s="447">
        <f t="shared" si="3"/>
        <v>2.2051473659413956</v>
      </c>
      <c r="AY12" s="447">
        <f t="shared" si="3"/>
        <v>1.9049805508580819</v>
      </c>
      <c r="AZ12" s="447">
        <f t="shared" si="3"/>
        <v>1.9150460253528845</v>
      </c>
      <c r="BA12" s="447">
        <f t="shared" si="3"/>
        <v>1.905921462354887</v>
      </c>
      <c r="BB12" s="447">
        <f t="shared" si="3"/>
        <v>2.1998378184763911</v>
      </c>
      <c r="BC12" s="447">
        <f t="shared" si="3"/>
        <v>2.3386995388434473</v>
      </c>
      <c r="BD12" s="447">
        <f t="shared" si="3"/>
        <v>2.3814018410630355</v>
      </c>
      <c r="BE12" s="447">
        <f t="shared" si="3"/>
        <v>2.3859671243118941</v>
      </c>
      <c r="BF12" s="447">
        <f t="shared" si="3"/>
        <v>2.3347287849643905</v>
      </c>
      <c r="BG12" s="447">
        <f t="shared" si="3"/>
        <v>2.5241122451808984</v>
      </c>
      <c r="BH12" s="447">
        <f t="shared" si="3"/>
        <v>2.5816854513361465</v>
      </c>
      <c r="BI12" s="447">
        <f t="shared" si="3"/>
        <v>2.4922049092783505</v>
      </c>
      <c r="BJ12" s="447">
        <f t="shared" si="3"/>
        <v>2.494887902064602</v>
      </c>
      <c r="BK12" s="447">
        <f t="shared" si="3"/>
        <v>2.5334398225914434</v>
      </c>
      <c r="BL12" s="447">
        <f t="shared" si="3"/>
        <v>2.3565402872554042</v>
      </c>
      <c r="BM12" s="447">
        <f t="shared" si="3"/>
        <v>2.3782792724750035</v>
      </c>
      <c r="BN12" s="447">
        <f t="shared" si="3"/>
        <v>2.2935751387593406</v>
      </c>
      <c r="BO12" s="447">
        <f t="shared" si="3"/>
        <v>2.2980564193669784</v>
      </c>
      <c r="BP12" s="447">
        <f t="shared" si="3"/>
        <v>2.2674738191778232</v>
      </c>
      <c r="BQ12" s="447">
        <f t="shared" si="3"/>
        <v>2.2894087374823791</v>
      </c>
    </row>
    <row r="13" spans="1:72" ht="17.149999999999999" customHeight="1" x14ac:dyDescent="0.35">
      <c r="B13" s="488" t="s">
        <v>1961</v>
      </c>
      <c r="C13" s="481"/>
      <c r="D13" s="481"/>
      <c r="E13" s="481"/>
      <c r="F13" s="481"/>
      <c r="G13" s="481"/>
      <c r="H13" s="482"/>
      <c r="I13" s="482"/>
      <c r="J13" s="482"/>
      <c r="K13" s="482"/>
      <c r="L13" s="482"/>
      <c r="M13" s="238">
        <v>22.143000000000001</v>
      </c>
      <c r="N13" s="238">
        <v>-5.2320000000000002</v>
      </c>
      <c r="O13" s="238">
        <v>-2.996</v>
      </c>
      <c r="P13" s="238">
        <v>6.7709999999999999</v>
      </c>
      <c r="Q13" s="238">
        <v>-2.56</v>
      </c>
      <c r="R13" s="238">
        <v>3.9369999999999998</v>
      </c>
      <c r="S13" s="238">
        <v>4.8460000000000001</v>
      </c>
      <c r="T13" s="238">
        <v>13.507</v>
      </c>
      <c r="U13" s="238">
        <v>9.1310000000000002</v>
      </c>
      <c r="V13" s="238">
        <v>2.3679999999999999</v>
      </c>
      <c r="W13" s="238">
        <v>9.2949999999999999</v>
      </c>
      <c r="X13" s="238">
        <v>3.4710000000000001</v>
      </c>
      <c r="Y13" s="238">
        <v>3.1720000000000002</v>
      </c>
      <c r="Z13" s="447">
        <v>7.2409999999999997</v>
      </c>
      <c r="AA13" s="447">
        <v>11.583</v>
      </c>
      <c r="AB13" s="447">
        <v>1.272</v>
      </c>
      <c r="AC13" s="447">
        <v>1.2130000000000001</v>
      </c>
      <c r="AD13" s="447">
        <v>1.194</v>
      </c>
      <c r="AE13" s="447">
        <v>1.1639999999999999</v>
      </c>
      <c r="AF13" s="447">
        <v>1.2110000000000001</v>
      </c>
      <c r="AG13" s="447">
        <v>2.1070000000000002</v>
      </c>
      <c r="AH13" s="447">
        <v>2.1749999999999998</v>
      </c>
      <c r="AI13" s="447">
        <v>2.3199999999999998</v>
      </c>
      <c r="AJ13" s="447">
        <v>2.0579999999999998</v>
      </c>
      <c r="AK13" s="447">
        <v>1.9690000000000001</v>
      </c>
      <c r="AL13" s="447">
        <v>2.2799999999999998</v>
      </c>
      <c r="AM13" s="447">
        <v>2.34</v>
      </c>
      <c r="AN13" s="447">
        <v>2.0960000000000001</v>
      </c>
      <c r="AO13" s="447">
        <v>1.9670000000000001</v>
      </c>
      <c r="AP13" s="447">
        <v>1.992</v>
      </c>
      <c r="AQ13" s="447">
        <v>2.016</v>
      </c>
      <c r="AR13" s="447">
        <v>2.258</v>
      </c>
      <c r="AS13" s="447">
        <v>1.9179999999999999</v>
      </c>
      <c r="AT13" s="447">
        <v>2.2320000000000002</v>
      </c>
      <c r="AU13" s="447">
        <v>2.238</v>
      </c>
      <c r="AV13" s="447">
        <v>2.2429999999999999</v>
      </c>
      <c r="AW13" s="447">
        <v>2.1970000000000001</v>
      </c>
      <c r="AX13" s="447">
        <v>2.1989999999999998</v>
      </c>
      <c r="AY13" s="447">
        <v>1.9039999999999999</v>
      </c>
      <c r="AZ13" s="447">
        <v>1.9059999999999999</v>
      </c>
      <c r="BA13" s="447">
        <v>1.9059999999999999</v>
      </c>
      <c r="BB13" s="447">
        <v>2.1970000000000001</v>
      </c>
      <c r="BC13" s="447">
        <v>2.3420000000000001</v>
      </c>
      <c r="BD13" s="447">
        <v>2.391</v>
      </c>
      <c r="BE13" s="447">
        <v>2.3769999999999998</v>
      </c>
      <c r="BF13" s="447">
        <v>2.3330000000000002</v>
      </c>
      <c r="BG13" s="447">
        <v>2.536</v>
      </c>
      <c r="BH13" s="447">
        <v>2.5720000000000001</v>
      </c>
      <c r="BI13" s="447">
        <v>2.4940000000000002</v>
      </c>
      <c r="BJ13" s="447">
        <v>2.4929999999999999</v>
      </c>
      <c r="BK13" s="447">
        <v>2.5270000000000001</v>
      </c>
      <c r="BL13" s="447">
        <v>2.3690000000000002</v>
      </c>
      <c r="BM13" s="447">
        <v>2.367</v>
      </c>
      <c r="BN13" s="447">
        <v>2.2959999999999998</v>
      </c>
      <c r="BO13" s="447">
        <v>2.3010000000000002</v>
      </c>
      <c r="BP13" s="447">
        <v>2.2730000000000001</v>
      </c>
      <c r="BQ13" s="447">
        <v>2.2770000000000001</v>
      </c>
      <c r="BR13">
        <v>2.282</v>
      </c>
      <c r="BS13">
        <v>2.2869999999999999</v>
      </c>
      <c r="BT13">
        <v>2.3580000000000001</v>
      </c>
    </row>
    <row r="14" spans="1:72" ht="17.25" customHeight="1" x14ac:dyDescent="0.35">
      <c r="B14" s="493" t="s">
        <v>195</v>
      </c>
      <c r="C14" s="481" t="s">
        <v>902</v>
      </c>
      <c r="D14" s="481"/>
      <c r="E14" s="481"/>
      <c r="F14" s="481"/>
      <c r="G14" s="481"/>
      <c r="H14" s="473">
        <f>'Haver Pivoted'!GS23</f>
        <v>1439.9</v>
      </c>
      <c r="I14" s="473">
        <f>'Haver Pivoted'!GT23</f>
        <v>1459.3</v>
      </c>
      <c r="J14" s="473">
        <f>'Haver Pivoted'!GU23</f>
        <v>1567.7</v>
      </c>
      <c r="K14" s="473">
        <f>'Haver Pivoted'!GV23</f>
        <v>1526.5</v>
      </c>
      <c r="L14" s="473">
        <f>'Haver Pivoted'!GW23</f>
        <v>1538.6</v>
      </c>
      <c r="M14" s="473">
        <f>'Haver Pivoted'!GX23</f>
        <v>1613.4</v>
      </c>
      <c r="N14" s="473">
        <f>'Haver Pivoted'!GY23</f>
        <v>1597.4</v>
      </c>
      <c r="O14" s="473">
        <f>'Haver Pivoted'!GZ23</f>
        <v>1585</v>
      </c>
      <c r="P14" s="473">
        <f>'Haver Pivoted'!HA23</f>
        <v>1616.9</v>
      </c>
      <c r="Q14" s="473">
        <f>'Haver Pivoted'!HB23</f>
        <v>1606.5</v>
      </c>
      <c r="R14" s="473">
        <f>'Haver Pivoted'!HC23</f>
        <v>1622.1</v>
      </c>
      <c r="S14" s="483">
        <f>'Haver Pivoted'!HD23</f>
        <v>1641.4</v>
      </c>
      <c r="T14" s="483">
        <f>'Haver Pivoted'!HE23</f>
        <v>1694.2</v>
      </c>
      <c r="U14" s="483">
        <f>'Haver Pivoted'!HF23</f>
        <v>1731.6</v>
      </c>
      <c r="V14" s="483">
        <f>'Haver Pivoted'!HG23</f>
        <v>1741.8</v>
      </c>
      <c r="W14" s="483">
        <f>'Haver Pivoted'!HH23</f>
        <v>1780.9</v>
      </c>
      <c r="X14" s="483">
        <f>'Haver Pivoted'!HI23</f>
        <v>1796.2</v>
      </c>
      <c r="Y14" s="483">
        <f>'Haver Pivoted'!HJ23</f>
        <v>1810.3</v>
      </c>
      <c r="Z14" s="483">
        <f>'Haver Pivoted'!HK23</f>
        <v>1842.2</v>
      </c>
      <c r="AA14" s="483">
        <f>'Haver Pivoted'!HL23</f>
        <v>1893.4</v>
      </c>
      <c r="AB14" s="483">
        <f>'Haver Pivoted'!HM23</f>
        <v>1924.7</v>
      </c>
      <c r="AC14" s="483">
        <f>'Haver Pivoted'!HN23</f>
        <v>1928.4</v>
      </c>
      <c r="AD14" s="483">
        <f>'Haver Pivoted'!HO23</f>
        <v>1938.7</v>
      </c>
      <c r="AE14" s="475">
        <f t="shared" ref="AE14:AN14" si="4">(1+(AE12/100))^(1/4)*AD14+AE19</f>
        <v>1963.8634270162768</v>
      </c>
      <c r="AF14" s="475">
        <f>(1+(AF12/100))^(1/4)*AE14+AF19</f>
        <v>1975.6334170722771</v>
      </c>
      <c r="AG14" s="475">
        <f t="shared" si="4"/>
        <v>2011.1463181033128</v>
      </c>
      <c r="AH14" s="475">
        <f t="shared" si="4"/>
        <v>2026.7719945569688</v>
      </c>
      <c r="AI14" s="475">
        <f t="shared" si="4"/>
        <v>2044.2240487779352</v>
      </c>
      <c r="AJ14" s="475">
        <f t="shared" si="4"/>
        <v>2054.5735227926943</v>
      </c>
      <c r="AK14" s="475">
        <f t="shared" si="4"/>
        <v>2064.3142042183495</v>
      </c>
      <c r="AL14" s="475">
        <f t="shared" si="4"/>
        <v>2075.5768671167639</v>
      </c>
      <c r="AM14" s="475">
        <f t="shared" si="4"/>
        <v>2087.346857172764</v>
      </c>
      <c r="AN14" s="475" t="e">
        <f t="shared" si="4"/>
        <v>#REF!</v>
      </c>
    </row>
    <row r="15" spans="1:72" ht="17.25" customHeight="1" x14ac:dyDescent="0.35">
      <c r="B15" s="493" t="s">
        <v>112</v>
      </c>
      <c r="C15" s="481"/>
      <c r="D15" s="481"/>
      <c r="E15" s="481"/>
      <c r="F15" s="481"/>
      <c r="G15" s="481"/>
      <c r="H15" s="473"/>
      <c r="I15" s="473"/>
      <c r="J15" s="473"/>
      <c r="K15" s="473"/>
      <c r="L15" s="473"/>
      <c r="M15" s="473"/>
      <c r="N15" s="473"/>
      <c r="O15" s="473"/>
      <c r="P15" s="473"/>
      <c r="Q15" s="473"/>
      <c r="R15" s="473"/>
      <c r="S15" s="483">
        <f>S14/S16</f>
        <v>1412.9</v>
      </c>
      <c r="T15" s="483">
        <f t="shared" ref="T15:AN15" si="5">T14/T16</f>
        <v>1443.601062446656</v>
      </c>
      <c r="U15" s="483">
        <f t="shared" si="5"/>
        <v>1460.0562632146969</v>
      </c>
      <c r="V15" s="483">
        <f t="shared" si="5"/>
        <v>1456.0736835277405</v>
      </c>
      <c r="W15" s="483">
        <f t="shared" si="5"/>
        <v>1474.9026173326019</v>
      </c>
      <c r="X15" s="483">
        <f t="shared" si="5"/>
        <v>1473.6619479231717</v>
      </c>
      <c r="Y15" s="483">
        <f t="shared" si="5"/>
        <v>1472.330449981227</v>
      </c>
      <c r="Z15" s="483">
        <f t="shared" si="5"/>
        <v>1487.8932094301031</v>
      </c>
      <c r="AA15" s="483">
        <f t="shared" si="5"/>
        <v>1520.0270308686263</v>
      </c>
      <c r="AB15" s="483">
        <f t="shared" si="5"/>
        <v>1535.0260739971839</v>
      </c>
      <c r="AC15" s="483">
        <f t="shared" si="5"/>
        <v>1516.8925565791544</v>
      </c>
      <c r="AD15" s="483">
        <f>AD14/AD16</f>
        <v>1502.5755148290809</v>
      </c>
      <c r="AE15" s="452">
        <f t="shared" si="5"/>
        <v>1512.8109243303436</v>
      </c>
      <c r="AF15" s="452">
        <f t="shared" si="5"/>
        <v>1512.8367407498436</v>
      </c>
      <c r="AG15" s="452">
        <f t="shared" si="5"/>
        <v>1531.8566169851536</v>
      </c>
      <c r="AH15" s="452">
        <f t="shared" si="5"/>
        <v>1535.0857309107803</v>
      </c>
      <c r="AI15" s="452">
        <f t="shared" si="5"/>
        <v>1539.4280097045369</v>
      </c>
      <c r="AJ15" s="452">
        <f t="shared" si="5"/>
        <v>1538.1166951280497</v>
      </c>
      <c r="AK15" s="452">
        <f t="shared" si="5"/>
        <v>1536.8690206120195</v>
      </c>
      <c r="AL15" s="452">
        <f t="shared" si="5"/>
        <v>1536.8146916824514</v>
      </c>
      <c r="AM15" s="452">
        <f t="shared" si="5"/>
        <v>1536.8538331566187</v>
      </c>
      <c r="AN15" s="452" t="e">
        <f t="shared" si="5"/>
        <v>#REF!</v>
      </c>
    </row>
    <row r="16" spans="1:72" ht="17.25" customHeight="1" x14ac:dyDescent="0.35">
      <c r="B16" s="493" t="s">
        <v>97</v>
      </c>
      <c r="C16" s="481"/>
      <c r="D16" s="481"/>
      <c r="E16" s="481"/>
      <c r="F16" s="481"/>
      <c r="G16" s="481"/>
      <c r="H16" s="473"/>
      <c r="I16" s="473"/>
      <c r="J16" s="473"/>
      <c r="K16" s="473"/>
      <c r="L16" s="473"/>
      <c r="M16" s="473"/>
      <c r="N16" s="473"/>
      <c r="O16" s="473"/>
      <c r="P16" s="473"/>
      <c r="Q16" s="473"/>
      <c r="R16" s="473"/>
      <c r="S16" s="483">
        <f>Deflators!S56</f>
        <v>1.1617241135253733</v>
      </c>
      <c r="T16" s="483">
        <f>Deflators!T56</f>
        <v>1.1735929295650571</v>
      </c>
      <c r="U16" s="483">
        <f>Deflators!U56</f>
        <v>1.1859816937379031</v>
      </c>
      <c r="V16" s="483">
        <f>Deflators!V56</f>
        <v>1.1962306713627353</v>
      </c>
      <c r="W16" s="483">
        <f>Deflators!W56</f>
        <v>1.2074695502410877</v>
      </c>
      <c r="X16" s="483">
        <f>Deflators!X56</f>
        <v>1.2188684131604133</v>
      </c>
      <c r="Y16" s="483">
        <f>Deflators!Y56</f>
        <v>1.2295473478953602</v>
      </c>
      <c r="Z16" s="483">
        <f>Deflators!Z56</f>
        <v>1.238126492092537</v>
      </c>
      <c r="AA16" s="483">
        <f>Deflators!AA56</f>
        <v>1.2456357430157068</v>
      </c>
      <c r="AB16" s="483">
        <f>Deflators!AB56</f>
        <v>1.2538549231206941</v>
      </c>
      <c r="AC16" s="483">
        <f>Deflators!AC56</f>
        <v>1.2712831845841894</v>
      </c>
      <c r="AD16" s="483">
        <f>Deflators!AD56</f>
        <v>1.2902512924420497</v>
      </c>
      <c r="AE16" s="452">
        <f>Deflators!AE56</f>
        <v>1.2981552389870497</v>
      </c>
      <c r="AF16" s="452">
        <f>Deflators!AF56</f>
        <v>1.3059131655495402</v>
      </c>
      <c r="AG16" s="452">
        <f>Deflators!AG56</f>
        <v>1.3128815685514021</v>
      </c>
      <c r="AH16" s="452">
        <f>Deflators!AH56</f>
        <v>1.320298895198815</v>
      </c>
      <c r="AI16" s="452">
        <f>Deflators!AI56</f>
        <v>1.3279114293693306</v>
      </c>
      <c r="AJ16" s="452">
        <f>Deflators!AJ56</f>
        <v>1.3357722007052586</v>
      </c>
      <c r="AK16" s="452">
        <f>Deflators!AK56</f>
        <v>1.3431946226597034</v>
      </c>
      <c r="AL16" s="452">
        <f>Deflators!AL56</f>
        <v>1.3505706825619257</v>
      </c>
      <c r="AM16" s="452">
        <f>Deflators!AM56</f>
        <v>1.358194782183977</v>
      </c>
      <c r="AN16" s="452">
        <f>Deflators!AN56</f>
        <v>1.3660203920243412</v>
      </c>
    </row>
    <row r="17" spans="2:72" ht="17.25" customHeight="1" x14ac:dyDescent="0.35">
      <c r="B17" s="493"/>
      <c r="C17" s="481"/>
      <c r="D17" s="481"/>
      <c r="E17" s="481"/>
      <c r="F17" s="481"/>
      <c r="G17" s="481"/>
      <c r="H17" s="473"/>
      <c r="I17" s="473"/>
      <c r="J17" s="473"/>
      <c r="K17" s="473"/>
      <c r="L17" s="473"/>
      <c r="M17" s="473"/>
      <c r="N17" s="473"/>
      <c r="O17" s="473"/>
      <c r="P17" s="473"/>
      <c r="Q17" s="473"/>
      <c r="R17" s="473"/>
      <c r="S17" s="483"/>
      <c r="T17" s="451">
        <f>(T16/S16)^4-1</f>
        <v>4.1496756379381328E-2</v>
      </c>
      <c r="U17" s="451">
        <f t="shared" ref="U17:AN17" si="6">(U16/T16)^4-1</f>
        <v>4.2898407970302532E-2</v>
      </c>
      <c r="V17" s="451">
        <f t="shared" si="6"/>
        <v>3.5017736429978852E-2</v>
      </c>
      <c r="W17" s="451">
        <f t="shared" si="6"/>
        <v>3.8113924198168725E-2</v>
      </c>
      <c r="X17" s="451">
        <f t="shared" si="6"/>
        <v>3.8299248311242984E-2</v>
      </c>
      <c r="Y17" s="451">
        <f t="shared" si="6"/>
        <v>3.5508670157945676E-2</v>
      </c>
      <c r="Z17" s="451">
        <f t="shared" si="6"/>
        <v>2.8203399736230539E-2</v>
      </c>
      <c r="AA17" s="451">
        <f t="shared" si="6"/>
        <v>2.4481644318991469E-2</v>
      </c>
      <c r="AB17" s="451">
        <f t="shared" si="6"/>
        <v>2.665590972416565E-2</v>
      </c>
      <c r="AC17" s="451">
        <f t="shared" si="6"/>
        <v>5.6768969247473322E-2</v>
      </c>
      <c r="AD17" s="451">
        <f t="shared" si="6"/>
        <v>6.1030824179235887E-2</v>
      </c>
      <c r="AE17" s="453">
        <f t="shared" si="6"/>
        <v>2.4729668703096008E-2</v>
      </c>
      <c r="AF17" s="453">
        <f t="shared" si="6"/>
        <v>2.4119603614899177E-2</v>
      </c>
      <c r="AG17" s="453">
        <f t="shared" si="6"/>
        <v>2.1515602617293128E-2</v>
      </c>
      <c r="AH17" s="453">
        <f t="shared" si="6"/>
        <v>2.2790850007197161E-2</v>
      </c>
      <c r="AI17" s="453">
        <f t="shared" si="6"/>
        <v>2.3263295207157642E-2</v>
      </c>
      <c r="AJ17" s="453">
        <f t="shared" si="6"/>
        <v>2.3889685874715294E-2</v>
      </c>
      <c r="AK17" s="453">
        <f t="shared" si="6"/>
        <v>2.2412555601408091E-2</v>
      </c>
      <c r="AL17" s="453">
        <f t="shared" si="6"/>
        <v>2.2147320108405477E-2</v>
      </c>
      <c r="AM17" s="453">
        <f t="shared" si="6"/>
        <v>2.2772302614111117E-2</v>
      </c>
      <c r="AN17" s="453">
        <f t="shared" si="6"/>
        <v>2.3247045836330082E-2</v>
      </c>
    </row>
    <row r="18" spans="2:72" ht="17.25" customHeight="1" x14ac:dyDescent="0.35">
      <c r="B18" s="493" t="s">
        <v>1987</v>
      </c>
      <c r="C18" s="481"/>
      <c r="D18" s="481"/>
      <c r="E18" s="481"/>
      <c r="F18" s="481"/>
      <c r="G18" s="481"/>
      <c r="H18" s="473"/>
      <c r="I18" s="473"/>
      <c r="J18" s="473"/>
      <c r="K18" s="473"/>
      <c r="L18" s="473"/>
      <c r="M18" s="473"/>
      <c r="N18" s="473"/>
      <c r="O18" s="473"/>
      <c r="P18" s="473"/>
      <c r="Q18" s="473"/>
      <c r="R18" s="473"/>
      <c r="S18" s="483"/>
      <c r="T18" s="451">
        <f>(T15/S15)^4-1</f>
        <v>8.9790635062496849E-2</v>
      </c>
      <c r="U18" s="451">
        <f t="shared" ref="U18:AN18" si="7">(U15/T15)^4-1</f>
        <v>4.6380395835613042E-2</v>
      </c>
      <c r="V18" s="451">
        <f t="shared" si="7"/>
        <v>-1.0866196156615104E-2</v>
      </c>
      <c r="W18" s="451">
        <f t="shared" si="7"/>
        <v>5.2737211849036569E-2</v>
      </c>
      <c r="X18" s="451">
        <f t="shared" si="7"/>
        <v>-3.360506163529231E-3</v>
      </c>
      <c r="Y18" s="451">
        <f t="shared" si="7"/>
        <v>-3.6092251899172423E-3</v>
      </c>
      <c r="Z18" s="451">
        <f t="shared" si="7"/>
        <v>4.2955720941680875E-2</v>
      </c>
      <c r="AA18" s="451">
        <f t="shared" si="7"/>
        <v>8.9226497214647704E-2</v>
      </c>
      <c r="AB18" s="451">
        <f t="shared" si="7"/>
        <v>4.0058535999288658E-2</v>
      </c>
      <c r="AC18" s="451">
        <f t="shared" si="7"/>
        <v>-4.6421932304233748E-2</v>
      </c>
      <c r="AD18" s="451">
        <f>(AD15/AC15)^4-1</f>
        <v>-3.7222462717569571E-2</v>
      </c>
      <c r="AE18" s="453">
        <f t="shared" si="7"/>
        <v>2.7527320094264951E-2</v>
      </c>
      <c r="AF18" s="453">
        <f t="shared" si="7"/>
        <v>6.826254341674165E-5</v>
      </c>
      <c r="AG18" s="453">
        <f t="shared" si="7"/>
        <v>5.1245656921034666E-2</v>
      </c>
      <c r="AH18" s="453">
        <f t="shared" si="7"/>
        <v>8.4585948275532896E-3</v>
      </c>
      <c r="AI18" s="453">
        <f t="shared" si="7"/>
        <v>1.1362851999511703E-2</v>
      </c>
      <c r="AJ18" s="453">
        <f t="shared" si="7"/>
        <v>-3.4029263201797999E-3</v>
      </c>
      <c r="AK18" s="453">
        <f t="shared" si="7"/>
        <v>-3.2407351824188524E-3</v>
      </c>
      <c r="AL18" s="453">
        <f t="shared" si="7"/>
        <v>-1.4139408910862628E-4</v>
      </c>
      <c r="AM18" s="453">
        <f t="shared" si="7"/>
        <v>1.0188077914419225E-4</v>
      </c>
      <c r="AN18" s="453" t="e">
        <f t="shared" si="7"/>
        <v>#REF!</v>
      </c>
    </row>
    <row r="19" spans="2:72" ht="17.25" customHeight="1" x14ac:dyDescent="0.35">
      <c r="B19" s="493" t="s">
        <v>1953</v>
      </c>
      <c r="C19" s="481"/>
      <c r="D19" s="481"/>
      <c r="E19" s="481"/>
      <c r="F19" s="481"/>
      <c r="G19" s="481"/>
      <c r="H19" s="473"/>
      <c r="I19" s="473"/>
      <c r="J19" s="473"/>
      <c r="K19" s="473"/>
      <c r="L19" s="473"/>
      <c r="M19" s="473"/>
      <c r="N19" s="473"/>
      <c r="O19" s="473"/>
      <c r="P19" s="473"/>
      <c r="Q19" s="473"/>
      <c r="R19" s="473"/>
      <c r="S19" s="483"/>
      <c r="T19" s="483"/>
      <c r="U19" s="483"/>
      <c r="V19" s="483"/>
      <c r="W19" s="483"/>
      <c r="X19" s="483"/>
      <c r="Y19" s="483"/>
      <c r="Z19" s="483"/>
      <c r="AA19" s="483"/>
      <c r="AB19" s="483"/>
      <c r="AC19" s="483"/>
      <c r="AD19" s="483"/>
      <c r="AE19" s="475"/>
      <c r="AF19" s="475"/>
      <c r="AG19" s="475"/>
      <c r="AH19" s="475"/>
      <c r="AI19" s="475"/>
      <c r="AJ19" s="475"/>
      <c r="AK19" s="475"/>
      <c r="AL19" s="475"/>
      <c r="AM19" s="475"/>
      <c r="AN19" s="475"/>
    </row>
    <row r="20" spans="2:72" x14ac:dyDescent="0.35">
      <c r="B20" s="490" t="s">
        <v>386</v>
      </c>
      <c r="C20" s="491"/>
      <c r="D20" s="491"/>
      <c r="E20" s="491"/>
      <c r="F20" s="491"/>
      <c r="G20" s="491"/>
      <c r="H20" s="471">
        <f t="shared" ref="H20:AC20" si="8">H14+H58</f>
        <v>1721.212</v>
      </c>
      <c r="I20" s="471">
        <f t="shared" si="8"/>
        <v>1747.059</v>
      </c>
      <c r="J20" s="471">
        <f t="shared" si="8"/>
        <v>1964.3780000000002</v>
      </c>
      <c r="K20" s="471">
        <f t="shared" si="8"/>
        <v>1901.364</v>
      </c>
      <c r="L20" s="471">
        <f t="shared" si="8"/>
        <v>1907.3589999999999</v>
      </c>
      <c r="M20" s="471">
        <f t="shared" si="8"/>
        <v>2004.8540000000003</v>
      </c>
      <c r="N20" s="471">
        <f t="shared" si="8"/>
        <v>2026.6750000000002</v>
      </c>
      <c r="O20" s="471">
        <f t="shared" si="8"/>
        <v>2028.4519999999998</v>
      </c>
      <c r="P20" s="471">
        <f t="shared" si="8"/>
        <v>2089.0478520000001</v>
      </c>
      <c r="Q20" s="471">
        <f t="shared" si="8"/>
        <v>2112.3222747999998</v>
      </c>
      <c r="R20" s="471">
        <f t="shared" si="8"/>
        <v>2197.6360319999999</v>
      </c>
      <c r="S20" s="471">
        <f t="shared" si="8"/>
        <v>2199.7388679999999</v>
      </c>
      <c r="T20" s="471">
        <f t="shared" si="8"/>
        <v>2220.3329279999998</v>
      </c>
      <c r="U20" s="472">
        <f t="shared" si="8"/>
        <v>2248.6365432000002</v>
      </c>
      <c r="V20" s="472">
        <f t="shared" si="8"/>
        <v>2251.6037200000001</v>
      </c>
      <c r="W20" s="472">
        <f t="shared" si="8"/>
        <v>2274.603944</v>
      </c>
      <c r="X20" s="472">
        <f t="shared" si="8"/>
        <v>2306.1809440000002</v>
      </c>
      <c r="Y20" s="492">
        <f t="shared" si="8"/>
        <v>2322.6879440000002</v>
      </c>
      <c r="Z20" s="492">
        <f t="shared" si="8"/>
        <v>2360.4781090000001</v>
      </c>
      <c r="AA20" s="492">
        <f t="shared" si="8"/>
        <v>2433.0083300000001</v>
      </c>
      <c r="AB20" s="492">
        <f t="shared" si="8"/>
        <v>2467.5163256999999</v>
      </c>
      <c r="AC20" s="474">
        <f t="shared" si="8"/>
        <v>2432.2299969999999</v>
      </c>
      <c r="AD20" s="474"/>
      <c r="AE20" s="474"/>
      <c r="AF20" s="474"/>
      <c r="AG20" s="474"/>
      <c r="AH20" s="474"/>
      <c r="AI20" s="474"/>
      <c r="AJ20" s="474"/>
      <c r="AK20" s="474"/>
      <c r="AL20" s="474"/>
      <c r="AM20" s="474"/>
      <c r="AN20" s="474"/>
      <c r="AO20" s="249" t="s">
        <v>387</v>
      </c>
    </row>
    <row r="21" spans="2:72" ht="15.75" customHeight="1" x14ac:dyDescent="0.35">
      <c r="B21" s="257"/>
      <c r="C21" s="257"/>
      <c r="D21" s="257"/>
      <c r="E21" s="257"/>
      <c r="F21" s="257"/>
      <c r="G21" s="257"/>
      <c r="H21" s="246"/>
      <c r="I21" s="246"/>
      <c r="J21" s="246"/>
      <c r="K21" s="246"/>
      <c r="L21" s="246"/>
      <c r="M21" s="246"/>
      <c r="N21" s="246"/>
      <c r="O21" s="246"/>
      <c r="Y21" s="75"/>
      <c r="Z21" s="75"/>
      <c r="AA21" s="75"/>
      <c r="AB21" s="75"/>
      <c r="AC21" s="499"/>
      <c r="AD21" s="75"/>
      <c r="AE21" s="75"/>
      <c r="AF21" s="75"/>
      <c r="AG21" s="75"/>
      <c r="AH21" s="75"/>
      <c r="AI21" s="249"/>
    </row>
    <row r="22" spans="2:72" x14ac:dyDescent="0.35">
      <c r="B22" s="257"/>
      <c r="C22" s="257"/>
      <c r="D22" s="257"/>
      <c r="E22" s="257"/>
      <c r="F22" s="257"/>
      <c r="G22" s="257"/>
      <c r="H22" s="246"/>
      <c r="I22" s="246"/>
      <c r="J22" s="246"/>
      <c r="K22" s="246"/>
      <c r="L22" s="246"/>
      <c r="M22" s="246"/>
      <c r="N22" s="246"/>
      <c r="O22" s="246"/>
      <c r="P22" s="499"/>
      <c r="Q22" s="499"/>
      <c r="R22" s="499"/>
      <c r="S22" s="499"/>
      <c r="T22" s="499"/>
      <c r="U22" s="499"/>
      <c r="V22" s="499"/>
      <c r="W22" s="499"/>
      <c r="X22" s="499"/>
      <c r="Y22" s="499"/>
      <c r="Z22" s="499"/>
      <c r="AA22" s="499"/>
      <c r="AB22" s="499"/>
      <c r="AD22" s="499"/>
      <c r="AE22" s="499"/>
      <c r="AF22" s="499"/>
      <c r="AG22" s="499"/>
      <c r="AH22" s="499"/>
    </row>
    <row r="23" spans="2:72" ht="21.75" customHeight="1" x14ac:dyDescent="0.35">
      <c r="B23" s="1318" t="s">
        <v>165</v>
      </c>
      <c r="C23" s="1318"/>
      <c r="D23" s="1318"/>
      <c r="E23" s="1318"/>
      <c r="F23" s="1318"/>
      <c r="G23" s="1318"/>
      <c r="H23" s="1318"/>
      <c r="I23" s="1318"/>
      <c r="J23" s="1318"/>
      <c r="K23" s="1318"/>
      <c r="L23" s="1318"/>
      <c r="M23" s="1318"/>
      <c r="N23" s="1318"/>
      <c r="O23" s="1318"/>
      <c r="P23" s="1318"/>
      <c r="Q23" s="1318"/>
      <c r="R23" s="1318"/>
      <c r="S23" s="1318"/>
      <c r="T23" s="1318"/>
      <c r="U23" s="1318"/>
      <c r="V23" s="1318"/>
      <c r="W23" s="1318"/>
      <c r="X23" s="1318"/>
      <c r="Y23" s="1318"/>
      <c r="Z23" s="1318"/>
      <c r="AA23" s="1318"/>
      <c r="AB23" s="1318"/>
      <c r="AC23" s="1318"/>
      <c r="AD23" s="223"/>
      <c r="AE23" s="223"/>
      <c r="AF23" s="223"/>
      <c r="AG23" s="223"/>
      <c r="AH23" s="223"/>
      <c r="AJ23" s="96"/>
    </row>
    <row r="24" spans="2:72" ht="14.25" customHeight="1" x14ac:dyDescent="0.35">
      <c r="B24" s="1319" t="s">
        <v>388</v>
      </c>
      <c r="C24" s="1319"/>
      <c r="D24" s="1319"/>
      <c r="E24" s="1319"/>
      <c r="F24" s="1319"/>
      <c r="G24" s="1319"/>
      <c r="H24" s="1319"/>
      <c r="I24" s="1319"/>
      <c r="J24" s="1319"/>
      <c r="K24" s="1319"/>
      <c r="L24" s="1319"/>
      <c r="M24" s="1319"/>
      <c r="N24" s="1319"/>
      <c r="O24" s="1319"/>
      <c r="P24" s="1319"/>
      <c r="Q24" s="1319"/>
      <c r="R24" s="1319"/>
      <c r="S24" s="1319"/>
      <c r="T24" s="1319"/>
      <c r="U24" s="1319"/>
      <c r="V24" s="1319"/>
      <c r="W24" s="1319"/>
      <c r="X24" s="1319"/>
      <c r="Y24" s="1319"/>
      <c r="Z24" s="1319"/>
      <c r="AA24" s="1319"/>
      <c r="AB24" s="1319"/>
      <c r="AC24" s="1319"/>
      <c r="AD24" s="224"/>
      <c r="AE24" s="224"/>
      <c r="AF24" s="224"/>
      <c r="AG24" s="224"/>
      <c r="AH24" s="224"/>
      <c r="AJ24" s="96"/>
    </row>
    <row r="25" spans="2:72" x14ac:dyDescent="0.35">
      <c r="B25" s="1319"/>
      <c r="C25" s="1319"/>
      <c r="D25" s="1319"/>
      <c r="E25" s="1319"/>
      <c r="F25" s="1319"/>
      <c r="G25" s="1319"/>
      <c r="H25" s="1319"/>
      <c r="I25" s="1319"/>
      <c r="J25" s="1319"/>
      <c r="K25" s="1319"/>
      <c r="L25" s="1319"/>
      <c r="M25" s="1319"/>
      <c r="N25" s="1319"/>
      <c r="O25" s="1319"/>
      <c r="P25" s="1319"/>
      <c r="Q25" s="1319"/>
      <c r="R25" s="1319"/>
      <c r="S25" s="1319"/>
      <c r="T25" s="1319"/>
      <c r="U25" s="1319"/>
      <c r="V25" s="1319"/>
      <c r="W25" s="1319"/>
      <c r="X25" s="1319"/>
      <c r="Y25" s="1319"/>
      <c r="Z25" s="1319"/>
      <c r="AA25" s="1319"/>
      <c r="AB25" s="1319"/>
      <c r="AC25" s="1319"/>
      <c r="AD25" s="224"/>
      <c r="AE25" s="224"/>
      <c r="AF25" s="224"/>
      <c r="AG25" s="224"/>
      <c r="AH25" s="224"/>
    </row>
    <row r="26" spans="2:72" x14ac:dyDescent="0.35">
      <c r="B26" s="1319"/>
      <c r="C26" s="1319"/>
      <c r="D26" s="1319"/>
      <c r="E26" s="1319"/>
      <c r="F26" s="1319"/>
      <c r="G26" s="1319"/>
      <c r="H26" s="1319"/>
      <c r="I26" s="1319"/>
      <c r="J26" s="1319"/>
      <c r="K26" s="1319"/>
      <c r="L26" s="1319"/>
      <c r="M26" s="1319"/>
      <c r="N26" s="1319"/>
      <c r="O26" s="1319"/>
      <c r="P26" s="1319"/>
      <c r="Q26" s="1319"/>
      <c r="R26" s="1319"/>
      <c r="S26" s="1319"/>
      <c r="T26" s="1319"/>
      <c r="U26" s="1319"/>
      <c r="V26" s="1319"/>
      <c r="W26" s="1319"/>
      <c r="X26" s="1319"/>
      <c r="Y26" s="1319"/>
      <c r="Z26" s="1319"/>
      <c r="AA26" s="1319"/>
      <c r="AB26" s="1319"/>
      <c r="AC26" s="1319"/>
      <c r="AD26" s="224"/>
      <c r="AE26" s="224"/>
      <c r="AF26" s="224"/>
      <c r="AG26" s="224"/>
      <c r="AH26" s="224"/>
    </row>
    <row r="28" spans="2:72" x14ac:dyDescent="0.35">
      <c r="B28" s="1323" t="s">
        <v>278</v>
      </c>
      <c r="C28" s="1364"/>
      <c r="D28" s="1333" t="s">
        <v>279</v>
      </c>
      <c r="E28" s="1333"/>
      <c r="F28" s="1333"/>
      <c r="G28" s="1333"/>
      <c r="H28" s="1333"/>
      <c r="I28" s="1333"/>
      <c r="J28" s="1333"/>
      <c r="K28" s="1333"/>
      <c r="L28" s="1333"/>
      <c r="M28" s="1333"/>
      <c r="N28" s="1333"/>
      <c r="O28" s="1333"/>
      <c r="P28" s="1333"/>
      <c r="Q28" s="1333"/>
      <c r="R28" s="1333"/>
      <c r="S28" s="1333"/>
      <c r="T28" s="1333"/>
      <c r="U28" s="1333"/>
      <c r="V28" s="1333"/>
      <c r="W28" s="1333"/>
      <c r="X28" s="1333"/>
      <c r="Y28" s="1333"/>
      <c r="Z28" s="1333"/>
      <c r="AA28" s="1333"/>
      <c r="AB28" s="1333"/>
      <c r="AC28" s="1331" t="s">
        <v>280</v>
      </c>
      <c r="AD28" s="1331"/>
      <c r="AE28" s="1331"/>
      <c r="AF28" s="1331"/>
      <c r="AG28" s="1331"/>
      <c r="AH28" s="1331"/>
      <c r="AI28" s="1331"/>
      <c r="AJ28" s="1331"/>
      <c r="AK28" s="1331"/>
      <c r="AL28" s="1331"/>
      <c r="AM28" s="1331"/>
      <c r="AN28" s="1332"/>
    </row>
    <row r="29" spans="2:72" x14ac:dyDescent="0.35">
      <c r="B29" s="1325"/>
      <c r="C29" s="1326"/>
      <c r="D29" s="225">
        <v>2018</v>
      </c>
      <c r="E29" s="1320">
        <v>2019</v>
      </c>
      <c r="F29" s="1321"/>
      <c r="G29" s="1321"/>
      <c r="H29" s="1322"/>
      <c r="I29" s="1320">
        <v>2020</v>
      </c>
      <c r="J29" s="1321"/>
      <c r="K29" s="1321"/>
      <c r="L29" s="1321"/>
      <c r="M29" s="1320">
        <v>2021</v>
      </c>
      <c r="N29" s="1321"/>
      <c r="O29" s="1321"/>
      <c r="P29" s="1321"/>
      <c r="Q29" s="1320">
        <v>2022</v>
      </c>
      <c r="R29" s="1321"/>
      <c r="S29" s="1321"/>
      <c r="T29" s="1322"/>
      <c r="U29" s="1320">
        <v>2023</v>
      </c>
      <c r="V29" s="1321"/>
      <c r="W29" s="1321"/>
      <c r="X29" s="1322"/>
      <c r="Y29" s="293"/>
      <c r="Z29" s="231">
        <v>2024</v>
      </c>
      <c r="AA29" s="231"/>
      <c r="AB29" s="230"/>
      <c r="AC29" s="1329">
        <v>2025</v>
      </c>
      <c r="AD29" s="1330"/>
      <c r="AE29" s="1330"/>
      <c r="AF29" s="1330"/>
      <c r="AG29" s="1329">
        <v>2026</v>
      </c>
      <c r="AH29" s="1330"/>
      <c r="AI29" s="1330"/>
      <c r="AJ29" s="1334"/>
      <c r="AK29" s="1329">
        <v>2027</v>
      </c>
      <c r="AL29" s="1330"/>
      <c r="AM29" s="1330"/>
      <c r="AN29" s="1334"/>
    </row>
    <row r="30" spans="2:72" x14ac:dyDescent="0.35">
      <c r="B30" s="1325"/>
      <c r="C30" s="1326"/>
      <c r="D30" s="225" t="s">
        <v>281</v>
      </c>
      <c r="E30" s="225" t="s">
        <v>282</v>
      </c>
      <c r="F30" s="226" t="s">
        <v>283</v>
      </c>
      <c r="G30" s="226" t="s">
        <v>238</v>
      </c>
      <c r="H30" s="232" t="s">
        <v>281</v>
      </c>
      <c r="I30" s="226" t="s">
        <v>282</v>
      </c>
      <c r="J30" s="226" t="s">
        <v>283</v>
      </c>
      <c r="K30" s="226" t="s">
        <v>238</v>
      </c>
      <c r="L30" s="226" t="s">
        <v>281</v>
      </c>
      <c r="M30" s="225" t="s">
        <v>282</v>
      </c>
      <c r="N30" s="226" t="s">
        <v>283</v>
      </c>
      <c r="O30" s="226" t="s">
        <v>238</v>
      </c>
      <c r="P30" s="226" t="s">
        <v>281</v>
      </c>
      <c r="Q30" s="225" t="s">
        <v>282</v>
      </c>
      <c r="R30" s="226" t="s">
        <v>283</v>
      </c>
      <c r="S30" s="226" t="s">
        <v>238</v>
      </c>
      <c r="T30" s="232" t="s">
        <v>281</v>
      </c>
      <c r="U30" s="286" t="s">
        <v>282</v>
      </c>
      <c r="V30" s="287" t="s">
        <v>283</v>
      </c>
      <c r="W30" s="287" t="s">
        <v>238</v>
      </c>
      <c r="X30" s="285" t="s">
        <v>281</v>
      </c>
      <c r="Y30" s="286" t="s">
        <v>282</v>
      </c>
      <c r="Z30" s="292" t="s">
        <v>283</v>
      </c>
      <c r="AA30" s="287" t="s">
        <v>238</v>
      </c>
      <c r="AB30" s="285" t="s">
        <v>281</v>
      </c>
      <c r="AC30" s="286" t="s">
        <v>282</v>
      </c>
      <c r="AD30" s="292" t="s">
        <v>283</v>
      </c>
      <c r="AE30" s="273" t="s">
        <v>238</v>
      </c>
      <c r="AF30" s="273" t="s">
        <v>281</v>
      </c>
      <c r="AG30" s="236" t="s">
        <v>282</v>
      </c>
      <c r="AH30" s="271" t="s">
        <v>283</v>
      </c>
      <c r="AI30" s="271" t="s">
        <v>238</v>
      </c>
      <c r="AJ30" s="290" t="s">
        <v>281</v>
      </c>
      <c r="AK30" s="236" t="s">
        <v>282</v>
      </c>
      <c r="AL30" s="271" t="s">
        <v>283</v>
      </c>
      <c r="AM30" s="271" t="s">
        <v>238</v>
      </c>
      <c r="AN30" s="290" t="s">
        <v>281</v>
      </c>
    </row>
    <row r="31" spans="2:72" x14ac:dyDescent="0.35">
      <c r="B31" s="503" t="s">
        <v>111</v>
      </c>
      <c r="C31" s="497" t="s">
        <v>389</v>
      </c>
      <c r="D31" s="320"/>
      <c r="E31" s="320"/>
      <c r="F31" s="320"/>
      <c r="G31" s="320"/>
      <c r="H31" s="478">
        <f>'Haver Pivoted'!GS24</f>
        <v>2425.1</v>
      </c>
      <c r="I31" s="478">
        <f>'Haver Pivoted'!GT24</f>
        <v>2483.6999999999998</v>
      </c>
      <c r="J31" s="478">
        <f>'Haver Pivoted'!GU24</f>
        <v>2458.1999999999998</v>
      </c>
      <c r="K31" s="478">
        <f>'Haver Pivoted'!GV24</f>
        <v>2475.1</v>
      </c>
      <c r="L31" s="478">
        <f>'Haver Pivoted'!GW24</f>
        <v>2489.4</v>
      </c>
      <c r="M31" s="478">
        <f>'Haver Pivoted'!GX24</f>
        <v>2534.1999999999998</v>
      </c>
      <c r="N31" s="478">
        <f>'Haver Pivoted'!GY24</f>
        <v>2572.6</v>
      </c>
      <c r="O31" s="478">
        <f>'Haver Pivoted'!GZ24</f>
        <v>2629</v>
      </c>
      <c r="P31" s="478">
        <f>'Haver Pivoted'!HA24</f>
        <v>2665.4</v>
      </c>
      <c r="Q31" s="478">
        <f>'Haver Pivoted'!HB24</f>
        <v>2726.1</v>
      </c>
      <c r="R31" s="478">
        <f>'Haver Pivoted'!HC24</f>
        <v>2815.5</v>
      </c>
      <c r="S31" s="487">
        <f>'Haver Pivoted'!HD24</f>
        <v>2838.7</v>
      </c>
      <c r="T31" s="487">
        <f>'Haver Pivoted'!HE24</f>
        <v>2870.6</v>
      </c>
      <c r="U31" s="306">
        <f>'Haver Pivoted'!HF24</f>
        <v>2893</v>
      </c>
      <c r="V31" s="306">
        <f>'Haver Pivoted'!HG24</f>
        <v>2904.1</v>
      </c>
      <c r="W31" s="306">
        <f>'Haver Pivoted'!HH24</f>
        <v>2975.5</v>
      </c>
      <c r="X31" s="306">
        <f>'Haver Pivoted'!HI24</f>
        <v>3019</v>
      </c>
      <c r="Y31" s="306">
        <f>'Haver Pivoted'!HJ24</f>
        <v>3070.7</v>
      </c>
      <c r="Z31" s="306">
        <f>'Haver Pivoted'!HK24</f>
        <v>3100.9</v>
      </c>
      <c r="AA31" s="306">
        <f>'Haver Pivoted'!HL24</f>
        <v>3141.6</v>
      </c>
      <c r="AB31" s="306">
        <f>'Haver Pivoted'!HM24</f>
        <v>3175</v>
      </c>
      <c r="AC31" s="306">
        <f>'Haver Pivoted'!HN24</f>
        <v>3221.5</v>
      </c>
      <c r="AD31" s="306">
        <f>'Haver Pivoted'!HO24</f>
        <v>3251</v>
      </c>
      <c r="AE31" s="235"/>
      <c r="AF31" s="235"/>
      <c r="AG31" s="235"/>
      <c r="AH31" s="235"/>
      <c r="AI31" s="235"/>
      <c r="AJ31" s="235"/>
      <c r="AK31" s="235"/>
      <c r="AL31" s="235"/>
      <c r="AM31" s="235"/>
      <c r="AN31" s="235"/>
    </row>
    <row r="32" spans="2:72" ht="29.25" customHeight="1" x14ac:dyDescent="0.35">
      <c r="B32" s="506" t="s">
        <v>1962</v>
      </c>
      <c r="C32" s="234"/>
      <c r="D32" s="233"/>
      <c r="E32" s="233"/>
      <c r="F32" s="233"/>
      <c r="G32" s="233"/>
      <c r="H32" s="246"/>
      <c r="I32" s="246"/>
      <c r="J32" s="246"/>
      <c r="K32" s="246"/>
      <c r="L32" s="246"/>
      <c r="M32" s="441">
        <v>2533.9</v>
      </c>
      <c r="N32" s="441">
        <v>2571.6999999999998</v>
      </c>
      <c r="O32" s="441">
        <v>2625.1</v>
      </c>
      <c r="P32" s="441">
        <v>2664.2</v>
      </c>
      <c r="Q32" s="441">
        <v>2726.1</v>
      </c>
      <c r="R32" s="441">
        <v>2815.5</v>
      </c>
      <c r="S32" s="441">
        <v>2838.7</v>
      </c>
      <c r="T32" s="441">
        <v>2870.6</v>
      </c>
      <c r="U32" s="441">
        <v>2893</v>
      </c>
      <c r="V32" s="441">
        <v>2904.1</v>
      </c>
      <c r="W32" s="441">
        <v>2975.5</v>
      </c>
      <c r="X32" s="441">
        <v>3019</v>
      </c>
      <c r="Y32" s="441">
        <v>3070.7</v>
      </c>
      <c r="Z32" s="441">
        <v>3100.9</v>
      </c>
      <c r="AA32" s="441">
        <v>3139.2</v>
      </c>
      <c r="AB32" s="441">
        <v>3171.3</v>
      </c>
      <c r="AC32" s="441">
        <v>3201.4</v>
      </c>
      <c r="AD32" s="441">
        <v>3227.6</v>
      </c>
      <c r="AE32" s="441">
        <v>3257.1</v>
      </c>
      <c r="AF32" s="441">
        <v>3287.7</v>
      </c>
      <c r="AG32" s="441">
        <v>3319.2</v>
      </c>
      <c r="AH32" s="441">
        <v>3348.5</v>
      </c>
      <c r="AI32" s="441">
        <v>3378.4</v>
      </c>
      <c r="AJ32" s="441">
        <v>3407.6</v>
      </c>
      <c r="AK32" s="441">
        <v>3436.1</v>
      </c>
      <c r="AL32" s="441">
        <v>3465.5</v>
      </c>
      <c r="AM32" s="441">
        <v>3495</v>
      </c>
      <c r="AN32" s="441">
        <v>3524.3</v>
      </c>
      <c r="AO32" s="462">
        <v>3553.2</v>
      </c>
      <c r="AP32" s="462">
        <v>3582.3</v>
      </c>
      <c r="AQ32" s="462">
        <v>3611.3</v>
      </c>
      <c r="AR32" s="462">
        <v>3640.4</v>
      </c>
      <c r="AS32" s="462">
        <v>3669.2</v>
      </c>
      <c r="AT32" s="462">
        <v>3698.1</v>
      </c>
      <c r="AU32" s="462">
        <v>3727.3</v>
      </c>
      <c r="AV32" s="462">
        <v>3756.6</v>
      </c>
      <c r="AW32" s="462">
        <v>3785.8</v>
      </c>
      <c r="AX32" s="462">
        <v>3815.2</v>
      </c>
      <c r="AY32" s="462">
        <v>3845</v>
      </c>
      <c r="AZ32" s="462">
        <v>3874.9</v>
      </c>
      <c r="BA32" s="462">
        <v>3905.2</v>
      </c>
      <c r="BB32" s="462">
        <v>3935.8</v>
      </c>
      <c r="BC32" s="462">
        <v>3966.6</v>
      </c>
      <c r="BD32" s="462">
        <v>3997.8</v>
      </c>
      <c r="BE32" s="462">
        <v>4029.2</v>
      </c>
      <c r="BF32" s="462">
        <v>4060.9</v>
      </c>
      <c r="BG32" s="462">
        <v>4092.8</v>
      </c>
      <c r="BH32" s="462">
        <v>4125</v>
      </c>
      <c r="BI32" s="462">
        <v>4157.3999999999996</v>
      </c>
      <c r="BJ32" s="462">
        <v>4190</v>
      </c>
      <c r="BK32" s="462">
        <v>4222.8</v>
      </c>
      <c r="BL32" s="462">
        <v>4255.8</v>
      </c>
      <c r="BM32" s="462">
        <v>4289</v>
      </c>
      <c r="BN32" s="462">
        <v>4322.3</v>
      </c>
      <c r="BO32" s="462">
        <v>4355.7</v>
      </c>
      <c r="BP32" s="462">
        <v>4389</v>
      </c>
      <c r="BQ32" s="462">
        <v>4422.3999999999996</v>
      </c>
      <c r="BR32">
        <v>4456</v>
      </c>
      <c r="BS32">
        <v>4489.8</v>
      </c>
      <c r="BT32">
        <v>4524</v>
      </c>
    </row>
    <row r="33" spans="2:72" ht="29.25" customHeight="1" x14ac:dyDescent="0.35">
      <c r="B33" s="506" t="s">
        <v>1963</v>
      </c>
      <c r="C33" s="234"/>
      <c r="D33" s="233"/>
      <c r="E33" s="233"/>
      <c r="F33" s="233"/>
      <c r="G33" s="233"/>
      <c r="H33" s="246"/>
      <c r="I33" s="509"/>
      <c r="J33" s="509"/>
      <c r="K33" s="509"/>
      <c r="L33" s="509"/>
      <c r="M33" s="509">
        <v>7.7759999999999998</v>
      </c>
      <c r="N33" s="509">
        <v>6.1050000000000004</v>
      </c>
      <c r="O33" s="509">
        <v>8.5640000000000001</v>
      </c>
      <c r="P33" s="509">
        <v>6.0890000000000004</v>
      </c>
      <c r="Q33" s="509">
        <v>9.4320000000000004</v>
      </c>
      <c r="R33" s="509">
        <v>13.778</v>
      </c>
      <c r="S33" s="509">
        <v>3.327</v>
      </c>
      <c r="T33" s="509">
        <v>4.5739999999999998</v>
      </c>
      <c r="U33" s="509">
        <v>3.1539999999999999</v>
      </c>
      <c r="V33" s="509">
        <v>1.5509999999999999</v>
      </c>
      <c r="W33" s="509">
        <v>10.202999999999999</v>
      </c>
      <c r="X33" s="509">
        <v>5.9690000000000003</v>
      </c>
      <c r="Y33" s="509">
        <v>7.032</v>
      </c>
      <c r="Z33" s="509">
        <v>3.9870000000000001</v>
      </c>
      <c r="AA33" s="509">
        <v>5.0410000000000004</v>
      </c>
      <c r="AB33" s="509">
        <v>4.1500000000000004</v>
      </c>
      <c r="AC33" s="509">
        <v>3.847</v>
      </c>
      <c r="AD33" s="509">
        <v>3.3180000000000001</v>
      </c>
      <c r="AE33" s="509">
        <v>3.706</v>
      </c>
      <c r="AF33" s="509">
        <v>3.8109999999999999</v>
      </c>
      <c r="AG33" s="509">
        <v>3.8839999999999999</v>
      </c>
      <c r="AH33" s="509">
        <v>3.5830000000000002</v>
      </c>
      <c r="AI33" s="509">
        <v>3.6190000000000002</v>
      </c>
      <c r="AJ33" s="509">
        <v>3.4990000000000001</v>
      </c>
      <c r="AK33" s="509">
        <v>3.3919999999999999</v>
      </c>
      <c r="AL33" s="509">
        <v>3.4580000000000002</v>
      </c>
      <c r="AM33" s="509">
        <v>3.4540000000000002</v>
      </c>
      <c r="AN33" s="509">
        <v>3.3879999999999999</v>
      </c>
      <c r="AO33" s="238">
        <v>3.3220000000000001</v>
      </c>
      <c r="AP33" s="238">
        <v>3.3210000000000002</v>
      </c>
      <c r="AQ33" s="238">
        <v>3.2770000000000001</v>
      </c>
      <c r="AR33" s="238">
        <v>3.258</v>
      </c>
      <c r="AS33" s="238">
        <v>3.2040000000000002</v>
      </c>
      <c r="AT33" s="238">
        <v>3.1819999999999999</v>
      </c>
      <c r="AU33" s="238">
        <v>3.1970000000000001</v>
      </c>
      <c r="AV33" s="238">
        <v>3.1829999999999998</v>
      </c>
      <c r="AW33" s="238">
        <v>3.1469999999999998</v>
      </c>
      <c r="AX33" s="238">
        <v>3.1389999999999998</v>
      </c>
      <c r="AY33" s="238">
        <v>3.161</v>
      </c>
      <c r="AZ33" s="238">
        <v>3.1440000000000001</v>
      </c>
      <c r="BA33" s="238">
        <v>3.1659999999999999</v>
      </c>
      <c r="BB33" s="238">
        <v>3.17</v>
      </c>
      <c r="BC33" s="238">
        <v>3.1749999999999998</v>
      </c>
      <c r="BD33" s="238">
        <v>3.177</v>
      </c>
      <c r="BE33" s="238">
        <v>3.1829999999999998</v>
      </c>
      <c r="BF33" s="238">
        <v>3.181</v>
      </c>
      <c r="BG33" s="238">
        <v>3.1789999999999998</v>
      </c>
      <c r="BH33" s="238">
        <v>3.18</v>
      </c>
      <c r="BI33" s="238">
        <v>3.181</v>
      </c>
      <c r="BJ33" s="238">
        <v>3.1720000000000002</v>
      </c>
      <c r="BK33" s="238">
        <v>3.1659999999999999</v>
      </c>
      <c r="BL33" s="238">
        <v>3.161</v>
      </c>
      <c r="BM33" s="238">
        <v>3.1589999999999998</v>
      </c>
      <c r="BN33" s="238">
        <v>3.1469999999999998</v>
      </c>
      <c r="BO33" s="238">
        <v>3.1190000000000002</v>
      </c>
      <c r="BP33" s="238">
        <v>3.0939999999999999</v>
      </c>
      <c r="BQ33" s="238">
        <v>3.0779999999999998</v>
      </c>
      <c r="BR33">
        <v>3.0720000000000001</v>
      </c>
      <c r="BS33">
        <v>3.0760000000000001</v>
      </c>
      <c r="BT33">
        <v>3.08</v>
      </c>
    </row>
    <row r="34" spans="2:72" ht="21" customHeight="1" x14ac:dyDescent="0.35">
      <c r="B34" s="494" t="s">
        <v>1911</v>
      </c>
      <c r="C34" s="257"/>
      <c r="D34" s="245"/>
      <c r="E34" s="245"/>
      <c r="F34" s="245"/>
      <c r="G34" s="245"/>
      <c r="H34" s="241"/>
      <c r="I34" s="241"/>
      <c r="J34" s="241"/>
      <c r="K34" s="241"/>
      <c r="L34" s="241"/>
      <c r="M34" s="241">
        <f t="shared" ref="M34:V34" si="9">((M31/L31)^4-1)*100</f>
        <v>7.3951837662748376</v>
      </c>
      <c r="N34" s="241">
        <f t="shared" si="9"/>
        <v>6.2002440796854685</v>
      </c>
      <c r="O34" s="241">
        <f t="shared" si="9"/>
        <v>9.061956208359101</v>
      </c>
      <c r="P34" s="241">
        <f t="shared" si="9"/>
        <v>5.654312677598905</v>
      </c>
      <c r="Q34" s="241">
        <f t="shared" si="9"/>
        <v>9.4252525319924239</v>
      </c>
      <c r="R34" s="241">
        <f t="shared" si="9"/>
        <v>13.777135506982653</v>
      </c>
      <c r="S34" s="241">
        <f t="shared" si="9"/>
        <v>3.3370035827759992</v>
      </c>
      <c r="T34" s="241">
        <f t="shared" si="9"/>
        <v>4.5713539197219211</v>
      </c>
      <c r="U34" s="241">
        <f t="shared" si="9"/>
        <v>3.1580235074152974</v>
      </c>
      <c r="V34" s="241">
        <f t="shared" si="9"/>
        <v>1.5435944799445434</v>
      </c>
      <c r="W34" s="467">
        <f t="shared" ref="W34:AA34" si="10">((W31/V31)^4-1)*100</f>
        <v>10.203033975028175</v>
      </c>
      <c r="X34" s="467">
        <f t="shared" si="10"/>
        <v>5.977247036875788</v>
      </c>
      <c r="Y34" s="467">
        <f t="shared" si="10"/>
        <v>7.0279245631410303</v>
      </c>
      <c r="Z34" s="467">
        <f t="shared" si="10"/>
        <v>3.9923729240887385</v>
      </c>
      <c r="AA34" s="467">
        <f t="shared" si="10"/>
        <v>5.3543589589983842</v>
      </c>
      <c r="AB34" s="467">
        <f>((AB31/AA31)^4-1)*100</f>
        <v>4.3209096808045411</v>
      </c>
      <c r="AC34" s="467">
        <f>((AC31/AB31)^4-1)*100</f>
        <v>5.9882262675863496</v>
      </c>
      <c r="AD34" s="467">
        <f>((AD31/AC31)^4-1)*100</f>
        <v>3.7135106727122835</v>
      </c>
      <c r="AE34" s="235">
        <f t="shared" ref="AE34:AJ34" si="11">AE33</f>
        <v>3.706</v>
      </c>
      <c r="AF34" s="235">
        <f t="shared" si="11"/>
        <v>3.8109999999999999</v>
      </c>
      <c r="AG34" s="235">
        <f t="shared" si="11"/>
        <v>3.8839999999999999</v>
      </c>
      <c r="AH34" s="235">
        <f t="shared" si="11"/>
        <v>3.5830000000000002</v>
      </c>
      <c r="AI34" s="235">
        <f t="shared" si="11"/>
        <v>3.6190000000000002</v>
      </c>
      <c r="AJ34" s="235">
        <f t="shared" si="11"/>
        <v>3.4990000000000001</v>
      </c>
      <c r="AK34" s="235">
        <f t="shared" ref="AK34:AN34" si="12">AK33</f>
        <v>3.3919999999999999</v>
      </c>
      <c r="AL34" s="235">
        <f t="shared" si="12"/>
        <v>3.4580000000000002</v>
      </c>
      <c r="AM34" s="235">
        <f t="shared" si="12"/>
        <v>3.4540000000000002</v>
      </c>
      <c r="AN34" s="235">
        <f t="shared" si="12"/>
        <v>3.3879999999999999</v>
      </c>
      <c r="AO34" s="502" t="s">
        <v>390</v>
      </c>
    </row>
    <row r="35" spans="2:72" ht="17.899999999999999" customHeight="1" x14ac:dyDescent="0.35">
      <c r="B35" s="505" t="s">
        <v>391</v>
      </c>
      <c r="C35" s="262"/>
      <c r="D35" s="507"/>
      <c r="E35" s="507"/>
      <c r="F35" s="507"/>
      <c r="G35" s="507"/>
      <c r="H35" s="244">
        <f t="shared" ref="H35:T35" si="13">H31</f>
        <v>2425.1</v>
      </c>
      <c r="I35" s="244">
        <f t="shared" si="13"/>
        <v>2483.6999999999998</v>
      </c>
      <c r="J35" s="244">
        <f t="shared" si="13"/>
        <v>2458.1999999999998</v>
      </c>
      <c r="K35" s="244">
        <f t="shared" si="13"/>
        <v>2475.1</v>
      </c>
      <c r="L35" s="244">
        <f t="shared" si="13"/>
        <v>2489.4</v>
      </c>
      <c r="M35" s="244">
        <f t="shared" si="13"/>
        <v>2534.1999999999998</v>
      </c>
      <c r="N35" s="244">
        <f t="shared" si="13"/>
        <v>2572.6</v>
      </c>
      <c r="O35" s="244">
        <f t="shared" si="13"/>
        <v>2629</v>
      </c>
      <c r="P35" s="244">
        <f t="shared" si="13"/>
        <v>2665.4</v>
      </c>
      <c r="Q35" s="244">
        <f t="shared" si="13"/>
        <v>2726.1</v>
      </c>
      <c r="R35" s="244">
        <f t="shared" si="13"/>
        <v>2815.5</v>
      </c>
      <c r="S35" s="307">
        <f t="shared" si="13"/>
        <v>2838.7</v>
      </c>
      <c r="T35" s="307">
        <f t="shared" si="13"/>
        <v>2870.6</v>
      </c>
      <c r="U35" s="307">
        <f t="shared" ref="U35:Z35" si="14">U31</f>
        <v>2893</v>
      </c>
      <c r="V35" s="307">
        <f t="shared" si="14"/>
        <v>2904.1</v>
      </c>
      <c r="W35" s="307">
        <f t="shared" si="14"/>
        <v>2975.5</v>
      </c>
      <c r="X35" s="307">
        <f t="shared" si="14"/>
        <v>3019</v>
      </c>
      <c r="Y35" s="307">
        <f t="shared" si="14"/>
        <v>3070.7</v>
      </c>
      <c r="Z35" s="307">
        <f t="shared" si="14"/>
        <v>3100.9</v>
      </c>
      <c r="AA35" s="307">
        <f t="shared" ref="AA35" si="15">AA31</f>
        <v>3141.6</v>
      </c>
      <c r="AB35" s="307">
        <f>AB31</f>
        <v>3175</v>
      </c>
      <c r="AC35" s="307">
        <f>AC31</f>
        <v>3221.5</v>
      </c>
      <c r="AD35" s="307">
        <f>AD31</f>
        <v>3251</v>
      </c>
      <c r="AE35" s="477">
        <f t="shared" ref="AE35:AF35" si="16">AD35*((1+AE34/100)^0.25)</f>
        <v>3280.7107402320066</v>
      </c>
      <c r="AF35" s="477">
        <f t="shared" si="16"/>
        <v>3311.5306881871875</v>
      </c>
      <c r="AG35" s="477">
        <f>AF35*((1+AG34/100)^0.25)</f>
        <v>3343.2276497584216</v>
      </c>
      <c r="AH35" s="477">
        <f>AG35*((1+AH34/100)^0.25)</f>
        <v>3372.7804447870926</v>
      </c>
      <c r="AI35" s="477">
        <f t="shared" ref="AI35" si="17">AH35*((1+AI34/100)^0.25)</f>
        <v>3402.8900768752223</v>
      </c>
      <c r="AJ35" s="477">
        <f>AI35*((1+AJ34/100)^0.25)</f>
        <v>3432.2740655832567</v>
      </c>
      <c r="AK35" s="477">
        <f t="shared" ref="AK35:AN35" si="18">AJ35*((1+AK34/100)^0.25)</f>
        <v>3461.0166842644189</v>
      </c>
      <c r="AL35" s="477">
        <f t="shared" si="18"/>
        <v>3490.556824672482</v>
      </c>
      <c r="AM35" s="477">
        <f t="shared" si="18"/>
        <v>3520.3150659411731</v>
      </c>
      <c r="AN35" s="477">
        <f t="shared" si="18"/>
        <v>3549.7606254825346</v>
      </c>
    </row>
    <row r="36" spans="2:72" x14ac:dyDescent="0.35">
      <c r="B36" s="495" t="s">
        <v>392</v>
      </c>
      <c r="C36" s="496"/>
      <c r="D36" s="508"/>
      <c r="E36" s="508"/>
      <c r="F36" s="508"/>
      <c r="G36" s="508"/>
      <c r="H36" s="501">
        <f t="shared" ref="H36:P36" si="19">H31-H58</f>
        <v>2143.788</v>
      </c>
      <c r="I36" s="501">
        <f t="shared" si="19"/>
        <v>2195.9409999999998</v>
      </c>
      <c r="J36" s="501">
        <f t="shared" si="19"/>
        <v>2061.5219999999999</v>
      </c>
      <c r="K36" s="501">
        <f t="shared" si="19"/>
        <v>2100.2359999999999</v>
      </c>
      <c r="L36" s="501">
        <f t="shared" si="19"/>
        <v>2120.6410000000001</v>
      </c>
      <c r="M36" s="501">
        <f t="shared" si="19"/>
        <v>2142.7459999999996</v>
      </c>
      <c r="N36" s="501">
        <f t="shared" si="19"/>
        <v>2143.3249999999998</v>
      </c>
      <c r="O36" s="501">
        <f t="shared" si="19"/>
        <v>2185.5480000000002</v>
      </c>
      <c r="P36" s="501">
        <f t="shared" si="19"/>
        <v>2193.252148</v>
      </c>
      <c r="Q36" s="501">
        <f t="shared" ref="Q36:AC36" si="20">Q35-Q58</f>
        <v>2220.2777252000001</v>
      </c>
      <c r="R36" s="501">
        <f t="shared" si="20"/>
        <v>2239.963968</v>
      </c>
      <c r="S36" s="501">
        <f t="shared" si="20"/>
        <v>2280.361132</v>
      </c>
      <c r="T36" s="501">
        <f t="shared" si="20"/>
        <v>2344.4670719999999</v>
      </c>
      <c r="U36" s="501">
        <f t="shared" si="20"/>
        <v>2375.9634568000001</v>
      </c>
      <c r="V36" s="246">
        <f t="shared" si="20"/>
        <v>2394.29628</v>
      </c>
      <c r="W36" s="246">
        <f t="shared" si="20"/>
        <v>2481.7960560000001</v>
      </c>
      <c r="X36" s="246">
        <f t="shared" si="20"/>
        <v>2509.0190560000001</v>
      </c>
      <c r="Y36" s="356">
        <f t="shared" si="20"/>
        <v>2558.3120559999998</v>
      </c>
      <c r="Z36" s="356">
        <f t="shared" si="20"/>
        <v>2582.6218910000002</v>
      </c>
      <c r="AA36" s="356">
        <f t="shared" si="20"/>
        <v>2601.9916699999999</v>
      </c>
      <c r="AB36" s="356">
        <f t="shared" si="20"/>
        <v>2632.1836742999999</v>
      </c>
      <c r="AC36" s="356">
        <f t="shared" si="20"/>
        <v>2717.6700030000002</v>
      </c>
      <c r="AD36" s="356"/>
      <c r="AE36" s="356"/>
      <c r="AF36" s="356"/>
      <c r="AG36" s="356"/>
      <c r="AH36" s="356"/>
      <c r="AI36" s="356"/>
      <c r="AJ36" s="356"/>
      <c r="AK36" s="356"/>
      <c r="AL36" s="356"/>
      <c r="AM36" s="356"/>
      <c r="AN36" s="356"/>
      <c r="AO36" s="249" t="s">
        <v>393</v>
      </c>
    </row>
    <row r="37" spans="2:72" x14ac:dyDescent="0.35">
      <c r="B37" s="56"/>
      <c r="C37" s="56"/>
      <c r="D37" s="56"/>
      <c r="E37" s="56"/>
      <c r="F37" s="56"/>
      <c r="G37" s="56"/>
      <c r="H37" s="56"/>
      <c r="I37" s="56"/>
      <c r="J37" s="56"/>
      <c r="K37" s="56"/>
      <c r="L37" s="56"/>
      <c r="M37" s="96"/>
      <c r="N37" s="96"/>
      <c r="O37" s="96"/>
      <c r="P37" s="96"/>
      <c r="Q37" s="96"/>
      <c r="R37" s="96"/>
      <c r="S37" s="96"/>
      <c r="T37" s="96"/>
      <c r="U37" s="96"/>
      <c r="V37" s="96"/>
      <c r="W37" s="96"/>
      <c r="X37" s="96"/>
      <c r="Y37" s="96"/>
      <c r="Z37" s="95"/>
      <c r="AA37" s="95"/>
      <c r="AB37" s="95"/>
      <c r="AC37" s="95"/>
      <c r="AD37" s="95"/>
      <c r="AE37" s="95"/>
      <c r="AF37" s="95"/>
      <c r="AG37" s="95"/>
      <c r="AH37" s="95"/>
    </row>
    <row r="38" spans="2:72" x14ac:dyDescent="0.35">
      <c r="B38" s="56"/>
      <c r="C38" s="56"/>
      <c r="D38" s="56"/>
      <c r="E38" s="56"/>
      <c r="F38" s="56"/>
      <c r="G38" s="56"/>
      <c r="H38" s="56"/>
      <c r="I38" s="56"/>
      <c r="J38" s="56"/>
      <c r="K38" s="56"/>
      <c r="L38" s="56"/>
      <c r="M38" s="96"/>
      <c r="N38" s="96"/>
      <c r="O38" s="96"/>
      <c r="Q38" s="96"/>
      <c r="R38" s="96"/>
      <c r="S38" s="95"/>
      <c r="T38" s="95"/>
      <c r="U38" s="95"/>
      <c r="V38" s="95"/>
      <c r="Y38" s="95"/>
      <c r="Z38" s="95"/>
      <c r="AA38" s="95"/>
      <c r="AB38" s="95"/>
      <c r="AC38" s="95"/>
      <c r="AD38" s="95"/>
      <c r="AE38" s="95"/>
      <c r="AF38" s="95"/>
      <c r="AG38" s="95"/>
      <c r="AH38" s="95"/>
    </row>
    <row r="39" spans="2:72" x14ac:dyDescent="0.35">
      <c r="B39" s="257"/>
      <c r="C39" s="257"/>
      <c r="D39" s="257"/>
      <c r="E39" s="257"/>
      <c r="F39" s="257"/>
      <c r="G39" s="257"/>
      <c r="H39" s="246"/>
      <c r="I39" s="246"/>
      <c r="J39" s="246"/>
      <c r="K39" s="246"/>
      <c r="L39" s="246"/>
      <c r="M39" s="246"/>
      <c r="N39" s="246"/>
      <c r="O39" s="246"/>
      <c r="P39" s="246"/>
      <c r="Q39" s="500"/>
      <c r="R39" s="246"/>
      <c r="S39" s="246"/>
      <c r="T39" s="246"/>
      <c r="U39" s="246"/>
      <c r="V39" s="246"/>
      <c r="W39" s="246"/>
      <c r="X39" s="246"/>
      <c r="Y39" s="246"/>
      <c r="Z39" s="246"/>
    </row>
    <row r="40" spans="2:72" ht="85.4" customHeight="1" x14ac:dyDescent="0.35">
      <c r="B40" s="469" t="s">
        <v>877</v>
      </c>
      <c r="C40" s="470" t="s">
        <v>876</v>
      </c>
      <c r="D40" s="139">
        <v>44197</v>
      </c>
      <c r="E40" s="468">
        <v>44228</v>
      </c>
      <c r="F40" s="139">
        <v>44256</v>
      </c>
      <c r="G40" s="139">
        <v>44287</v>
      </c>
      <c r="H40" s="139">
        <v>44317</v>
      </c>
      <c r="I40" s="139">
        <v>44348</v>
      </c>
      <c r="J40" s="139">
        <v>44378</v>
      </c>
      <c r="K40" s="468">
        <v>44409</v>
      </c>
      <c r="L40" s="139">
        <v>44440</v>
      </c>
      <c r="M40" s="139">
        <v>44470</v>
      </c>
      <c r="N40" s="139">
        <v>44501</v>
      </c>
      <c r="O40" s="139">
        <v>44531</v>
      </c>
      <c r="P40" s="139">
        <v>44562</v>
      </c>
      <c r="Q40" s="468">
        <v>44593</v>
      </c>
      <c r="R40" s="139">
        <v>44621</v>
      </c>
      <c r="S40" s="139">
        <v>44652</v>
      </c>
      <c r="T40" s="139">
        <v>44682</v>
      </c>
      <c r="U40" s="139">
        <v>44713</v>
      </c>
      <c r="V40" s="139">
        <v>44743</v>
      </c>
      <c r="W40" s="139">
        <v>44774</v>
      </c>
      <c r="X40" s="139">
        <v>44805</v>
      </c>
      <c r="Y40" s="139">
        <v>44835</v>
      </c>
      <c r="Z40" s="139">
        <v>44866</v>
      </c>
      <c r="AA40" s="139">
        <v>44896</v>
      </c>
      <c r="AB40" s="139">
        <v>44927</v>
      </c>
      <c r="AC40" s="139">
        <v>44958</v>
      </c>
      <c r="AD40" s="139">
        <v>44986</v>
      </c>
      <c r="AE40" s="139">
        <v>45017</v>
      </c>
      <c r="AF40" s="139">
        <v>45047</v>
      </c>
      <c r="AG40" s="139">
        <v>45078</v>
      </c>
      <c r="AH40" s="139">
        <v>45108</v>
      </c>
      <c r="AI40" s="139">
        <v>45139</v>
      </c>
      <c r="AJ40" s="139">
        <v>45170</v>
      </c>
      <c r="AK40" s="139">
        <v>45200</v>
      </c>
      <c r="AL40" s="139">
        <v>45231</v>
      </c>
      <c r="AM40" s="139">
        <v>45261</v>
      </c>
      <c r="AN40" s="139">
        <v>45292</v>
      </c>
      <c r="AO40" s="139">
        <v>45323</v>
      </c>
      <c r="AP40" s="139">
        <v>45352</v>
      </c>
      <c r="AQ40" s="139">
        <v>45383</v>
      </c>
      <c r="AR40" s="139">
        <v>45413</v>
      </c>
      <c r="AS40" s="139">
        <v>45444</v>
      </c>
      <c r="AT40" s="139">
        <v>45474</v>
      </c>
      <c r="AU40" s="139">
        <v>45505</v>
      </c>
      <c r="AV40" s="139">
        <v>45536</v>
      </c>
      <c r="AW40" s="139">
        <v>45566</v>
      </c>
      <c r="AX40" s="139">
        <v>45597</v>
      </c>
      <c r="AY40" s="139">
        <v>45627</v>
      </c>
      <c r="AZ40" s="139">
        <v>45658</v>
      </c>
      <c r="BA40" s="139">
        <v>45689</v>
      </c>
      <c r="BB40" s="139">
        <v>45717</v>
      </c>
      <c r="BC40" s="139">
        <v>45748</v>
      </c>
    </row>
    <row r="41" spans="2:72" ht="19.5" customHeight="1" x14ac:dyDescent="0.35">
      <c r="B41" s="365" t="s">
        <v>394</v>
      </c>
      <c r="C41" s="459" t="s">
        <v>1899</v>
      </c>
      <c r="D41" s="43">
        <v>5150</v>
      </c>
      <c r="E41" s="43">
        <v>5154</v>
      </c>
      <c r="F41" s="43">
        <v>5192</v>
      </c>
      <c r="G41" s="43">
        <v>5187</v>
      </c>
      <c r="H41" s="43">
        <v>5174</v>
      </c>
      <c r="I41" s="43">
        <v>5199</v>
      </c>
      <c r="J41" s="43">
        <v>5177</v>
      </c>
      <c r="K41" s="43">
        <v>5155</v>
      </c>
      <c r="L41" s="43">
        <v>5139</v>
      </c>
      <c r="M41" s="43">
        <v>5132</v>
      </c>
      <c r="N41" s="43">
        <v>5121</v>
      </c>
      <c r="O41" s="43">
        <v>5122</v>
      </c>
      <c r="P41" s="43">
        <v>5087</v>
      </c>
      <c r="Q41" s="43">
        <v>5070</v>
      </c>
      <c r="R41" s="43">
        <v>5057</v>
      </c>
      <c r="S41" s="43">
        <v>5075</v>
      </c>
      <c r="T41" s="43">
        <v>5095</v>
      </c>
      <c r="U41" s="43">
        <v>5104</v>
      </c>
      <c r="V41" s="43">
        <v>5140</v>
      </c>
      <c r="W41" s="43">
        <v>5146</v>
      </c>
      <c r="X41" s="43">
        <v>5148</v>
      </c>
      <c r="Y41" s="43">
        <v>5139</v>
      </c>
      <c r="Z41" s="43">
        <v>5162</v>
      </c>
      <c r="AA41" s="43">
        <v>5136</v>
      </c>
      <c r="AB41" s="43">
        <v>5199</v>
      </c>
      <c r="AC41" s="43">
        <v>5219</v>
      </c>
      <c r="AD41" s="43">
        <v>5235</v>
      </c>
      <c r="AE41" s="43">
        <v>5251</v>
      </c>
      <c r="AF41" s="43">
        <v>5272</v>
      </c>
      <c r="AG41" s="43">
        <v>5294</v>
      </c>
      <c r="AH41" s="43">
        <v>5303</v>
      </c>
      <c r="AI41" s="43">
        <v>5324</v>
      </c>
      <c r="AJ41" s="43">
        <v>5337</v>
      </c>
      <c r="AK41" s="43">
        <v>5359</v>
      </c>
      <c r="AL41" s="43">
        <v>5366</v>
      </c>
      <c r="AM41" s="43">
        <v>5378</v>
      </c>
      <c r="AN41" s="43">
        <v>5390</v>
      </c>
      <c r="AO41" s="43">
        <v>5404</v>
      </c>
      <c r="AP41" s="43">
        <v>5414</v>
      </c>
      <c r="AQ41" s="43">
        <v>5418</v>
      </c>
      <c r="AR41" s="43">
        <v>5420</v>
      </c>
      <c r="AS41" s="43">
        <v>5429</v>
      </c>
      <c r="AT41" s="43">
        <v>5444</v>
      </c>
      <c r="AU41" s="43">
        <v>5453</v>
      </c>
      <c r="AV41" s="43">
        <v>5468</v>
      </c>
      <c r="AW41" s="43">
        <v>5484</v>
      </c>
      <c r="AX41" s="43">
        <v>5493</v>
      </c>
      <c r="AY41" s="43">
        <v>5512</v>
      </c>
      <c r="AZ41" s="43">
        <v>5524</v>
      </c>
      <c r="BA41" s="43">
        <v>5514</v>
      </c>
      <c r="BB41" s="43">
        <v>5516</v>
      </c>
      <c r="BC41" s="43">
        <v>5522</v>
      </c>
    </row>
    <row r="42" spans="2:72" ht="18" customHeight="1" x14ac:dyDescent="0.35">
      <c r="B42" s="256" t="s">
        <v>395</v>
      </c>
      <c r="C42" s="153" t="s">
        <v>1972</v>
      </c>
      <c r="D42" s="43">
        <v>13743</v>
      </c>
      <c r="E42" s="43">
        <v>13728</v>
      </c>
      <c r="F42" s="43">
        <v>13779</v>
      </c>
      <c r="G42" s="43">
        <v>13827</v>
      </c>
      <c r="H42" s="43">
        <v>13849</v>
      </c>
      <c r="I42" s="43">
        <v>13917</v>
      </c>
      <c r="J42" s="43">
        <v>13990</v>
      </c>
      <c r="K42" s="43">
        <v>14057</v>
      </c>
      <c r="L42" s="43">
        <v>14055</v>
      </c>
      <c r="M42" s="43">
        <v>14035</v>
      </c>
      <c r="N42" s="43">
        <v>14035</v>
      </c>
      <c r="O42" s="43">
        <v>14071</v>
      </c>
      <c r="P42" s="43">
        <v>14091</v>
      </c>
      <c r="Q42" s="43">
        <v>14097</v>
      </c>
      <c r="R42" s="43">
        <v>14116</v>
      </c>
      <c r="S42" s="43">
        <v>14137</v>
      </c>
      <c r="T42" s="43">
        <v>14145</v>
      </c>
      <c r="U42" s="43">
        <v>14168</v>
      </c>
      <c r="V42" s="43">
        <v>14280</v>
      </c>
      <c r="W42" s="43">
        <v>14264</v>
      </c>
      <c r="X42" s="43">
        <v>14269</v>
      </c>
      <c r="Y42" s="43">
        <v>14301</v>
      </c>
      <c r="Z42" s="43">
        <v>14337</v>
      </c>
      <c r="AA42" s="43">
        <v>14364</v>
      </c>
      <c r="AB42" s="43">
        <v>14411</v>
      </c>
      <c r="AC42" s="43">
        <v>14439</v>
      </c>
      <c r="AD42" s="43">
        <v>14453</v>
      </c>
      <c r="AE42" s="43">
        <v>14478</v>
      </c>
      <c r="AF42" s="43">
        <v>14509</v>
      </c>
      <c r="AG42" s="43">
        <v>14565</v>
      </c>
      <c r="AH42" s="43">
        <v>14589</v>
      </c>
      <c r="AI42" s="43">
        <v>14603</v>
      </c>
      <c r="AJ42" s="43">
        <v>14653</v>
      </c>
      <c r="AK42" s="43">
        <v>14693</v>
      </c>
      <c r="AL42" s="43">
        <v>14728</v>
      </c>
      <c r="AM42" s="43">
        <v>14763</v>
      </c>
      <c r="AN42" s="43">
        <v>14786</v>
      </c>
      <c r="AO42" s="43">
        <v>14835</v>
      </c>
      <c r="AP42" s="43">
        <v>14890</v>
      </c>
      <c r="AQ42" s="43">
        <v>14877</v>
      </c>
      <c r="AR42" s="43">
        <v>14905</v>
      </c>
      <c r="AS42" s="43">
        <v>14915</v>
      </c>
      <c r="AT42" s="43">
        <v>14946</v>
      </c>
      <c r="AU42" s="43">
        <v>14973</v>
      </c>
      <c r="AV42" s="43">
        <v>14986</v>
      </c>
      <c r="AW42" s="43">
        <v>15012</v>
      </c>
      <c r="AX42" s="43">
        <v>15022</v>
      </c>
      <c r="AY42" s="43">
        <v>15036</v>
      </c>
      <c r="AZ42" s="43">
        <v>15053</v>
      </c>
      <c r="BA42" s="43">
        <v>15071</v>
      </c>
      <c r="BB42" s="43">
        <v>15088</v>
      </c>
      <c r="BC42" s="43">
        <v>15101</v>
      </c>
    </row>
    <row r="43" spans="2:72" ht="18" customHeight="1" x14ac:dyDescent="0.35">
      <c r="B43" s="256" t="s">
        <v>1890</v>
      </c>
      <c r="C43" s="249"/>
      <c r="D43" s="43"/>
      <c r="E43" s="43"/>
      <c r="F43" s="43"/>
      <c r="G43" s="43"/>
      <c r="H43" s="43"/>
      <c r="I43" s="43"/>
      <c r="J43" s="43"/>
      <c r="K43" s="43"/>
      <c r="L43" s="43"/>
      <c r="M43" s="43"/>
      <c r="N43" s="43"/>
      <c r="O43" s="43"/>
      <c r="P43" s="43"/>
      <c r="Q43" s="43"/>
      <c r="R43" s="454"/>
      <c r="S43" s="454"/>
      <c r="T43" s="454"/>
      <c r="U43" s="454"/>
      <c r="V43" s="454">
        <f>V41+V42</f>
        <v>19420</v>
      </c>
      <c r="W43" s="454">
        <f t="shared" ref="W43:AR43" si="21">W41+W42</f>
        <v>19410</v>
      </c>
      <c r="X43" s="454">
        <f t="shared" si="21"/>
        <v>19417</v>
      </c>
      <c r="Y43" s="454">
        <f t="shared" si="21"/>
        <v>19440</v>
      </c>
      <c r="Z43" s="454">
        <f t="shared" si="21"/>
        <v>19499</v>
      </c>
      <c r="AA43" s="454">
        <f t="shared" si="21"/>
        <v>19500</v>
      </c>
      <c r="AB43" s="454">
        <f t="shared" si="21"/>
        <v>19610</v>
      </c>
      <c r="AC43" s="454">
        <f t="shared" si="21"/>
        <v>19658</v>
      </c>
      <c r="AD43" s="454">
        <f t="shared" si="21"/>
        <v>19688</v>
      </c>
      <c r="AE43" s="454">
        <f t="shared" si="21"/>
        <v>19729</v>
      </c>
      <c r="AF43" s="454">
        <f t="shared" si="21"/>
        <v>19781</v>
      </c>
      <c r="AG43" s="454">
        <f t="shared" si="21"/>
        <v>19859</v>
      </c>
      <c r="AH43" s="454">
        <f t="shared" si="21"/>
        <v>19892</v>
      </c>
      <c r="AI43" s="454">
        <f t="shared" si="21"/>
        <v>19927</v>
      </c>
      <c r="AJ43" s="454">
        <f t="shared" si="21"/>
        <v>19990</v>
      </c>
      <c r="AK43" s="454">
        <f t="shared" si="21"/>
        <v>20052</v>
      </c>
      <c r="AL43" s="454">
        <f t="shared" si="21"/>
        <v>20094</v>
      </c>
      <c r="AM43" s="454">
        <f t="shared" si="21"/>
        <v>20141</v>
      </c>
      <c r="AN43" s="454">
        <f t="shared" si="21"/>
        <v>20176</v>
      </c>
      <c r="AO43" s="454">
        <f t="shared" si="21"/>
        <v>20239</v>
      </c>
      <c r="AP43" s="454">
        <f t="shared" si="21"/>
        <v>20304</v>
      </c>
      <c r="AQ43" s="454">
        <f t="shared" si="21"/>
        <v>20295</v>
      </c>
      <c r="AR43" s="454">
        <f t="shared" si="21"/>
        <v>20325</v>
      </c>
      <c r="AS43" s="454">
        <f t="shared" ref="AS43:BC43" si="22">AS41+AS42</f>
        <v>20344</v>
      </c>
      <c r="AT43" s="454">
        <f t="shared" si="22"/>
        <v>20390</v>
      </c>
      <c r="AU43" s="454">
        <f t="shared" si="22"/>
        <v>20426</v>
      </c>
      <c r="AV43" s="454">
        <f t="shared" si="22"/>
        <v>20454</v>
      </c>
      <c r="AW43" s="454">
        <f t="shared" si="22"/>
        <v>20496</v>
      </c>
      <c r="AX43" s="454">
        <f t="shared" si="22"/>
        <v>20515</v>
      </c>
      <c r="AY43" s="454">
        <f>AY41+AY42</f>
        <v>20548</v>
      </c>
      <c r="AZ43" s="454">
        <f t="shared" si="22"/>
        <v>20577</v>
      </c>
      <c r="BA43" s="454">
        <f t="shared" si="22"/>
        <v>20585</v>
      </c>
      <c r="BB43" s="454">
        <f t="shared" si="22"/>
        <v>20604</v>
      </c>
      <c r="BC43" s="454">
        <f t="shared" si="22"/>
        <v>20623</v>
      </c>
    </row>
    <row r="44" spans="2:72" ht="19.5" customHeight="1" x14ac:dyDescent="0.35">
      <c r="B44" s="495" t="s">
        <v>397</v>
      </c>
      <c r="C44" s="370" t="s">
        <v>398</v>
      </c>
      <c r="D44" s="455">
        <v>345102</v>
      </c>
      <c r="E44" s="456">
        <v>335151</v>
      </c>
      <c r="F44" s="456">
        <v>336955</v>
      </c>
      <c r="G44" s="456">
        <v>335574</v>
      </c>
      <c r="H44" s="456">
        <v>338521</v>
      </c>
      <c r="I44" s="456">
        <v>329746</v>
      </c>
      <c r="J44" s="456">
        <v>328919</v>
      </c>
      <c r="K44" s="456">
        <v>333989</v>
      </c>
      <c r="L44" s="456">
        <v>326840</v>
      </c>
      <c r="M44" s="456">
        <v>327373</v>
      </c>
      <c r="N44" s="456">
        <v>331380</v>
      </c>
      <c r="O44" s="456">
        <v>331492</v>
      </c>
      <c r="P44" s="456">
        <v>334244</v>
      </c>
      <c r="Q44" s="456">
        <v>338416</v>
      </c>
      <c r="R44" s="456">
        <v>339417</v>
      </c>
      <c r="S44" s="456">
        <v>345062</v>
      </c>
      <c r="T44" s="456">
        <v>339178</v>
      </c>
      <c r="U44" s="456">
        <v>342484</v>
      </c>
      <c r="V44" s="456">
        <v>350972</v>
      </c>
      <c r="W44" s="456">
        <v>350286</v>
      </c>
      <c r="X44" s="456">
        <v>355116</v>
      </c>
      <c r="Y44" s="456">
        <v>354474</v>
      </c>
      <c r="Z44" s="456">
        <v>359543</v>
      </c>
      <c r="AA44" s="456">
        <v>361033</v>
      </c>
      <c r="AB44" s="456">
        <v>364867</v>
      </c>
      <c r="AC44" s="456">
        <v>371673</v>
      </c>
      <c r="AD44" s="456">
        <v>374555</v>
      </c>
      <c r="AE44" s="456">
        <v>382073</v>
      </c>
      <c r="AF44" s="456">
        <v>388978</v>
      </c>
      <c r="AG44" s="456">
        <v>396538</v>
      </c>
      <c r="AH44" s="456">
        <v>404059</v>
      </c>
      <c r="AI44" s="456">
        <v>407847</v>
      </c>
      <c r="AJ44" s="456">
        <v>418897</v>
      </c>
      <c r="AK44" s="455">
        <v>432334</v>
      </c>
      <c r="AL44" s="456">
        <v>440095</v>
      </c>
      <c r="AM44" s="456">
        <v>446894</v>
      </c>
      <c r="AN44" s="456">
        <v>445408</v>
      </c>
      <c r="AO44" s="455">
        <v>448458</v>
      </c>
      <c r="AP44" s="456">
        <v>453062</v>
      </c>
      <c r="AQ44" s="455">
        <v>451154</v>
      </c>
      <c r="AR44" s="43"/>
      <c r="AS44" s="457"/>
      <c r="AT44" s="457"/>
      <c r="AU44" s="457"/>
      <c r="AV44" s="457"/>
      <c r="AW44" s="457"/>
      <c r="AX44" s="457"/>
      <c r="AY44" s="458"/>
      <c r="AZ44" s="458"/>
      <c r="BA44" s="43"/>
      <c r="BB44" s="43"/>
      <c r="BC44" s="43"/>
    </row>
    <row r="45" spans="2:72" ht="15.65" customHeight="1" x14ac:dyDescent="0.35">
      <c r="B45" s="262"/>
      <c r="C45" s="257"/>
      <c r="D45" s="43"/>
      <c r="E45" s="43"/>
      <c r="F45" s="43"/>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c r="AO45" s="43"/>
      <c r="AP45" s="43"/>
      <c r="AQ45" s="43"/>
      <c r="AS45" s="43"/>
      <c r="AT45" s="43"/>
      <c r="AU45" s="43"/>
      <c r="AV45" s="43"/>
      <c r="AW45" s="43"/>
      <c r="AX45" s="43"/>
      <c r="AY45" s="43"/>
      <c r="AZ45" s="43"/>
    </row>
    <row r="46" spans="2:72" ht="12.75" customHeight="1" x14ac:dyDescent="0.35"/>
    <row r="47" spans="2:72" x14ac:dyDescent="0.35">
      <c r="B47" s="1366" t="s">
        <v>399</v>
      </c>
      <c r="C47" s="1366"/>
      <c r="D47" s="1366"/>
      <c r="E47" s="1366"/>
      <c r="F47" s="1366"/>
      <c r="G47" s="1366"/>
      <c r="H47" s="1366"/>
      <c r="I47" s="1366"/>
      <c r="J47" s="1366"/>
      <c r="K47" s="1366"/>
      <c r="L47" s="1366"/>
      <c r="M47" s="1366"/>
      <c r="N47" s="1366"/>
      <c r="O47" s="1366"/>
      <c r="P47" s="1366"/>
      <c r="Q47" s="1366"/>
      <c r="R47" s="1366"/>
      <c r="S47" s="1366"/>
      <c r="T47" s="1366"/>
      <c r="U47" s="1366"/>
      <c r="V47" s="1366"/>
      <c r="W47" s="1366"/>
      <c r="X47" s="1366"/>
      <c r="Y47" s="1366"/>
      <c r="Z47" s="1366"/>
      <c r="AA47" s="1366"/>
      <c r="AB47" s="1366"/>
      <c r="AC47" s="1366"/>
      <c r="AD47" s="223"/>
      <c r="AE47">
        <f>AVERAGE(AE44:AG44)</f>
        <v>389196.33333333331</v>
      </c>
      <c r="AF47" s="223"/>
      <c r="AG47" s="223"/>
      <c r="AH47" s="223"/>
      <c r="AL47" s="249"/>
    </row>
    <row r="48" spans="2:72" ht="20.25" customHeight="1" x14ac:dyDescent="0.35">
      <c r="B48" s="1366"/>
      <c r="C48" s="1366"/>
      <c r="D48" s="1366"/>
      <c r="E48" s="1366"/>
      <c r="F48" s="1366"/>
      <c r="G48" s="1366"/>
      <c r="H48" s="1366"/>
      <c r="I48" s="1366"/>
      <c r="J48" s="1366"/>
      <c r="K48" s="1366"/>
      <c r="L48" s="1366"/>
      <c r="M48" s="1366"/>
      <c r="N48" s="1366"/>
      <c r="O48" s="1366"/>
      <c r="P48" s="1366"/>
      <c r="Q48" s="1366"/>
      <c r="R48" s="1366"/>
      <c r="S48" s="1366"/>
      <c r="T48" s="1366"/>
      <c r="U48" s="1366"/>
      <c r="V48" s="1366"/>
      <c r="W48" s="1366"/>
      <c r="X48" s="1366"/>
      <c r="Y48" s="1366"/>
      <c r="Z48" s="1366"/>
      <c r="AA48" s="1366"/>
      <c r="AB48" s="1366"/>
      <c r="AC48" s="1366"/>
      <c r="AD48" s="223"/>
      <c r="AE48" s="223"/>
      <c r="AF48" s="223"/>
      <c r="AG48" s="223"/>
      <c r="AH48" s="223"/>
      <c r="AL48" s="249"/>
    </row>
    <row r="49" spans="2:40" ht="14.25" customHeight="1" x14ac:dyDescent="0.35">
      <c r="B49" s="1365" t="s">
        <v>400</v>
      </c>
      <c r="C49" s="1365"/>
      <c r="D49" s="1365"/>
      <c r="E49" s="1365"/>
      <c r="F49" s="1365"/>
      <c r="G49" s="1365"/>
      <c r="H49" s="1365"/>
      <c r="I49" s="1365"/>
      <c r="J49" s="1365"/>
      <c r="K49" s="1365"/>
      <c r="L49" s="1365"/>
      <c r="M49" s="1365"/>
      <c r="N49" s="1365"/>
      <c r="O49" s="1365"/>
      <c r="P49" s="1365"/>
      <c r="Q49" s="1365"/>
      <c r="R49" s="1365"/>
      <c r="S49" s="1365"/>
      <c r="T49" s="1365"/>
      <c r="U49" s="1365"/>
      <c r="V49" s="1365"/>
      <c r="W49" s="1365"/>
      <c r="X49" s="1365"/>
      <c r="Y49" s="1365"/>
      <c r="Z49" s="1365"/>
      <c r="AA49" s="1365"/>
      <c r="AB49" s="1365"/>
      <c r="AC49" s="1365"/>
      <c r="AD49" s="390"/>
      <c r="AE49" s="390"/>
      <c r="AF49" s="390"/>
      <c r="AG49" s="390"/>
      <c r="AH49" s="390"/>
      <c r="AL49" s="249"/>
    </row>
    <row r="50" spans="2:40" x14ac:dyDescent="0.35">
      <c r="B50" s="1365"/>
      <c r="C50" s="1365"/>
      <c r="D50" s="1365"/>
      <c r="E50" s="1365"/>
      <c r="F50" s="1365"/>
      <c r="G50" s="1365"/>
      <c r="H50" s="1365"/>
      <c r="I50" s="1365"/>
      <c r="J50" s="1365"/>
      <c r="K50" s="1365"/>
      <c r="L50" s="1365"/>
      <c r="M50" s="1365"/>
      <c r="N50" s="1365"/>
      <c r="O50" s="1365"/>
      <c r="P50" s="1365"/>
      <c r="Q50" s="1365"/>
      <c r="R50" s="1365"/>
      <c r="S50" s="1365"/>
      <c r="T50" s="1365"/>
      <c r="U50" s="1365"/>
      <c r="V50" s="1365"/>
      <c r="W50" s="1365"/>
      <c r="X50" s="1365"/>
      <c r="Y50" s="1365"/>
      <c r="Z50" s="1365"/>
      <c r="AA50" s="1365"/>
      <c r="AB50" s="1365"/>
      <c r="AC50" s="1365"/>
      <c r="AD50" s="390"/>
      <c r="AE50" s="390"/>
      <c r="AF50" s="390"/>
      <c r="AG50" s="390"/>
      <c r="AH50" s="390"/>
      <c r="AL50" s="249"/>
    </row>
    <row r="51" spans="2:40" ht="8.9" customHeight="1" x14ac:dyDescent="0.35">
      <c r="B51" s="1365"/>
      <c r="C51" s="1365"/>
      <c r="D51" s="1365"/>
      <c r="E51" s="1365"/>
      <c r="F51" s="1365"/>
      <c r="G51" s="1365"/>
      <c r="H51" s="1365"/>
      <c r="I51" s="1365"/>
      <c r="J51" s="1365"/>
      <c r="K51" s="1365"/>
      <c r="L51" s="1365"/>
      <c r="M51" s="1365"/>
      <c r="N51" s="1365"/>
      <c r="O51" s="1365"/>
      <c r="P51" s="1365"/>
      <c r="Q51" s="1365"/>
      <c r="R51" s="1365"/>
      <c r="S51" s="1365"/>
      <c r="T51" s="1365"/>
      <c r="U51" s="1365"/>
      <c r="V51" s="1365"/>
      <c r="W51" s="1365"/>
      <c r="X51" s="1365"/>
      <c r="Y51" s="1365"/>
      <c r="Z51" s="1365"/>
      <c r="AA51" s="1365"/>
      <c r="AB51" s="1365"/>
      <c r="AC51" s="1365"/>
      <c r="AD51" s="390"/>
      <c r="AE51" s="390"/>
      <c r="AF51" s="390"/>
      <c r="AG51" s="390"/>
      <c r="AH51" s="390"/>
      <c r="AL51" s="249"/>
    </row>
    <row r="52" spans="2:40" ht="12.75" customHeight="1" x14ac:dyDescent="0.35">
      <c r="AL52" s="249"/>
    </row>
    <row r="53" spans="2:40" ht="30.75" customHeight="1" x14ac:dyDescent="0.35">
      <c r="B53" s="1323" t="s">
        <v>278</v>
      </c>
      <c r="C53" s="1367"/>
      <c r="D53" s="1347" t="s">
        <v>279</v>
      </c>
      <c r="E53" s="1348"/>
      <c r="F53" s="1348"/>
      <c r="G53" s="1348"/>
      <c r="H53" s="1348"/>
      <c r="I53" s="1348"/>
      <c r="J53" s="1348"/>
      <c r="K53" s="1348"/>
      <c r="L53" s="1348"/>
      <c r="M53" s="1348"/>
      <c r="N53" s="1348"/>
      <c r="O53" s="1348"/>
      <c r="P53" s="1348"/>
      <c r="Q53" s="1348"/>
      <c r="R53" s="1348"/>
      <c r="S53" s="1348"/>
      <c r="T53" s="1348"/>
      <c r="U53" s="1348"/>
      <c r="V53" s="1348"/>
      <c r="W53" s="1348"/>
      <c r="X53" s="1348"/>
      <c r="Y53" s="1348"/>
      <c r="Z53" s="1348"/>
      <c r="AA53" s="1349"/>
      <c r="AB53" s="1350" t="s">
        <v>280</v>
      </c>
      <c r="AC53" s="1331"/>
      <c r="AD53" s="1331"/>
      <c r="AE53" s="1331"/>
      <c r="AF53" s="1331"/>
      <c r="AG53" s="1331"/>
      <c r="AH53" s="1331"/>
      <c r="AI53" s="1331"/>
      <c r="AJ53" s="1331"/>
      <c r="AK53" s="1331"/>
      <c r="AL53" s="1331"/>
      <c r="AM53" s="1331"/>
      <c r="AN53" s="1332"/>
    </row>
    <row r="54" spans="2:40" x14ac:dyDescent="0.35">
      <c r="B54" s="1325"/>
      <c r="C54" s="1368"/>
      <c r="D54" s="296">
        <v>2018</v>
      </c>
      <c r="E54" s="1342">
        <v>2019</v>
      </c>
      <c r="F54" s="1343"/>
      <c r="G54" s="1343"/>
      <c r="H54" s="1344"/>
      <c r="I54" s="1342">
        <v>2020</v>
      </c>
      <c r="J54" s="1343"/>
      <c r="K54" s="1343"/>
      <c r="L54" s="1343"/>
      <c r="M54" s="1342">
        <v>2021</v>
      </c>
      <c r="N54" s="1343"/>
      <c r="O54" s="1343"/>
      <c r="P54" s="1343"/>
      <c r="Q54" s="1342">
        <v>2022</v>
      </c>
      <c r="R54" s="1354"/>
      <c r="S54" s="1354"/>
      <c r="T54" s="1354"/>
      <c r="U54" s="1342">
        <v>2023</v>
      </c>
      <c r="V54" s="1354"/>
      <c r="W54" s="1354"/>
      <c r="X54" s="1344"/>
      <c r="Y54" s="460"/>
      <c r="Z54" s="302">
        <v>2024</v>
      </c>
      <c r="AA54" s="302"/>
      <c r="AB54" s="335"/>
      <c r="AC54" s="1329">
        <v>2025</v>
      </c>
      <c r="AD54" s="1330"/>
      <c r="AE54" s="1330"/>
      <c r="AF54" s="1334"/>
      <c r="AG54" s="1329">
        <v>2026</v>
      </c>
      <c r="AH54" s="1330"/>
      <c r="AI54" s="1330"/>
      <c r="AJ54" s="1334"/>
      <c r="AK54" s="1329">
        <v>2027</v>
      </c>
      <c r="AL54" s="1330"/>
      <c r="AM54" s="1330"/>
      <c r="AN54" s="1334"/>
    </row>
    <row r="55" spans="2:40" x14ac:dyDescent="0.35">
      <c r="B55" s="1327"/>
      <c r="C55" s="1369"/>
      <c r="D55" s="225" t="s">
        <v>281</v>
      </c>
      <c r="E55" s="225" t="s">
        <v>282</v>
      </c>
      <c r="F55" s="226" t="s">
        <v>283</v>
      </c>
      <c r="G55" s="226" t="s">
        <v>238</v>
      </c>
      <c r="H55" s="232" t="s">
        <v>281</v>
      </c>
      <c r="I55" s="226" t="s">
        <v>282</v>
      </c>
      <c r="J55" s="226" t="s">
        <v>283</v>
      </c>
      <c r="K55" s="226" t="s">
        <v>238</v>
      </c>
      <c r="L55" s="226" t="s">
        <v>281</v>
      </c>
      <c r="M55" s="225" t="s">
        <v>282</v>
      </c>
      <c r="N55" s="226" t="s">
        <v>283</v>
      </c>
      <c r="O55" s="226" t="s">
        <v>238</v>
      </c>
      <c r="P55" s="226" t="s">
        <v>281</v>
      </c>
      <c r="Q55" s="225" t="s">
        <v>282</v>
      </c>
      <c r="R55" s="226" t="s">
        <v>283</v>
      </c>
      <c r="S55" s="226" t="s">
        <v>238</v>
      </c>
      <c r="T55" s="226" t="s">
        <v>281</v>
      </c>
      <c r="U55" s="286" t="s">
        <v>282</v>
      </c>
      <c r="V55" s="287" t="s">
        <v>283</v>
      </c>
      <c r="W55" s="287" t="s">
        <v>238</v>
      </c>
      <c r="X55" s="285" t="s">
        <v>281</v>
      </c>
      <c r="Y55" s="286" t="s">
        <v>282</v>
      </c>
      <c r="Z55" s="292" t="s">
        <v>283</v>
      </c>
      <c r="AA55" s="287" t="s">
        <v>238</v>
      </c>
      <c r="AB55" s="301" t="s">
        <v>281</v>
      </c>
      <c r="AC55" s="299" t="s">
        <v>282</v>
      </c>
      <c r="AD55" s="271" t="s">
        <v>283</v>
      </c>
      <c r="AE55" s="273" t="s">
        <v>238</v>
      </c>
      <c r="AF55" s="301" t="s">
        <v>281</v>
      </c>
      <c r="AG55" s="236" t="s">
        <v>282</v>
      </c>
      <c r="AH55" s="271" t="s">
        <v>283</v>
      </c>
      <c r="AI55" s="271" t="s">
        <v>238</v>
      </c>
      <c r="AJ55" s="290" t="s">
        <v>281</v>
      </c>
      <c r="AK55" s="236" t="s">
        <v>282</v>
      </c>
      <c r="AL55" s="271" t="s">
        <v>283</v>
      </c>
      <c r="AM55" s="271" t="s">
        <v>238</v>
      </c>
      <c r="AN55" s="290" t="s">
        <v>281</v>
      </c>
    </row>
    <row r="56" spans="2:40" x14ac:dyDescent="0.35">
      <c r="B56" s="503" t="s">
        <v>134</v>
      </c>
      <c r="C56" s="274"/>
      <c r="D56" s="258"/>
      <c r="E56" s="497"/>
      <c r="F56" s="497"/>
      <c r="G56" s="497"/>
      <c r="H56" s="439">
        <f>Grants!H94</f>
        <v>72.497</v>
      </c>
      <c r="I56" s="439">
        <f>Grants!I94</f>
        <v>75.649000000000001</v>
      </c>
      <c r="J56" s="439">
        <f>Grants!J94</f>
        <v>75.483999999999995</v>
      </c>
      <c r="K56" s="439">
        <f>Grants!K94</f>
        <v>79.444000000000003</v>
      </c>
      <c r="L56" s="439">
        <f>Grants!L94</f>
        <v>75.742999999999995</v>
      </c>
      <c r="M56" s="439">
        <f>Grants!M94</f>
        <v>73.183000000000007</v>
      </c>
      <c r="N56" s="439">
        <f>Grants!N94</f>
        <v>74.421000000000006</v>
      </c>
      <c r="O56" s="439">
        <f>Grants!O94</f>
        <v>70.334000000000003</v>
      </c>
      <c r="P56" s="439">
        <f>Grants!P94</f>
        <v>72.707999999999998</v>
      </c>
      <c r="Q56" s="439">
        <f>Grants!Q94</f>
        <v>75.024000000000001</v>
      </c>
      <c r="R56" s="439">
        <f>Grants!R94</f>
        <v>75.203000000000003</v>
      </c>
      <c r="S56" s="498">
        <f>Grants!S94</f>
        <v>75.203000000000003</v>
      </c>
      <c r="T56" s="479">
        <f>Grants!T94</f>
        <v>76.022000000000006</v>
      </c>
      <c r="U56" s="241">
        <f>Grants!U94</f>
        <v>76.022000000000006</v>
      </c>
      <c r="V56" s="241">
        <f>Grants!V94</f>
        <v>76.022000000000006</v>
      </c>
      <c r="W56" s="241">
        <f>Grants!W94</f>
        <v>76.022000000000006</v>
      </c>
      <c r="X56" s="235">
        <f>Grants!X94</f>
        <v>77.680999999999997</v>
      </c>
      <c r="Y56" s="235">
        <f>Grants!Y94</f>
        <v>77.680999999999997</v>
      </c>
      <c r="Z56" s="235">
        <f>Grants!Z94</f>
        <v>77.680999999999997</v>
      </c>
      <c r="AA56" s="235">
        <f>Grants!AA94</f>
        <v>77.680999999999997</v>
      </c>
      <c r="AB56" s="235">
        <f>Grants!AB94</f>
        <v>79.275000000000006</v>
      </c>
      <c r="AC56" s="235">
        <f>Grants!AC94</f>
        <v>79.275000000000006</v>
      </c>
      <c r="AD56" s="235">
        <f>Grants!AD94</f>
        <v>75.203000000000003</v>
      </c>
      <c r="AE56" s="235">
        <f>Grants!AE94</f>
        <v>75.203000000000003</v>
      </c>
      <c r="AF56" s="235">
        <f>Grants!AF94</f>
        <v>75.203000000000003</v>
      </c>
      <c r="AG56" s="235">
        <f>Grants!AG94</f>
        <v>75.203000000000003</v>
      </c>
      <c r="AH56" s="235">
        <f>Grants!AH94</f>
        <v>75.203000000000003</v>
      </c>
      <c r="AI56" s="235">
        <f>Grants!AI94</f>
        <v>75.203000000000003</v>
      </c>
      <c r="AJ56" s="235">
        <f>Grants!AJ94</f>
        <v>75.203000000000003</v>
      </c>
      <c r="AK56" s="235">
        <f>Grants!AK94</f>
        <v>75.203000000000003</v>
      </c>
      <c r="AL56" s="235">
        <f>Grants!AL94</f>
        <v>75.203000000000003</v>
      </c>
      <c r="AM56" s="235">
        <f>Grants!AM94</f>
        <v>75.203000000000003</v>
      </c>
      <c r="AN56" s="235">
        <f>Grants!AN94</f>
        <v>75.203000000000003</v>
      </c>
    </row>
    <row r="57" spans="2:40" x14ac:dyDescent="0.35">
      <c r="B57" s="494" t="s">
        <v>192</v>
      </c>
      <c r="C57" s="234"/>
      <c r="D57" s="291"/>
      <c r="E57" s="234"/>
      <c r="F57" s="234"/>
      <c r="G57" s="234"/>
      <c r="H57" s="241">
        <f>Grants!H73</f>
        <v>208.815</v>
      </c>
      <c r="I57" s="241">
        <f>Grants!I73</f>
        <v>212.11</v>
      </c>
      <c r="J57" s="241">
        <f>Grants!J73</f>
        <v>321.19400000000007</v>
      </c>
      <c r="K57" s="241">
        <f>Grants!K73</f>
        <v>295.41999999999996</v>
      </c>
      <c r="L57" s="241">
        <f>Grants!L73</f>
        <v>293.01599999999996</v>
      </c>
      <c r="M57" s="241">
        <f>Grants!M73</f>
        <v>318.27100000000007</v>
      </c>
      <c r="N57" s="241">
        <f>Grants!N73</f>
        <v>354.85400000000004</v>
      </c>
      <c r="O57" s="241">
        <f>Grants!O73</f>
        <v>373.11799999999988</v>
      </c>
      <c r="P57" s="241">
        <f>Grants!P73</f>
        <v>399.43985199999997</v>
      </c>
      <c r="Q57" s="241">
        <f>Grants!Q73</f>
        <v>430.7982748</v>
      </c>
      <c r="R57" s="241">
        <f>Grants!R73</f>
        <v>500.33303199999995</v>
      </c>
      <c r="S57" s="241">
        <f>Grants!S73</f>
        <v>483.13586799999996</v>
      </c>
      <c r="T57" s="241">
        <f>Grants!T73</f>
        <v>450.110928</v>
      </c>
      <c r="U57" s="476">
        <f>Grants!U73</f>
        <v>441.01454320000011</v>
      </c>
      <c r="V57" s="476">
        <f>Grants!V73</f>
        <v>433.78172000000006</v>
      </c>
      <c r="W57" s="476">
        <f>Grants!W73</f>
        <v>417.68194400000004</v>
      </c>
      <c r="X57" s="476">
        <f>Grants!X73</f>
        <v>432.29994399999998</v>
      </c>
      <c r="Y57" s="476">
        <f>Grants!Y73</f>
        <v>434.70694400000002</v>
      </c>
      <c r="Z57" s="476">
        <f>Grants!Z73</f>
        <v>440.59710899999999</v>
      </c>
      <c r="AA57" s="476">
        <f>Grants!AA73</f>
        <v>461.9273300000001</v>
      </c>
      <c r="AB57" s="476">
        <f>Grants!AB73</f>
        <v>463.54132570000002</v>
      </c>
      <c r="AC57" s="476">
        <f>Grants!AC73</f>
        <v>424.55499699999996</v>
      </c>
      <c r="AD57" s="476">
        <f>Grants!AD73</f>
        <v>400.72761949999995</v>
      </c>
      <c r="AE57" s="476">
        <f>Grants!AE73</f>
        <v>403.22655010069974</v>
      </c>
      <c r="AF57" s="476">
        <f>Grants!AF73</f>
        <v>401.86440476318199</v>
      </c>
      <c r="AG57" s="476">
        <f>Grants!AG73</f>
        <v>404.53896501683153</v>
      </c>
      <c r="AH57" s="476">
        <f>Grants!AH73</f>
        <v>404.43687879999999</v>
      </c>
      <c r="AI57" s="476">
        <f>Grants!AI73</f>
        <v>408.16440578472771</v>
      </c>
      <c r="AJ57" s="476">
        <f>Grants!AJ73</f>
        <v>409.91880820170923</v>
      </c>
      <c r="AK57" s="476">
        <f>Grants!AK73</f>
        <v>412.70035086550473</v>
      </c>
      <c r="AL57" s="476">
        <f>Grants!AL73</f>
        <v>415.50930119999992</v>
      </c>
      <c r="AM57" s="476">
        <f>Grants!AM73</f>
        <v>418.34592926411676</v>
      </c>
      <c r="AN57" s="476">
        <f>Grants!AN73</f>
        <v>421.21050777777754</v>
      </c>
    </row>
    <row r="58" spans="2:40" x14ac:dyDescent="0.35">
      <c r="B58" s="504" t="s">
        <v>401</v>
      </c>
      <c r="C58" s="496"/>
      <c r="D58" s="495"/>
      <c r="E58" s="496"/>
      <c r="F58" s="496"/>
      <c r="G58" s="496"/>
      <c r="H58" s="480">
        <f>H56+H57</f>
        <v>281.31200000000001</v>
      </c>
      <c r="I58" s="480">
        <f t="shared" ref="I58:AN58" si="23">I56+I57</f>
        <v>287.75900000000001</v>
      </c>
      <c r="J58" s="480">
        <f t="shared" si="23"/>
        <v>396.67800000000005</v>
      </c>
      <c r="K58" s="480">
        <f t="shared" si="23"/>
        <v>374.86399999999998</v>
      </c>
      <c r="L58" s="480">
        <f t="shared" si="23"/>
        <v>368.75899999999996</v>
      </c>
      <c r="M58" s="480">
        <f t="shared" si="23"/>
        <v>391.45400000000006</v>
      </c>
      <c r="N58" s="480">
        <f t="shared" si="23"/>
        <v>429.27500000000003</v>
      </c>
      <c r="O58" s="480">
        <f t="shared" si="23"/>
        <v>443.45199999999988</v>
      </c>
      <c r="P58" s="480">
        <f t="shared" si="23"/>
        <v>472.14785199999994</v>
      </c>
      <c r="Q58" s="480">
        <f t="shared" si="23"/>
        <v>505.8222748</v>
      </c>
      <c r="R58" s="480">
        <f t="shared" si="23"/>
        <v>575.53603199999998</v>
      </c>
      <c r="S58" s="480">
        <f t="shared" si="23"/>
        <v>558.33886799999993</v>
      </c>
      <c r="T58" s="480">
        <f t="shared" si="23"/>
        <v>526.13292799999999</v>
      </c>
      <c r="U58" s="480">
        <f t="shared" si="23"/>
        <v>517.0365432000001</v>
      </c>
      <c r="V58" s="480">
        <f t="shared" si="23"/>
        <v>509.80372000000006</v>
      </c>
      <c r="W58" s="480">
        <f t="shared" si="23"/>
        <v>493.70394400000004</v>
      </c>
      <c r="X58" s="461">
        <f t="shared" si="23"/>
        <v>509.98094399999997</v>
      </c>
      <c r="Y58" s="461">
        <f t="shared" si="23"/>
        <v>512.38794400000006</v>
      </c>
      <c r="Z58" s="461">
        <f t="shared" si="23"/>
        <v>518.27810899999997</v>
      </c>
      <c r="AA58" s="461">
        <f t="shared" si="23"/>
        <v>539.60833000000014</v>
      </c>
      <c r="AB58" s="461">
        <f t="shared" si="23"/>
        <v>542.81632569999999</v>
      </c>
      <c r="AC58" s="461">
        <f t="shared" si="23"/>
        <v>503.82999699999993</v>
      </c>
      <c r="AD58" s="461">
        <f t="shared" si="23"/>
        <v>475.93061949999992</v>
      </c>
      <c r="AE58" s="461">
        <f t="shared" si="23"/>
        <v>478.42955010069977</v>
      </c>
      <c r="AF58" s="461">
        <f t="shared" si="23"/>
        <v>477.06740476318203</v>
      </c>
      <c r="AG58" s="461">
        <f t="shared" si="23"/>
        <v>479.7419650168315</v>
      </c>
      <c r="AH58" s="461">
        <f>AH56+AH57</f>
        <v>479.63987880000002</v>
      </c>
      <c r="AI58" s="461">
        <f t="shared" si="23"/>
        <v>483.36740578472768</v>
      </c>
      <c r="AJ58" s="461">
        <f t="shared" si="23"/>
        <v>485.1218082017092</v>
      </c>
      <c r="AK58" s="461">
        <f t="shared" si="23"/>
        <v>487.90335086550476</v>
      </c>
      <c r="AL58" s="461">
        <f t="shared" si="23"/>
        <v>490.71230119999996</v>
      </c>
      <c r="AM58" s="461">
        <f t="shared" si="23"/>
        <v>493.54892926411674</v>
      </c>
      <c r="AN58" s="461">
        <f t="shared" si="23"/>
        <v>496.41350777777757</v>
      </c>
    </row>
    <row r="60" spans="2:40" x14ac:dyDescent="0.35">
      <c r="S60" s="339"/>
      <c r="T60" s="339"/>
      <c r="U60" s="339"/>
      <c r="V60" s="339"/>
      <c r="W60" s="339"/>
      <c r="X60" s="339"/>
      <c r="Y60" s="339"/>
      <c r="Z60" s="339"/>
      <c r="AA60" s="339"/>
      <c r="AB60" s="339"/>
      <c r="AC60" s="339"/>
      <c r="AD60" s="339"/>
      <c r="AE60" s="339"/>
      <c r="AF60" s="339"/>
      <c r="AG60" s="339"/>
      <c r="AH60" s="339"/>
    </row>
  </sheetData>
  <mergeCells count="38">
    <mergeCell ref="B24:AC26"/>
    <mergeCell ref="AK29:AN29"/>
    <mergeCell ref="AK54:AN54"/>
    <mergeCell ref="U29:X29"/>
    <mergeCell ref="U54:X54"/>
    <mergeCell ref="D53:AA53"/>
    <mergeCell ref="AB53:AN53"/>
    <mergeCell ref="AG54:AJ54"/>
    <mergeCell ref="AC29:AF29"/>
    <mergeCell ref="AG29:AJ29"/>
    <mergeCell ref="AC54:AF54"/>
    <mergeCell ref="M54:P54"/>
    <mergeCell ref="Q29:T29"/>
    <mergeCell ref="AC28:AN28"/>
    <mergeCell ref="D28:AB28"/>
    <mergeCell ref="E29:H29"/>
    <mergeCell ref="AK7:AN7"/>
    <mergeCell ref="AG7:AJ7"/>
    <mergeCell ref="AC6:AN6"/>
    <mergeCell ref="D6:AB6"/>
    <mergeCell ref="B23:AC23"/>
    <mergeCell ref="B1:AC1"/>
    <mergeCell ref="B6:C8"/>
    <mergeCell ref="E7:H7"/>
    <mergeCell ref="I7:L7"/>
    <mergeCell ref="B2:AC4"/>
    <mergeCell ref="Q7:T7"/>
    <mergeCell ref="AC7:AF7"/>
    <mergeCell ref="M7:P7"/>
    <mergeCell ref="E54:H54"/>
    <mergeCell ref="B28:C30"/>
    <mergeCell ref="M29:P29"/>
    <mergeCell ref="I29:L29"/>
    <mergeCell ref="Q54:T54"/>
    <mergeCell ref="B49:AC51"/>
    <mergeCell ref="B47:AC48"/>
    <mergeCell ref="B53:C55"/>
    <mergeCell ref="I54:L54"/>
  </mergeCells>
  <hyperlinks>
    <hyperlink ref="C41" r:id="rId1" xr:uid="{00000000-0004-0000-0F00-000000000000}"/>
    <hyperlink ref="C42" r:id="rId2" xr:uid="{00000000-0004-0000-0F00-000001000000}"/>
  </hyperlinks>
  <pageMargins left="0.7" right="0.7" top="0.75" bottom="0.75" header="0.3" footer="0.3"/>
  <pageSetup orientation="portrait"/>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A84"/>
  <sheetViews>
    <sheetView zoomScaleNormal="100" workbookViewId="0">
      <pane xSplit="3" ySplit="10" topLeftCell="AA21" activePane="bottomRight" state="frozen"/>
      <selection pane="topRight" activeCell="D1" sqref="D1"/>
      <selection pane="bottomLeft" activeCell="A11" sqref="A11"/>
      <selection pane="bottomRight" activeCell="AH24" sqref="AH24"/>
    </sheetView>
  </sheetViews>
  <sheetFormatPr defaultColWidth="10.90625" defaultRowHeight="14.5" x14ac:dyDescent="0.35"/>
  <cols>
    <col min="1" max="1" width="17" customWidth="1"/>
    <col min="2" max="2" width="49.453125" customWidth="1"/>
    <col min="6" max="25" width="6.453125" customWidth="1"/>
    <col min="27" max="27" width="10.1796875" customWidth="1"/>
  </cols>
  <sheetData>
    <row r="1" spans="2:40" x14ac:dyDescent="0.35">
      <c r="B1" s="1318" t="s">
        <v>52</v>
      </c>
      <c r="C1" s="1318"/>
      <c r="D1" s="1318"/>
      <c r="E1" s="1318"/>
      <c r="F1" s="1318"/>
      <c r="G1" s="1318"/>
      <c r="H1" s="1318"/>
      <c r="I1" s="1318"/>
      <c r="J1" s="1318"/>
      <c r="K1" s="1318"/>
      <c r="L1" s="1318"/>
      <c r="M1" s="1318"/>
      <c r="N1" s="1318"/>
      <c r="O1" s="1318"/>
      <c r="P1" s="1318"/>
      <c r="Q1" s="1318"/>
      <c r="R1" s="1318"/>
      <c r="S1" s="1318"/>
      <c r="T1" s="1318"/>
      <c r="U1" s="1318"/>
      <c r="V1" s="1318"/>
      <c r="W1" s="1318"/>
      <c r="X1" s="1318"/>
      <c r="Y1" s="1318"/>
      <c r="Z1" s="1318"/>
      <c r="AA1" s="1318"/>
      <c r="AB1" s="1318"/>
      <c r="AC1" s="1318"/>
    </row>
    <row r="2" spans="2:40" ht="14.9" customHeight="1" x14ac:dyDescent="0.35">
      <c r="B2" s="1319" t="s">
        <v>855</v>
      </c>
      <c r="C2" s="1319"/>
      <c r="D2" s="1319"/>
      <c r="E2" s="1319"/>
      <c r="F2" s="1319"/>
      <c r="G2" s="1319"/>
      <c r="H2" s="1319"/>
      <c r="I2" s="1319"/>
      <c r="J2" s="1319"/>
      <c r="K2" s="1319"/>
      <c r="L2" s="1319"/>
      <c r="M2" s="1319"/>
      <c r="N2" s="1319"/>
      <c r="O2" s="1319"/>
      <c r="P2" s="1319"/>
      <c r="Q2" s="1319"/>
      <c r="R2" s="1319"/>
      <c r="S2" s="1319"/>
      <c r="T2" s="1319"/>
      <c r="U2" s="1319"/>
      <c r="V2" s="1319"/>
      <c r="W2" s="1319"/>
      <c r="X2" s="1319"/>
      <c r="Y2" s="1319"/>
      <c r="Z2" s="1319"/>
      <c r="AA2" s="1319"/>
      <c r="AB2" s="1319"/>
      <c r="AC2" s="1319"/>
    </row>
    <row r="3" spans="2:40" ht="14.9" customHeight="1" x14ac:dyDescent="0.35">
      <c r="B3" s="1319"/>
      <c r="C3" s="1319"/>
      <c r="D3" s="1319"/>
      <c r="E3" s="1319"/>
      <c r="F3" s="1319"/>
      <c r="G3" s="1319"/>
      <c r="H3" s="1319"/>
      <c r="I3" s="1319"/>
      <c r="J3" s="1319"/>
      <c r="K3" s="1319"/>
      <c r="L3" s="1319"/>
      <c r="M3" s="1319"/>
      <c r="N3" s="1319"/>
      <c r="O3" s="1319"/>
      <c r="P3" s="1319"/>
      <c r="Q3" s="1319"/>
      <c r="R3" s="1319"/>
      <c r="S3" s="1319"/>
      <c r="T3" s="1319"/>
      <c r="U3" s="1319"/>
      <c r="V3" s="1319"/>
      <c r="W3" s="1319"/>
      <c r="X3" s="1319"/>
      <c r="Y3" s="1319"/>
      <c r="Z3" s="1319"/>
      <c r="AA3" s="1319"/>
      <c r="AB3" s="1319"/>
      <c r="AC3" s="1319"/>
    </row>
    <row r="4" spans="2:40" ht="5.9" customHeight="1" x14ac:dyDescent="0.35">
      <c r="B4" s="1319"/>
      <c r="C4" s="1319"/>
      <c r="D4" s="1319"/>
      <c r="E4" s="1319"/>
      <c r="F4" s="1319"/>
      <c r="G4" s="1319"/>
      <c r="H4" s="1319"/>
      <c r="I4" s="1319"/>
      <c r="J4" s="1319"/>
      <c r="K4" s="1319"/>
      <c r="L4" s="1319"/>
      <c r="M4" s="1319"/>
      <c r="N4" s="1319"/>
      <c r="O4" s="1319"/>
      <c r="P4" s="1319"/>
      <c r="Q4" s="1319"/>
      <c r="R4" s="1319"/>
      <c r="S4" s="1319"/>
      <c r="T4" s="1319"/>
      <c r="U4" s="1319"/>
      <c r="V4" s="1319"/>
      <c r="W4" s="1319"/>
      <c r="X4" s="1319"/>
      <c r="Y4" s="1319"/>
      <c r="Z4" s="1319"/>
      <c r="AA4" s="1319"/>
      <c r="AB4" s="1319"/>
      <c r="AC4" s="1319"/>
    </row>
    <row r="5" spans="2:40" ht="1.5" customHeight="1" x14ac:dyDescent="0.35">
      <c r="B5" s="1319"/>
      <c r="C5" s="1319"/>
      <c r="D5" s="1319"/>
      <c r="E5" s="1319"/>
      <c r="F5" s="1319"/>
      <c r="G5" s="1319"/>
      <c r="H5" s="1319"/>
      <c r="I5" s="1319"/>
      <c r="J5" s="1319"/>
      <c r="K5" s="1319"/>
      <c r="L5" s="1319"/>
      <c r="M5" s="1319"/>
      <c r="N5" s="1319"/>
      <c r="O5" s="1319"/>
      <c r="P5" s="1319"/>
      <c r="Q5" s="1319"/>
      <c r="R5" s="1319"/>
      <c r="S5" s="1319"/>
      <c r="T5" s="1319"/>
      <c r="U5" s="1319"/>
      <c r="V5" s="1319"/>
      <c r="W5" s="1319"/>
      <c r="X5" s="1319"/>
      <c r="Y5" s="1319"/>
      <c r="Z5" s="1319"/>
      <c r="AA5" s="1319"/>
      <c r="AB5" s="1319"/>
      <c r="AC5" s="1319"/>
    </row>
    <row r="6" spans="2:40" ht="14.9" customHeight="1" x14ac:dyDescent="0.35">
      <c r="B6" s="1319"/>
      <c r="C6" s="1319"/>
      <c r="D6" s="1319"/>
      <c r="E6" s="1319"/>
      <c r="F6" s="1319"/>
      <c r="G6" s="1319"/>
      <c r="H6" s="1319"/>
      <c r="I6" s="1319"/>
      <c r="J6" s="1319"/>
      <c r="K6" s="1319"/>
      <c r="L6" s="1319"/>
      <c r="M6" s="1319"/>
      <c r="N6" s="1319"/>
      <c r="O6" s="1319"/>
      <c r="P6" s="1319"/>
      <c r="Q6" s="1319"/>
      <c r="R6" s="1319"/>
      <c r="S6" s="1319"/>
      <c r="T6" s="1319"/>
      <c r="U6" s="1319"/>
      <c r="V6" s="1319"/>
      <c r="W6" s="1319"/>
      <c r="X6" s="1319"/>
      <c r="Y6" s="1319"/>
      <c r="Z6" s="1319"/>
      <c r="AA6" s="1319"/>
      <c r="AB6" s="1319"/>
      <c r="AC6" s="1319"/>
    </row>
    <row r="7" spans="2:40" ht="33.75" customHeight="1" x14ac:dyDescent="0.35">
      <c r="B7" s="55"/>
      <c r="C7" s="55"/>
      <c r="D7" s="55"/>
      <c r="E7" s="55"/>
      <c r="F7" s="55"/>
      <c r="G7" s="55"/>
      <c r="H7" s="55"/>
      <c r="I7" s="55"/>
      <c r="J7" s="55"/>
      <c r="K7" s="55"/>
      <c r="L7" s="55"/>
      <c r="M7" s="55"/>
      <c r="N7" s="55"/>
      <c r="O7" s="55"/>
      <c r="P7" s="55"/>
      <c r="Q7" s="55"/>
      <c r="R7" s="55"/>
      <c r="S7" s="55"/>
      <c r="T7" s="55"/>
      <c r="U7" s="55"/>
      <c r="V7" s="55"/>
      <c r="W7" s="55"/>
      <c r="X7" s="55"/>
      <c r="Y7" s="55"/>
    </row>
    <row r="8" spans="2:40" ht="14.9" customHeight="1" x14ac:dyDescent="0.35">
      <c r="B8" s="1323" t="s">
        <v>402</v>
      </c>
      <c r="C8" s="1324"/>
      <c r="D8" s="1347" t="s">
        <v>279</v>
      </c>
      <c r="E8" s="1348"/>
      <c r="F8" s="1348"/>
      <c r="G8" s="1348"/>
      <c r="H8" s="1348"/>
      <c r="I8" s="1348"/>
      <c r="J8" s="1348"/>
      <c r="K8" s="1348"/>
      <c r="L8" s="1348"/>
      <c r="M8" s="1348"/>
      <c r="N8" s="1348"/>
      <c r="O8" s="1348"/>
      <c r="P8" s="1348"/>
      <c r="Q8" s="1348"/>
      <c r="R8" s="1348"/>
      <c r="S8" s="1348"/>
      <c r="T8" s="1348"/>
      <c r="U8" s="1348"/>
      <c r="V8" s="1348"/>
      <c r="W8" s="1348"/>
      <c r="X8" s="1348"/>
      <c r="Y8" s="1348"/>
      <c r="Z8" s="1348"/>
      <c r="AA8" s="1348"/>
      <c r="AB8" s="1349"/>
      <c r="AC8" s="1350" t="s">
        <v>280</v>
      </c>
      <c r="AD8" s="1331"/>
      <c r="AE8" s="1331"/>
      <c r="AF8" s="1331"/>
      <c r="AG8" s="1331"/>
      <c r="AH8" s="1331"/>
      <c r="AI8" s="1331"/>
      <c r="AJ8" s="1331"/>
      <c r="AK8" s="1331"/>
      <c r="AL8" s="1331"/>
      <c r="AM8" s="1331"/>
      <c r="AN8" s="1332"/>
    </row>
    <row r="9" spans="2:40" x14ac:dyDescent="0.35">
      <c r="B9" s="1325"/>
      <c r="C9" s="1326"/>
      <c r="D9" s="225">
        <v>2018</v>
      </c>
      <c r="E9" s="1320">
        <v>2019</v>
      </c>
      <c r="F9" s="1321"/>
      <c r="G9" s="1321"/>
      <c r="H9" s="1382"/>
      <c r="I9" s="1320">
        <v>2020</v>
      </c>
      <c r="J9" s="1321"/>
      <c r="K9" s="1321"/>
      <c r="L9" s="1321"/>
      <c r="M9" s="1320">
        <v>2021</v>
      </c>
      <c r="N9" s="1321"/>
      <c r="O9" s="1321"/>
      <c r="P9" s="1321"/>
      <c r="Q9" s="1342">
        <v>2022</v>
      </c>
      <c r="R9" s="1354"/>
      <c r="S9" s="1354"/>
      <c r="T9" s="1354"/>
      <c r="U9" s="1342">
        <v>2023</v>
      </c>
      <c r="V9" s="1354"/>
      <c r="W9" s="1354"/>
      <c r="X9" s="1344"/>
      <c r="Y9" s="460"/>
      <c r="Z9" s="442">
        <v>2024</v>
      </c>
      <c r="AA9" s="442"/>
      <c r="AB9" s="309"/>
      <c r="AC9" s="1329">
        <v>2025</v>
      </c>
      <c r="AD9" s="1335"/>
      <c r="AE9" s="1335"/>
      <c r="AF9" s="1334"/>
      <c r="AG9" s="1329">
        <v>2026</v>
      </c>
      <c r="AH9" s="1330"/>
      <c r="AI9" s="1330"/>
      <c r="AJ9" s="1334"/>
      <c r="AK9" s="1329">
        <v>2027</v>
      </c>
      <c r="AL9" s="1330"/>
      <c r="AM9" s="1330"/>
      <c r="AN9" s="1334"/>
    </row>
    <row r="10" spans="2:40" x14ac:dyDescent="0.35">
      <c r="B10" s="1327"/>
      <c r="C10" s="1328"/>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26" t="s">
        <v>281</v>
      </c>
      <c r="U10" s="286" t="s">
        <v>282</v>
      </c>
      <c r="V10" s="287" t="s">
        <v>283</v>
      </c>
      <c r="W10" s="287" t="s">
        <v>238</v>
      </c>
      <c r="X10" s="285" t="s">
        <v>281</v>
      </c>
      <c r="Y10" s="286" t="s">
        <v>282</v>
      </c>
      <c r="Z10" s="292" t="s">
        <v>283</v>
      </c>
      <c r="AA10" s="287" t="s">
        <v>238</v>
      </c>
      <c r="AB10" s="287" t="s">
        <v>281</v>
      </c>
      <c r="AC10" s="286" t="s">
        <v>282</v>
      </c>
      <c r="AD10" s="292" t="s">
        <v>283</v>
      </c>
      <c r="AE10" s="273" t="s">
        <v>238</v>
      </c>
      <c r="AF10" s="273" t="s">
        <v>281</v>
      </c>
      <c r="AG10" s="236" t="s">
        <v>282</v>
      </c>
      <c r="AH10" s="271" t="s">
        <v>283</v>
      </c>
      <c r="AI10" s="271" t="s">
        <v>238</v>
      </c>
      <c r="AJ10" s="290" t="s">
        <v>281</v>
      </c>
      <c r="AK10" s="236" t="s">
        <v>282</v>
      </c>
      <c r="AL10" s="271" t="s">
        <v>283</v>
      </c>
      <c r="AM10" s="271" t="s">
        <v>238</v>
      </c>
      <c r="AN10" s="290" t="s">
        <v>281</v>
      </c>
    </row>
    <row r="11" spans="2:40" x14ac:dyDescent="0.35">
      <c r="B11" s="538" t="s">
        <v>861</v>
      </c>
      <c r="C11" s="55" t="s">
        <v>517</v>
      </c>
      <c r="D11" s="510"/>
      <c r="E11" s="544"/>
      <c r="F11" s="548">
        <v>60.5</v>
      </c>
      <c r="G11" s="548">
        <v>81.400000000000006</v>
      </c>
      <c r="H11" s="548">
        <f>'Haver Pivoted'!GS42</f>
        <v>82.1</v>
      </c>
      <c r="I11" s="548">
        <f>'Haver Pivoted'!GT42</f>
        <v>80</v>
      </c>
      <c r="J11" s="548">
        <f>'Haver Pivoted'!GU42</f>
        <v>1031.8</v>
      </c>
      <c r="K11" s="548">
        <f>'Haver Pivoted'!GV42</f>
        <v>1163.3</v>
      </c>
      <c r="L11" s="548">
        <f>'Haver Pivoted'!GW42</f>
        <v>516.4</v>
      </c>
      <c r="M11" s="548">
        <f>'Haver Pivoted'!GX42</f>
        <v>518.1</v>
      </c>
      <c r="N11" s="548">
        <f>'Haver Pivoted'!GY42</f>
        <v>822</v>
      </c>
      <c r="O11" s="548">
        <f>'Haver Pivoted'!GZ42</f>
        <v>673.4</v>
      </c>
      <c r="P11" s="548">
        <f>'Haver Pivoted'!HA42</f>
        <v>413.4</v>
      </c>
      <c r="Q11" s="548">
        <f>'Haver Pivoted'!HB42</f>
        <v>150.80000000000001</v>
      </c>
      <c r="R11" s="548">
        <f>'Haver Pivoted'!HC42</f>
        <v>129.30000000000001</v>
      </c>
      <c r="S11" s="549">
        <f>'Haver Pivoted'!HD42</f>
        <v>118.4</v>
      </c>
      <c r="T11" s="549">
        <f>'Haver Pivoted'!HE42</f>
        <v>110.8</v>
      </c>
      <c r="U11" s="353">
        <f>'Haver Pivoted'!HF42</f>
        <v>103.8</v>
      </c>
      <c r="V11" s="353">
        <f>'Haver Pivoted'!HG42</f>
        <v>101.8</v>
      </c>
      <c r="W11" s="353">
        <f>'Haver Pivoted'!HH42</f>
        <v>104</v>
      </c>
      <c r="X11" s="353">
        <f>'Haver Pivoted'!HI42</f>
        <v>98.9</v>
      </c>
      <c r="Y11" s="353">
        <f>'Haver Pivoted'!HJ42</f>
        <v>96.1</v>
      </c>
      <c r="Z11" s="353">
        <f>'Haver Pivoted'!HK42</f>
        <v>93.7</v>
      </c>
      <c r="AA11" s="353">
        <f>'Haver Pivoted'!HL42</f>
        <v>92.1</v>
      </c>
      <c r="AB11" s="353">
        <f>'Haver Pivoted'!HM42</f>
        <v>93.5</v>
      </c>
      <c r="AC11" s="353">
        <f>'Haver Pivoted'!HN42</f>
        <v>104.1</v>
      </c>
      <c r="AD11" s="353">
        <f>'Haver Pivoted'!HO42</f>
        <v>116.5</v>
      </c>
      <c r="AE11" s="525">
        <f t="shared" ref="AE11" si="0">AE12+AE13</f>
        <v>116.5</v>
      </c>
      <c r="AF11" s="525">
        <f t="shared" ref="AF11" si="1">AF12+AF13</f>
        <v>119.58999999999999</v>
      </c>
      <c r="AG11" s="357">
        <f>AG12+AG13</f>
        <v>119.58999999999999</v>
      </c>
      <c r="AH11" s="357">
        <f>AH12+AH13</f>
        <v>119.58999999999999</v>
      </c>
      <c r="AI11" s="357">
        <f t="shared" ref="AI11" si="2">AI12+AI13</f>
        <v>119.58999999999999</v>
      </c>
      <c r="AJ11" s="357">
        <f>AJ12+AJ13</f>
        <v>119.58999999999999</v>
      </c>
      <c r="AK11" s="357">
        <f t="shared" ref="AK11:AN11" si="3">AK12+AK13</f>
        <v>119.58999999999999</v>
      </c>
      <c r="AL11" s="357">
        <f t="shared" si="3"/>
        <v>119.58999999999999</v>
      </c>
      <c r="AM11" s="357">
        <f t="shared" si="3"/>
        <v>119.58999999999999</v>
      </c>
      <c r="AN11" s="357">
        <f t="shared" si="3"/>
        <v>119.58999999999999</v>
      </c>
    </row>
    <row r="12" spans="2:40" ht="16.5" customHeight="1" x14ac:dyDescent="0.35">
      <c r="B12" s="432" t="s">
        <v>403</v>
      </c>
      <c r="C12" s="55"/>
      <c r="D12" s="538"/>
      <c r="E12" s="55"/>
      <c r="F12" s="54">
        <f>F11</f>
        <v>60.5</v>
      </c>
      <c r="G12" s="54">
        <f>G11</f>
        <v>81.400000000000006</v>
      </c>
      <c r="H12" s="54">
        <f t="shared" ref="H12:M12" si="4">H11-H13</f>
        <v>82.1</v>
      </c>
      <c r="I12" s="54">
        <f t="shared" si="4"/>
        <v>80</v>
      </c>
      <c r="J12" s="54">
        <f>J11-J13</f>
        <v>42.299999999999955</v>
      </c>
      <c r="K12" s="54">
        <f t="shared" si="4"/>
        <v>36.700000000000045</v>
      </c>
      <c r="L12" s="54">
        <f>L11-L13</f>
        <v>-22.000000000000114</v>
      </c>
      <c r="M12" s="54">
        <f t="shared" si="4"/>
        <v>210.3</v>
      </c>
      <c r="N12" s="54">
        <f t="shared" ref="N12:T12" si="5">N11-N13</f>
        <v>218.39999999999998</v>
      </c>
      <c r="O12" s="54">
        <f t="shared" si="5"/>
        <v>217.38351999999998</v>
      </c>
      <c r="P12" s="54">
        <f t="shared" si="5"/>
        <v>208.49999999999997</v>
      </c>
      <c r="Q12" s="54">
        <f t="shared" si="5"/>
        <v>90.100000000000009</v>
      </c>
      <c r="R12" s="54">
        <f t="shared" si="5"/>
        <v>75.800000000000011</v>
      </c>
      <c r="S12" s="353">
        <f t="shared" si="5"/>
        <v>75.7</v>
      </c>
      <c r="T12" s="353">
        <f t="shared" si="5"/>
        <v>78.977999999999994</v>
      </c>
      <c r="U12" s="353">
        <f t="shared" ref="U12:V12" si="6">U11-U13</f>
        <v>91.292000000000002</v>
      </c>
      <c r="V12" s="353">
        <f t="shared" si="6"/>
        <v>89.292000000000002</v>
      </c>
      <c r="W12" s="353">
        <f t="shared" ref="W12:AB12" si="7">W11-W13</f>
        <v>91.49199999999999</v>
      </c>
      <c r="X12" s="353">
        <f t="shared" si="7"/>
        <v>89.269000000000005</v>
      </c>
      <c r="Y12" s="353">
        <f t="shared" si="7"/>
        <v>86.468999999999994</v>
      </c>
      <c r="Z12" s="353">
        <f t="shared" si="7"/>
        <v>84.069000000000003</v>
      </c>
      <c r="AA12" s="353">
        <f t="shared" si="7"/>
        <v>82.468999999999994</v>
      </c>
      <c r="AB12" s="353">
        <f t="shared" si="7"/>
        <v>79.036000000000001</v>
      </c>
      <c r="AC12" s="353">
        <f>AC11-AC13</f>
        <v>89.635999999999996</v>
      </c>
      <c r="AD12" s="353">
        <f>AD11-AD13</f>
        <v>110.05799999999999</v>
      </c>
      <c r="AE12" s="357">
        <f t="shared" ref="AE12:AF12" si="8">AD12</f>
        <v>110.05799999999999</v>
      </c>
      <c r="AF12" s="357">
        <f t="shared" si="8"/>
        <v>110.05799999999999</v>
      </c>
      <c r="AG12" s="357">
        <f>AF12</f>
        <v>110.05799999999999</v>
      </c>
      <c r="AH12" s="357">
        <f>AG12</f>
        <v>110.05799999999999</v>
      </c>
      <c r="AI12" s="357">
        <f>AH12</f>
        <v>110.05799999999999</v>
      </c>
      <c r="AJ12" s="357">
        <f>AI12</f>
        <v>110.05799999999999</v>
      </c>
      <c r="AK12" s="357">
        <f t="shared" ref="AK12:AN12" si="9">AJ12</f>
        <v>110.05799999999999</v>
      </c>
      <c r="AL12" s="357">
        <f t="shared" si="9"/>
        <v>110.05799999999999</v>
      </c>
      <c r="AM12" s="357">
        <f t="shared" si="9"/>
        <v>110.05799999999999</v>
      </c>
      <c r="AN12" s="357">
        <f t="shared" si="9"/>
        <v>110.05799999999999</v>
      </c>
    </row>
    <row r="13" spans="2:40" x14ac:dyDescent="0.35">
      <c r="B13" s="431" t="s">
        <v>404</v>
      </c>
      <c r="C13" s="55"/>
      <c r="D13" s="538"/>
      <c r="E13" s="55"/>
      <c r="F13" s="546"/>
      <c r="G13" s="546"/>
      <c r="H13" s="54">
        <f>SUM(H16:H25)</f>
        <v>0</v>
      </c>
      <c r="I13" s="54">
        <f>SUM(I16:I25)</f>
        <v>0</v>
      </c>
      <c r="J13" s="54">
        <f t="shared" ref="J13:S13" si="10">SUM(J16:J25)+J14</f>
        <v>989.5</v>
      </c>
      <c r="K13" s="54">
        <f t="shared" si="10"/>
        <v>1126.5999999999999</v>
      </c>
      <c r="L13" s="54">
        <f t="shared" si="10"/>
        <v>538.40000000000009</v>
      </c>
      <c r="M13" s="54">
        <f t="shared" si="10"/>
        <v>307.8</v>
      </c>
      <c r="N13" s="37">
        <f t="shared" si="10"/>
        <v>603.6</v>
      </c>
      <c r="O13" s="37">
        <f>SUM(O16:O25)+O14</f>
        <v>456.01648</v>
      </c>
      <c r="P13" s="37">
        <f>SUM(P16:P25)+P14</f>
        <v>204.9</v>
      </c>
      <c r="Q13" s="37">
        <f t="shared" si="10"/>
        <v>60.7</v>
      </c>
      <c r="R13" s="37">
        <f t="shared" si="10"/>
        <v>53.5</v>
      </c>
      <c r="S13" s="37">
        <f t="shared" si="10"/>
        <v>42.7</v>
      </c>
      <c r="T13" s="37">
        <f t="shared" ref="T13:AB13" si="11">SUM(T16:T27)+T14</f>
        <v>31.822000000000003</v>
      </c>
      <c r="U13" s="37">
        <f t="shared" si="11"/>
        <v>12.508000000000003</v>
      </c>
      <c r="V13" s="37">
        <f t="shared" si="11"/>
        <v>12.508000000000003</v>
      </c>
      <c r="W13" s="37">
        <f>SUM(W16:W27)+W14</f>
        <v>12.508000000000003</v>
      </c>
      <c r="X13" s="37">
        <f>SUM(X16:X27)+X14</f>
        <v>9.6310000000000002</v>
      </c>
      <c r="Y13" s="357">
        <f t="shared" si="11"/>
        <v>9.6310000000000002</v>
      </c>
      <c r="Z13" s="357">
        <f t="shared" si="11"/>
        <v>9.6310000000000002</v>
      </c>
      <c r="AA13" s="357">
        <f t="shared" si="11"/>
        <v>9.6310000000000002</v>
      </c>
      <c r="AB13" s="357">
        <f t="shared" si="11"/>
        <v>14.464</v>
      </c>
      <c r="AC13" s="357">
        <f>SUM(AC16:AC27)+AC14</f>
        <v>14.464</v>
      </c>
      <c r="AD13" s="357">
        <f>SUM(AD16:AD27)+AD14</f>
        <v>6.4420000000000002</v>
      </c>
      <c r="AE13" s="357">
        <f t="shared" ref="AE13" si="12">SUM(AE16:AE27)+AE14</f>
        <v>6.4420000000000002</v>
      </c>
      <c r="AF13" s="357">
        <f t="shared" ref="AF13:AH13" si="13">SUM(AF16:AF27)+AF14</f>
        <v>9.532</v>
      </c>
      <c r="AG13" s="357">
        <f>SUM(AG16:AG27)+AG14</f>
        <v>9.532</v>
      </c>
      <c r="AH13" s="357">
        <f t="shared" si="13"/>
        <v>9.532</v>
      </c>
      <c r="AI13" s="357">
        <f t="shared" ref="AI13" si="14">SUM(AI16:AI27)+AI14</f>
        <v>9.532</v>
      </c>
      <c r="AJ13" s="357">
        <f>SUM(AJ16:AJ27)+AJ14</f>
        <v>9.532</v>
      </c>
      <c r="AK13" s="357">
        <f>SUM(AK16:AK27)+AK14</f>
        <v>9.532</v>
      </c>
      <c r="AL13" s="357">
        <f t="shared" ref="AL13:AN13" si="15">SUM(AL16:AL27)+AL14</f>
        <v>9.532</v>
      </c>
      <c r="AM13" s="357">
        <f t="shared" si="15"/>
        <v>9.532</v>
      </c>
      <c r="AN13" s="357">
        <f t="shared" si="15"/>
        <v>9.532</v>
      </c>
    </row>
    <row r="14" spans="2:40" x14ac:dyDescent="0.35">
      <c r="B14" s="374" t="s">
        <v>50</v>
      </c>
      <c r="C14" s="36" t="s">
        <v>328</v>
      </c>
      <c r="D14" s="371"/>
      <c r="E14" s="36"/>
      <c r="F14" s="54"/>
      <c r="G14" s="54"/>
      <c r="H14" s="54">
        <f>'Haver Pivoted'!GS49</f>
        <v>0</v>
      </c>
      <c r="I14" s="54">
        <f>'Haver Pivoted'!GT49</f>
        <v>0</v>
      </c>
      <c r="J14" s="54">
        <f>'Haver Pivoted'!GU49</f>
        <v>576.9</v>
      </c>
      <c r="K14" s="54">
        <f>'Haver Pivoted'!GV49</f>
        <v>819.5</v>
      </c>
      <c r="L14" s="54">
        <f>'Haver Pivoted'!GW49</f>
        <v>246.3</v>
      </c>
      <c r="M14" s="54">
        <f>'Haver Pivoted'!GX49</f>
        <v>197</v>
      </c>
      <c r="N14" s="54">
        <f>'Haver Pivoted'!GY49</f>
        <v>441.2</v>
      </c>
      <c r="O14" s="54">
        <f>'Haver Pivoted'!GZ49</f>
        <v>276.7</v>
      </c>
      <c r="P14" s="54">
        <f>'Haver Pivoted'!HA49</f>
        <v>28.2</v>
      </c>
      <c r="Q14" s="54">
        <f>'Haver Pivoted'!HB49</f>
        <v>0</v>
      </c>
      <c r="R14" s="54">
        <f>'Haver Pivoted'!HC49</f>
        <v>0</v>
      </c>
      <c r="S14" s="353">
        <f>'Haver Pivoted'!HD49</f>
        <v>0</v>
      </c>
      <c r="T14" s="353">
        <f>'Haver Pivoted'!HE49</f>
        <v>0</v>
      </c>
      <c r="U14" s="353">
        <f>'Haver Pivoted'!HF49</f>
        <v>0</v>
      </c>
      <c r="V14" s="353">
        <f>'Haver Pivoted'!HG49</f>
        <v>0</v>
      </c>
      <c r="W14" s="556">
        <f>'Haver Pivoted'!HH49</f>
        <v>0</v>
      </c>
      <c r="X14" s="556">
        <f>'Haver Pivoted'!HI49</f>
        <v>0</v>
      </c>
      <c r="Y14" s="556">
        <f>'Haver Pivoted'!HJ49</f>
        <v>0</v>
      </c>
      <c r="Z14" s="556">
        <f>'Haver Pivoted'!HK49</f>
        <v>0</v>
      </c>
      <c r="AA14" s="556">
        <f>'Haver Pivoted'!HL49</f>
        <v>0</v>
      </c>
      <c r="AB14" s="556">
        <f>'Haver Pivoted'!HM49</f>
        <v>0</v>
      </c>
      <c r="AC14" s="556">
        <f>'Haver Pivoted'!HN49</f>
        <v>0</v>
      </c>
      <c r="AD14" s="556">
        <f>'Haver Pivoted'!HO49</f>
        <v>0</v>
      </c>
      <c r="AE14" s="229"/>
      <c r="AF14" s="229"/>
      <c r="AG14" s="229"/>
      <c r="AH14" s="229"/>
      <c r="AI14" s="229"/>
      <c r="AJ14" s="229"/>
      <c r="AK14" s="229"/>
      <c r="AL14" s="229"/>
      <c r="AM14" s="229"/>
      <c r="AN14" s="229"/>
    </row>
    <row r="15" spans="2:40" x14ac:dyDescent="0.35">
      <c r="B15" s="431" t="s">
        <v>405</v>
      </c>
      <c r="C15" s="55"/>
      <c r="D15" s="538"/>
      <c r="E15" s="55"/>
      <c r="F15" s="546"/>
      <c r="G15" s="546"/>
      <c r="H15" s="54">
        <f t="shared" ref="H15:AC15" si="16">SUM(H16:H25)</f>
        <v>0</v>
      </c>
      <c r="I15" s="54">
        <f t="shared" si="16"/>
        <v>0</v>
      </c>
      <c r="J15" s="54">
        <f t="shared" si="16"/>
        <v>412.6</v>
      </c>
      <c r="K15" s="54">
        <f t="shared" si="16"/>
        <v>307.10000000000002</v>
      </c>
      <c r="L15" s="54">
        <f t="shared" si="16"/>
        <v>292.10000000000002</v>
      </c>
      <c r="M15" s="54">
        <f t="shared" si="16"/>
        <v>110.8</v>
      </c>
      <c r="N15" s="54">
        <f t="shared" si="16"/>
        <v>162.4</v>
      </c>
      <c r="O15" s="54">
        <f t="shared" si="16"/>
        <v>179.31648000000001</v>
      </c>
      <c r="P15" s="54">
        <f>SUM(P16:P25)</f>
        <v>176.70000000000002</v>
      </c>
      <c r="Q15" s="54">
        <f t="shared" si="16"/>
        <v>60.7</v>
      </c>
      <c r="R15" s="54">
        <f t="shared" si="16"/>
        <v>53.5</v>
      </c>
      <c r="S15" s="54">
        <f t="shared" si="16"/>
        <v>42.7</v>
      </c>
      <c r="T15" s="54">
        <f t="shared" si="16"/>
        <v>28.200000000000003</v>
      </c>
      <c r="U15" s="54">
        <f t="shared" si="16"/>
        <v>8.886000000000001</v>
      </c>
      <c r="V15" s="54">
        <f t="shared" si="16"/>
        <v>8.886000000000001</v>
      </c>
      <c r="W15" s="411">
        <f t="shared" si="16"/>
        <v>8.886000000000001</v>
      </c>
      <c r="X15" s="54">
        <f t="shared" si="16"/>
        <v>0.2</v>
      </c>
      <c r="Y15" s="526">
        <f t="shared" si="16"/>
        <v>0.2</v>
      </c>
      <c r="Z15" s="526">
        <f t="shared" si="16"/>
        <v>0.2</v>
      </c>
      <c r="AA15" s="526">
        <f t="shared" si="16"/>
        <v>0.2</v>
      </c>
      <c r="AB15" s="526">
        <f t="shared" si="16"/>
        <v>0</v>
      </c>
      <c r="AC15" s="526">
        <f t="shared" si="16"/>
        <v>0</v>
      </c>
      <c r="AD15" s="526">
        <f t="shared" ref="AD15:AE15" si="17">SUM(AD16:AD25)</f>
        <v>0</v>
      </c>
      <c r="AE15" s="526">
        <f t="shared" si="17"/>
        <v>0</v>
      </c>
      <c r="AF15" s="526">
        <f t="shared" ref="AF15:AG15" si="18">SUM(AF16:AF25)</f>
        <v>0</v>
      </c>
      <c r="AG15" s="526">
        <f t="shared" si="18"/>
        <v>0</v>
      </c>
      <c r="AH15" s="526"/>
      <c r="AI15" s="526"/>
      <c r="AJ15" s="526"/>
      <c r="AK15" s="526"/>
      <c r="AL15" s="526"/>
      <c r="AM15" s="526"/>
      <c r="AN15" s="526"/>
    </row>
    <row r="16" spans="2:40" x14ac:dyDescent="0.35">
      <c r="B16" s="535" t="s">
        <v>145</v>
      </c>
      <c r="C16" s="39" t="s">
        <v>406</v>
      </c>
      <c r="D16" s="436"/>
      <c r="E16" s="39"/>
      <c r="F16" s="54"/>
      <c r="G16" s="54"/>
      <c r="H16" s="54">
        <f>'Haver Pivoted'!GS53</f>
        <v>0</v>
      </c>
      <c r="I16" s="54">
        <f>'Haver Pivoted'!GT53</f>
        <v>0</v>
      </c>
      <c r="J16" s="54">
        <f>'Haver Pivoted'!GU53</f>
        <v>16.899999999999999</v>
      </c>
      <c r="K16" s="54">
        <f>'Haver Pivoted'!GV53</f>
        <v>18.399999999999999</v>
      </c>
      <c r="L16" s="54">
        <f>'Haver Pivoted'!GW53</f>
        <v>46.2</v>
      </c>
      <c r="M16" s="54">
        <f>'Haver Pivoted'!GX53</f>
        <v>0.9</v>
      </c>
      <c r="N16" s="54">
        <f>'Haver Pivoted'!GY53</f>
        <v>14.1</v>
      </c>
      <c r="O16" s="54">
        <f>'Haver Pivoted'!GZ53</f>
        <v>8.6</v>
      </c>
      <c r="P16" s="54">
        <f>'Haver Pivoted'!HA53</f>
        <v>1.2</v>
      </c>
      <c r="Q16" s="54">
        <f>'Haver Pivoted'!HB53</f>
        <v>0.6</v>
      </c>
      <c r="R16" s="54">
        <f>'Haver Pivoted'!HC53</f>
        <v>0</v>
      </c>
      <c r="S16" s="353">
        <f>'Haver Pivoted'!HD53</f>
        <v>0</v>
      </c>
      <c r="T16" s="353">
        <f>'Haver Pivoted'!HE53</f>
        <v>0</v>
      </c>
      <c r="U16" s="353">
        <f>'Haver Pivoted'!HF53</f>
        <v>0</v>
      </c>
      <c r="V16" s="353">
        <f>'Haver Pivoted'!HG53</f>
        <v>0</v>
      </c>
      <c r="W16" s="556">
        <f>'Haver Pivoted'!HH53</f>
        <v>0</v>
      </c>
      <c r="X16" s="556">
        <f>'Haver Pivoted'!HI53</f>
        <v>0</v>
      </c>
      <c r="Y16" s="556">
        <f>'Haver Pivoted'!HJ53</f>
        <v>0</v>
      </c>
      <c r="Z16" s="556">
        <f>'Haver Pivoted'!HK53</f>
        <v>0</v>
      </c>
      <c r="AA16" s="556">
        <f>'Haver Pivoted'!HL53</f>
        <v>0</v>
      </c>
      <c r="AB16" s="556">
        <f>'Haver Pivoted'!HM53</f>
        <v>0</v>
      </c>
      <c r="AC16" s="556">
        <f>'Haver Pivoted'!HN53</f>
        <v>0</v>
      </c>
      <c r="AD16" s="556">
        <f>'Haver Pivoted'!HO53</f>
        <v>0</v>
      </c>
      <c r="AE16" s="229"/>
      <c r="AF16" s="229"/>
      <c r="AG16" s="229"/>
      <c r="AH16" s="229"/>
      <c r="AI16" s="229"/>
      <c r="AJ16" s="229"/>
      <c r="AK16" s="229"/>
      <c r="AL16" s="229"/>
      <c r="AM16" s="229"/>
      <c r="AN16" s="229"/>
    </row>
    <row r="17" spans="2:40" x14ac:dyDescent="0.35">
      <c r="B17" s="535" t="s">
        <v>143</v>
      </c>
      <c r="C17" s="39" t="s">
        <v>407</v>
      </c>
      <c r="D17" s="436"/>
      <c r="E17" s="39"/>
      <c r="F17" s="54"/>
      <c r="G17" s="54"/>
      <c r="H17" s="54">
        <f>'Haver Pivoted'!GS51</f>
        <v>0</v>
      </c>
      <c r="I17" s="54">
        <f>'Haver Pivoted'!GT51</f>
        <v>0</v>
      </c>
      <c r="J17" s="54">
        <f>'Haver Pivoted'!GU51</f>
        <v>73.3</v>
      </c>
      <c r="K17" s="54">
        <f>'Haver Pivoted'!GV51</f>
        <v>73.3</v>
      </c>
      <c r="L17" s="54">
        <f>'Haver Pivoted'!GW51</f>
        <v>73.3</v>
      </c>
      <c r="M17" s="54">
        <f>'Haver Pivoted'!GX51</f>
        <v>39.799999999999997</v>
      </c>
      <c r="N17" s="54">
        <f>'Haver Pivoted'!GY51</f>
        <v>43</v>
      </c>
      <c r="O17" s="54">
        <f>'Haver Pivoted'!GZ51</f>
        <v>45.7</v>
      </c>
      <c r="P17" s="54">
        <f>'Haver Pivoted'!HA51</f>
        <v>51.5</v>
      </c>
      <c r="Q17" s="54">
        <f>'Haver Pivoted'!HB51</f>
        <v>0</v>
      </c>
      <c r="R17" s="54">
        <f>'Haver Pivoted'!HC51</f>
        <v>0</v>
      </c>
      <c r="S17" s="353">
        <f>'Haver Pivoted'!HD51</f>
        <v>0</v>
      </c>
      <c r="T17" s="353">
        <f>'Haver Pivoted'!HE51</f>
        <v>0</v>
      </c>
      <c r="U17" s="353">
        <f>'Haver Pivoted'!HF51</f>
        <v>0</v>
      </c>
      <c r="V17" s="353">
        <f>'Haver Pivoted'!HG51</f>
        <v>0</v>
      </c>
      <c r="W17" s="556">
        <f>'Haver Pivoted'!HH51</f>
        <v>0</v>
      </c>
      <c r="X17" s="556">
        <f>'Haver Pivoted'!HI51</f>
        <v>0</v>
      </c>
      <c r="Y17" s="556">
        <f>'Haver Pivoted'!HJ51</f>
        <v>0</v>
      </c>
      <c r="Z17" s="556">
        <f>'Haver Pivoted'!HK51</f>
        <v>0</v>
      </c>
      <c r="AA17" s="556">
        <f>'Haver Pivoted'!HL51</f>
        <v>0</v>
      </c>
      <c r="AB17" s="556">
        <f>'Haver Pivoted'!HM51</f>
        <v>0</v>
      </c>
      <c r="AC17" s="556">
        <f>'Haver Pivoted'!HN51</f>
        <v>0</v>
      </c>
      <c r="AD17" s="556">
        <f>'Haver Pivoted'!HO51</f>
        <v>0</v>
      </c>
      <c r="AE17" s="357">
        <f t="shared" ref="AE17" si="19">AD17</f>
        <v>0</v>
      </c>
      <c r="AF17" s="357">
        <f t="shared" ref="AF17" si="20">AE17</f>
        <v>0</v>
      </c>
      <c r="AG17" s="357">
        <f t="shared" ref="AG17:AH17" si="21">AF17</f>
        <v>0</v>
      </c>
      <c r="AH17" s="357">
        <f t="shared" si="21"/>
        <v>0</v>
      </c>
      <c r="AI17" s="357">
        <f t="shared" ref="AI17" si="22">AH17</f>
        <v>0</v>
      </c>
      <c r="AJ17" s="357">
        <f t="shared" ref="AJ17" si="23">AI17</f>
        <v>0</v>
      </c>
      <c r="AK17" s="357">
        <f t="shared" ref="AK17" si="24">AJ17</f>
        <v>0</v>
      </c>
      <c r="AL17" s="357">
        <f t="shared" ref="AL17" si="25">AK17</f>
        <v>0</v>
      </c>
      <c r="AM17" s="357">
        <f t="shared" ref="AM17" si="26">AL17</f>
        <v>0</v>
      </c>
      <c r="AN17" s="357">
        <f t="shared" ref="AN17" si="27">AM17</f>
        <v>0</v>
      </c>
    </row>
    <row r="18" spans="2:40" x14ac:dyDescent="0.35">
      <c r="B18" s="535" t="s">
        <v>142</v>
      </c>
      <c r="C18" s="36" t="s">
        <v>408</v>
      </c>
      <c r="D18" s="371"/>
      <c r="E18" s="36"/>
      <c r="F18" s="54"/>
      <c r="G18" s="54"/>
      <c r="H18" s="54">
        <f>'Haver Pivoted'!GS50</f>
        <v>0</v>
      </c>
      <c r="I18" s="54">
        <f>'Haver Pivoted'!GT50</f>
        <v>0</v>
      </c>
      <c r="J18" s="54">
        <f>'Haver Pivoted'!GU50</f>
        <v>63.8</v>
      </c>
      <c r="K18" s="54">
        <f>'Haver Pivoted'!GV50</f>
        <v>15</v>
      </c>
      <c r="L18" s="54">
        <f>'Haver Pivoted'!GW50</f>
        <v>0.1</v>
      </c>
      <c r="M18" s="54">
        <f>'Haver Pivoted'!GX50</f>
        <v>38</v>
      </c>
      <c r="N18" s="54">
        <f>'Haver Pivoted'!GY50</f>
        <v>47.3</v>
      </c>
      <c r="O18" s="54">
        <f>'Haver Pivoted'!GZ50</f>
        <v>0.7</v>
      </c>
      <c r="P18" s="54">
        <f>'Haver Pivoted'!HA50</f>
        <v>0</v>
      </c>
      <c r="Q18" s="54">
        <f>'Haver Pivoted'!HB50</f>
        <v>0.3</v>
      </c>
      <c r="R18" s="54">
        <f>'Haver Pivoted'!HC50</f>
        <v>0.2</v>
      </c>
      <c r="S18" s="353">
        <f>'Haver Pivoted'!HD50</f>
        <v>0.3</v>
      </c>
      <c r="T18" s="353">
        <f>'Haver Pivoted'!HE50</f>
        <v>0.4</v>
      </c>
      <c r="U18" s="353">
        <f>'Haver Pivoted'!HF50</f>
        <v>0</v>
      </c>
      <c r="V18" s="353">
        <f>'Haver Pivoted'!HG50</f>
        <v>0</v>
      </c>
      <c r="W18" s="556">
        <f>'Haver Pivoted'!HH50</f>
        <v>0</v>
      </c>
      <c r="X18" s="556">
        <f>'Haver Pivoted'!HI50</f>
        <v>0</v>
      </c>
      <c r="Y18" s="556">
        <f>'Haver Pivoted'!HJ50</f>
        <v>0</v>
      </c>
      <c r="Z18" s="556">
        <f>'Haver Pivoted'!HK50</f>
        <v>0</v>
      </c>
      <c r="AA18" s="556">
        <f>'Haver Pivoted'!HL50</f>
        <v>0</v>
      </c>
      <c r="AB18" s="556">
        <f>'Haver Pivoted'!HM50</f>
        <v>0</v>
      </c>
      <c r="AC18" s="556">
        <f>'Haver Pivoted'!HN50</f>
        <v>0</v>
      </c>
      <c r="AD18" s="556">
        <f>'Haver Pivoted'!HO50</f>
        <v>0</v>
      </c>
      <c r="AE18" s="357">
        <f t="shared" ref="AE18" si="28">AE30</f>
        <v>0</v>
      </c>
      <c r="AF18" s="357">
        <f t="shared" ref="AF18:AG18" si="29">AF30</f>
        <v>0</v>
      </c>
      <c r="AG18" s="357">
        <f t="shared" si="29"/>
        <v>0</v>
      </c>
      <c r="AH18" s="357">
        <f t="shared" ref="AH18:AJ18" si="30">AH30</f>
        <v>0</v>
      </c>
      <c r="AI18" s="357">
        <f t="shared" si="30"/>
        <v>0</v>
      </c>
      <c r="AJ18" s="357">
        <f t="shared" si="30"/>
        <v>0</v>
      </c>
      <c r="AK18" s="357">
        <f t="shared" ref="AK18:AN18" si="31">AK30</f>
        <v>0</v>
      </c>
      <c r="AL18" s="357">
        <f t="shared" si="31"/>
        <v>0</v>
      </c>
      <c r="AM18" s="357">
        <f t="shared" si="31"/>
        <v>0</v>
      </c>
      <c r="AN18" s="357">
        <f t="shared" si="31"/>
        <v>0</v>
      </c>
    </row>
    <row r="19" spans="2:40" x14ac:dyDescent="0.35">
      <c r="B19" s="535" t="s">
        <v>409</v>
      </c>
      <c r="C19" s="36" t="s">
        <v>308</v>
      </c>
      <c r="D19" s="371"/>
      <c r="E19" s="36"/>
      <c r="F19" s="54"/>
      <c r="G19" s="54"/>
      <c r="H19" s="54">
        <f>'Haver Pivoted'!GS54</f>
        <v>0</v>
      </c>
      <c r="I19" s="54">
        <f>'Haver Pivoted'!GT54</f>
        <v>0</v>
      </c>
      <c r="J19" s="54">
        <f>'Haver Pivoted'!GU54</f>
        <v>96.6</v>
      </c>
      <c r="K19" s="54">
        <f>'Haver Pivoted'!GV54</f>
        <v>35.1</v>
      </c>
      <c r="L19" s="54">
        <f>'Haver Pivoted'!GW54</f>
        <v>20.7</v>
      </c>
      <c r="M19" s="54">
        <f>'Haver Pivoted'!GX54</f>
        <v>15.4</v>
      </c>
      <c r="N19" s="54">
        <f>'Haver Pivoted'!GY54</f>
        <v>9.6</v>
      </c>
      <c r="O19" s="54">
        <f>'Haver Pivoted'!GZ54</f>
        <v>13.5</v>
      </c>
      <c r="P19" s="54">
        <f>'Haver Pivoted'!HA54</f>
        <v>23.2</v>
      </c>
      <c r="Q19" s="54">
        <f>'Haver Pivoted'!HB54</f>
        <v>19.3</v>
      </c>
      <c r="R19" s="54">
        <f>'Haver Pivoted'!HC54</f>
        <v>14.4</v>
      </c>
      <c r="S19" s="353">
        <f>'Haver Pivoted'!HD54</f>
        <v>5.9</v>
      </c>
      <c r="T19" s="353">
        <f>'Haver Pivoted'!HE54</f>
        <v>3.6</v>
      </c>
      <c r="U19" s="353">
        <f>'Haver Pivoted'!HF54</f>
        <v>0</v>
      </c>
      <c r="V19" s="353">
        <f>'Haver Pivoted'!HG54</f>
        <v>0</v>
      </c>
      <c r="W19" s="556">
        <f>'Haver Pivoted'!HH54</f>
        <v>0</v>
      </c>
      <c r="X19" s="556">
        <f>'Haver Pivoted'!HI54</f>
        <v>0</v>
      </c>
      <c r="Y19" s="556">
        <f>'Haver Pivoted'!HJ54</f>
        <v>0</v>
      </c>
      <c r="Z19" s="556">
        <f>'Haver Pivoted'!HK54</f>
        <v>0</v>
      </c>
      <c r="AA19" s="556">
        <f>'Haver Pivoted'!HL54</f>
        <v>0</v>
      </c>
      <c r="AB19" s="556">
        <f>'Haver Pivoted'!HM54</f>
        <v>0</v>
      </c>
      <c r="AC19" s="556">
        <f>'Haver Pivoted'!HN54</f>
        <v>0</v>
      </c>
      <c r="AD19" s="556">
        <f>'Haver Pivoted'!HO54</f>
        <v>0</v>
      </c>
      <c r="AE19" s="229"/>
      <c r="AF19" s="229"/>
      <c r="AG19" s="229"/>
      <c r="AH19" s="229"/>
      <c r="AI19" s="229"/>
      <c r="AJ19" s="229"/>
      <c r="AK19" s="229"/>
      <c r="AL19" s="229"/>
      <c r="AM19" s="229"/>
      <c r="AN19" s="229"/>
    </row>
    <row r="20" spans="2:40" x14ac:dyDescent="0.35">
      <c r="B20" s="535" t="s">
        <v>144</v>
      </c>
      <c r="C20" s="36" t="s">
        <v>410</v>
      </c>
      <c r="D20" s="371"/>
      <c r="E20" s="36"/>
      <c r="F20" s="54"/>
      <c r="G20" s="54"/>
      <c r="H20" s="54">
        <f>'Haver Pivoted'!GS52</f>
        <v>0</v>
      </c>
      <c r="I20" s="54">
        <f>'Haver Pivoted'!GT52</f>
        <v>0</v>
      </c>
      <c r="J20" s="54">
        <f>'Haver Pivoted'!GU52</f>
        <v>22</v>
      </c>
      <c r="K20" s="54">
        <f>'Haver Pivoted'!GV52</f>
        <v>25.3</v>
      </c>
      <c r="L20" s="54">
        <f>'Haver Pivoted'!GW52</f>
        <v>11.8</v>
      </c>
      <c r="M20" s="54">
        <f>'Haver Pivoted'!GX52</f>
        <v>11.9</v>
      </c>
      <c r="N20" s="54">
        <f>'Haver Pivoted'!GY52</f>
        <v>11.3</v>
      </c>
      <c r="O20" s="54">
        <f>'Haver Pivoted'!GZ52</f>
        <v>13.6</v>
      </c>
      <c r="P20" s="54">
        <f>'Haver Pivoted'!HA52</f>
        <v>19</v>
      </c>
      <c r="Q20" s="54">
        <f>'Haver Pivoted'!HB52</f>
        <v>21.8</v>
      </c>
      <c r="R20" s="54">
        <f>'Haver Pivoted'!HC52</f>
        <v>22.3</v>
      </c>
      <c r="S20" s="353">
        <f>'Haver Pivoted'!HD52</f>
        <v>20.2</v>
      </c>
      <c r="T20" s="353">
        <f>'Haver Pivoted'!HE52</f>
        <v>15.8</v>
      </c>
      <c r="U20" s="37">
        <f t="shared" ref="U20:AC20" si="32">U37</f>
        <v>0.48599999999999993</v>
      </c>
      <c r="V20" s="37">
        <f t="shared" si="32"/>
        <v>0.48599999999999993</v>
      </c>
      <c r="W20" s="411">
        <f t="shared" si="32"/>
        <v>0.48599999999999993</v>
      </c>
      <c r="X20" s="37">
        <f t="shared" si="32"/>
        <v>0</v>
      </c>
      <c r="Y20" s="357">
        <f t="shared" si="32"/>
        <v>0</v>
      </c>
      <c r="Z20" s="357">
        <f t="shared" si="32"/>
        <v>0</v>
      </c>
      <c r="AA20" s="357">
        <f t="shared" si="32"/>
        <v>0</v>
      </c>
      <c r="AB20" s="357">
        <f t="shared" si="32"/>
        <v>0</v>
      </c>
      <c r="AC20" s="357">
        <f t="shared" si="32"/>
        <v>0</v>
      </c>
      <c r="AD20" s="357">
        <f t="shared" ref="AD20:AE20" si="33">AD37</f>
        <v>0</v>
      </c>
      <c r="AE20" s="357">
        <f t="shared" si="33"/>
        <v>0</v>
      </c>
      <c r="AF20" s="357">
        <f t="shared" ref="AF20:AG20" si="34">AF37</f>
        <v>0</v>
      </c>
      <c r="AG20" s="357">
        <f t="shared" si="34"/>
        <v>0</v>
      </c>
      <c r="AH20" s="357">
        <f t="shared" ref="AH20:AJ20" si="35">AH37</f>
        <v>0</v>
      </c>
      <c r="AI20" s="357">
        <f t="shared" si="35"/>
        <v>0</v>
      </c>
      <c r="AJ20" s="357">
        <f t="shared" si="35"/>
        <v>0</v>
      </c>
      <c r="AK20" s="357">
        <f t="shared" ref="AK20:AN20" si="36">AK37</f>
        <v>0</v>
      </c>
      <c r="AL20" s="357">
        <f t="shared" si="36"/>
        <v>0</v>
      </c>
      <c r="AM20" s="357">
        <f t="shared" si="36"/>
        <v>0</v>
      </c>
      <c r="AN20" s="357">
        <f t="shared" si="36"/>
        <v>0</v>
      </c>
    </row>
    <row r="21" spans="2:40" x14ac:dyDescent="0.35">
      <c r="B21" s="535" t="s">
        <v>148</v>
      </c>
      <c r="C21" s="36" t="s">
        <v>411</v>
      </c>
      <c r="D21" s="371"/>
      <c r="E21" s="36"/>
      <c r="F21" s="54"/>
      <c r="G21" s="54"/>
      <c r="H21" s="54">
        <f>'Haver Pivoted'!GS55</f>
        <v>0</v>
      </c>
      <c r="I21" s="54">
        <f>'Haver Pivoted'!GT55</f>
        <v>0</v>
      </c>
      <c r="J21" s="54">
        <f>'Haver Pivoted'!GU55</f>
        <v>140</v>
      </c>
      <c r="K21" s="54">
        <f>'Haver Pivoted'!GV55</f>
        <v>140</v>
      </c>
      <c r="L21" s="54">
        <f>'Haver Pivoted'!GW55</f>
        <v>140</v>
      </c>
      <c r="M21" s="54">
        <f>'Haver Pivoted'!GX55</f>
        <v>4.8</v>
      </c>
      <c r="N21" s="54">
        <f>'Haver Pivoted'!GY55</f>
        <v>4.4000000000000004</v>
      </c>
      <c r="O21" s="54">
        <f>'Haver Pivoted'!GZ55</f>
        <v>5.3</v>
      </c>
      <c r="P21" s="54">
        <f>'Haver Pivoted'!HA55</f>
        <v>4.7</v>
      </c>
      <c r="Q21" s="54">
        <f>'Haver Pivoted'!HB55</f>
        <v>0</v>
      </c>
      <c r="R21" s="54">
        <f>'Haver Pivoted'!HC55</f>
        <v>0</v>
      </c>
      <c r="S21" s="353">
        <f>'Haver Pivoted'!HD55</f>
        <v>0</v>
      </c>
      <c r="T21" s="353">
        <f>'Haver Pivoted'!HE55</f>
        <v>0</v>
      </c>
      <c r="U21" s="353">
        <f>'Haver Pivoted'!HF55</f>
        <v>0</v>
      </c>
      <c r="V21" s="353">
        <f>'Haver Pivoted'!HG55</f>
        <v>0</v>
      </c>
      <c r="W21" s="556">
        <f>'Haver Pivoted'!HH55</f>
        <v>0</v>
      </c>
      <c r="X21" s="556">
        <f>'Haver Pivoted'!HI55</f>
        <v>0</v>
      </c>
      <c r="Y21" s="556">
        <f>'Haver Pivoted'!HJ55</f>
        <v>0</v>
      </c>
      <c r="Z21" s="556">
        <f>'Haver Pivoted'!HK55</f>
        <v>0</v>
      </c>
      <c r="AA21" s="556">
        <f>'Haver Pivoted'!HL55</f>
        <v>0</v>
      </c>
      <c r="AB21" s="556">
        <f>'Haver Pivoted'!HM55</f>
        <v>0</v>
      </c>
      <c r="AC21" s="556">
        <f>'Haver Pivoted'!HN55</f>
        <v>0</v>
      </c>
      <c r="AD21" s="556">
        <f>'Haver Pivoted'!HO55</f>
        <v>0</v>
      </c>
      <c r="AE21" s="357">
        <f t="shared" ref="AE21" si="37">AD21</f>
        <v>0</v>
      </c>
      <c r="AF21" s="357">
        <f t="shared" ref="AF21" si="38">AE21</f>
        <v>0</v>
      </c>
      <c r="AG21" s="357">
        <f t="shared" ref="AG21:AH21" si="39">AF21</f>
        <v>0</v>
      </c>
      <c r="AH21" s="357">
        <f t="shared" si="39"/>
        <v>0</v>
      </c>
      <c r="AI21" s="357">
        <f t="shared" ref="AI21" si="40">AH21</f>
        <v>0</v>
      </c>
      <c r="AJ21" s="357">
        <f t="shared" ref="AJ21" si="41">AI21</f>
        <v>0</v>
      </c>
      <c r="AK21" s="357">
        <f t="shared" ref="AK21" si="42">AJ21</f>
        <v>0</v>
      </c>
      <c r="AL21" s="357">
        <f t="shared" ref="AL21" si="43">AK21</f>
        <v>0</v>
      </c>
      <c r="AM21" s="357">
        <f t="shared" ref="AM21" si="44">AL21</f>
        <v>0</v>
      </c>
      <c r="AN21" s="357">
        <f t="shared" ref="AN21" si="45">AM21</f>
        <v>0</v>
      </c>
    </row>
    <row r="22" spans="2:40" x14ac:dyDescent="0.35">
      <c r="B22" s="535" t="s">
        <v>412</v>
      </c>
      <c r="C22" s="36" t="s">
        <v>785</v>
      </c>
      <c r="D22" s="383"/>
      <c r="E22" s="54"/>
      <c r="F22" s="54"/>
      <c r="G22" s="54"/>
      <c r="H22" s="54"/>
      <c r="I22" s="54"/>
      <c r="J22" s="54"/>
      <c r="K22" s="54"/>
      <c r="L22" s="54"/>
      <c r="M22" s="54"/>
      <c r="N22" s="54">
        <f>'Haver Pivoted'!GY87</f>
        <v>11.3</v>
      </c>
      <c r="O22" s="54">
        <f>'Haver Pivoted'!GZ87</f>
        <v>10.4</v>
      </c>
      <c r="P22" s="54">
        <f>'Haver Pivoted'!HA87</f>
        <v>5.3</v>
      </c>
      <c r="Q22" s="54">
        <f>'Haver Pivoted'!HB87</f>
        <v>2.4</v>
      </c>
      <c r="R22" s="54">
        <f>'Haver Pivoted'!HC87</f>
        <v>0.3</v>
      </c>
      <c r="S22" s="353">
        <f>'Haver Pivoted'!HD87</f>
        <v>0</v>
      </c>
      <c r="T22" s="353">
        <f>'Haver Pivoted'!HE87</f>
        <v>0</v>
      </c>
      <c r="U22" s="353">
        <f>'Haver Pivoted'!HF87</f>
        <v>0</v>
      </c>
      <c r="V22" s="353">
        <f>'Haver Pivoted'!HG87</f>
        <v>0</v>
      </c>
      <c r="W22" s="556">
        <f>'Haver Pivoted'!HH87</f>
        <v>0</v>
      </c>
      <c r="X22" s="556">
        <f>'Haver Pivoted'!HI87</f>
        <v>0</v>
      </c>
      <c r="Y22" s="556">
        <f>'Haver Pivoted'!HJ87</f>
        <v>0</v>
      </c>
      <c r="Z22" s="556">
        <f>'Haver Pivoted'!HK87</f>
        <v>0</v>
      </c>
      <c r="AA22" s="556">
        <f>'Haver Pivoted'!HL87</f>
        <v>0</v>
      </c>
      <c r="AB22" s="556">
        <f>'Haver Pivoted'!HM87</f>
        <v>0</v>
      </c>
      <c r="AC22" s="556">
        <f>'Haver Pivoted'!HN87</f>
        <v>0</v>
      </c>
      <c r="AD22" s="556">
        <f>'Haver Pivoted'!HO87</f>
        <v>0</v>
      </c>
      <c r="AE22" s="357">
        <v>0</v>
      </c>
      <c r="AF22" s="357">
        <v>0</v>
      </c>
      <c r="AG22" s="357">
        <v>0</v>
      </c>
      <c r="AH22" s="357">
        <v>0</v>
      </c>
      <c r="AI22" s="357">
        <v>0</v>
      </c>
      <c r="AJ22" s="357">
        <v>0</v>
      </c>
      <c r="AK22" s="357">
        <v>0</v>
      </c>
      <c r="AL22" s="357">
        <v>0</v>
      </c>
      <c r="AM22" s="357">
        <v>0</v>
      </c>
      <c r="AN22" s="357">
        <v>0</v>
      </c>
    </row>
    <row r="23" spans="2:40" x14ac:dyDescent="0.35">
      <c r="B23" s="535" t="s">
        <v>413</v>
      </c>
      <c r="C23" s="36" t="s">
        <v>784</v>
      </c>
      <c r="D23" s="371"/>
      <c r="E23" s="36"/>
      <c r="F23" s="54"/>
      <c r="G23" s="547"/>
      <c r="H23" s="54"/>
      <c r="I23" s="54"/>
      <c r="J23" s="54"/>
      <c r="K23" s="54"/>
      <c r="L23" s="54"/>
      <c r="M23" s="54"/>
      <c r="N23" s="54">
        <f>'Haver Pivoted'!GY86</f>
        <v>21.4</v>
      </c>
      <c r="O23" s="54">
        <f>'Haver Pivoted'!GZ86</f>
        <v>57</v>
      </c>
      <c r="P23" s="54">
        <f>'Haver Pivoted'!HA86</f>
        <v>35.5</v>
      </c>
      <c r="Q23" s="54">
        <f>'Haver Pivoted'!HB86</f>
        <v>0</v>
      </c>
      <c r="R23" s="54">
        <f>'Haver Pivoted'!HC86</f>
        <v>0</v>
      </c>
      <c r="S23" s="353">
        <f>'Haver Pivoted'!HD86</f>
        <v>0</v>
      </c>
      <c r="T23" s="353">
        <f>'Haver Pivoted'!HE86</f>
        <v>0</v>
      </c>
      <c r="U23" s="353">
        <f>'Haver Pivoted'!HF86</f>
        <v>0</v>
      </c>
      <c r="V23" s="353">
        <f>'Haver Pivoted'!HG86</f>
        <v>0</v>
      </c>
      <c r="W23" s="556">
        <f>'Haver Pivoted'!HH86</f>
        <v>0</v>
      </c>
      <c r="X23" s="556">
        <f>'Haver Pivoted'!HI86</f>
        <v>0</v>
      </c>
      <c r="Y23" s="556">
        <f>'Haver Pivoted'!HJ86</f>
        <v>0</v>
      </c>
      <c r="Z23" s="556">
        <f>'Haver Pivoted'!HK86</f>
        <v>0</v>
      </c>
      <c r="AA23" s="556">
        <f>'Haver Pivoted'!HL86</f>
        <v>0</v>
      </c>
      <c r="AB23" s="556">
        <f>'Haver Pivoted'!HM86</f>
        <v>0</v>
      </c>
      <c r="AC23" s="556">
        <f>'Haver Pivoted'!HN86</f>
        <v>0</v>
      </c>
      <c r="AD23" s="556">
        <f>'Haver Pivoted'!HO86</f>
        <v>0</v>
      </c>
      <c r="AE23" s="357">
        <f t="shared" ref="AE23" si="46">AD23</f>
        <v>0</v>
      </c>
      <c r="AF23" s="357">
        <f t="shared" ref="AF23" si="47">AE23</f>
        <v>0</v>
      </c>
      <c r="AG23" s="357">
        <f t="shared" ref="AG23:AH23" si="48">AF23</f>
        <v>0</v>
      </c>
      <c r="AH23" s="357">
        <f t="shared" si="48"/>
        <v>0</v>
      </c>
      <c r="AI23" s="357">
        <f t="shared" ref="AI23" si="49">AH23</f>
        <v>0</v>
      </c>
      <c r="AJ23" s="357">
        <f t="shared" ref="AJ23" si="50">AI23</f>
        <v>0</v>
      </c>
      <c r="AK23" s="357">
        <f t="shared" ref="AK23" si="51">AJ23</f>
        <v>0</v>
      </c>
      <c r="AL23" s="357">
        <f t="shared" ref="AL23" si="52">AK23</f>
        <v>0</v>
      </c>
      <c r="AM23" s="357">
        <f t="shared" ref="AM23" si="53">AL23</f>
        <v>0</v>
      </c>
      <c r="AN23" s="357">
        <f t="shared" ref="AN23" si="54">AM23</f>
        <v>0</v>
      </c>
    </row>
    <row r="24" spans="2:40" x14ac:dyDescent="0.35">
      <c r="B24" s="535" t="s">
        <v>414</v>
      </c>
      <c r="C24" s="36"/>
      <c r="D24" s="371"/>
      <c r="E24" s="36"/>
      <c r="F24" s="54"/>
      <c r="G24" s="54"/>
      <c r="H24" s="54"/>
      <c r="I24" s="54"/>
      <c r="J24" s="54"/>
      <c r="K24" s="54"/>
      <c r="L24" s="54"/>
      <c r="M24" s="54"/>
      <c r="N24" s="54"/>
      <c r="O24" s="37">
        <f>O41+O42</f>
        <v>12.51648</v>
      </c>
      <c r="P24" s="37">
        <f>P41+P42</f>
        <v>11.3</v>
      </c>
      <c r="Q24" s="37">
        <f t="shared" ref="Q24:AC24" si="55">Q41+Q42</f>
        <v>11.3</v>
      </c>
      <c r="R24" s="37">
        <f t="shared" si="55"/>
        <v>11.3</v>
      </c>
      <c r="S24" s="37">
        <f t="shared" si="55"/>
        <v>11.3</v>
      </c>
      <c r="T24" s="37">
        <f t="shared" si="55"/>
        <v>8.4</v>
      </c>
      <c r="U24" s="37">
        <f t="shared" si="55"/>
        <v>8.4</v>
      </c>
      <c r="V24" s="37">
        <f t="shared" si="55"/>
        <v>8.4</v>
      </c>
      <c r="W24" s="411">
        <f t="shared" si="55"/>
        <v>8.4</v>
      </c>
      <c r="X24" s="37">
        <f t="shared" si="55"/>
        <v>0.2</v>
      </c>
      <c r="Y24" s="357">
        <f t="shared" si="55"/>
        <v>0.2</v>
      </c>
      <c r="Z24" s="357">
        <f t="shared" si="55"/>
        <v>0.2</v>
      </c>
      <c r="AA24" s="357">
        <f t="shared" si="55"/>
        <v>0.2</v>
      </c>
      <c r="AB24" s="357">
        <f t="shared" si="55"/>
        <v>0</v>
      </c>
      <c r="AC24" s="357">
        <f t="shared" si="55"/>
        <v>0</v>
      </c>
      <c r="AD24" s="357">
        <f t="shared" ref="AD24:AE24" si="56">AD41+AD42</f>
        <v>0</v>
      </c>
      <c r="AE24" s="357">
        <f t="shared" si="56"/>
        <v>0</v>
      </c>
      <c r="AF24" s="357">
        <f t="shared" ref="AF24:AG24" si="57">AF41+AF42</f>
        <v>0</v>
      </c>
      <c r="AG24" s="357">
        <f t="shared" si="57"/>
        <v>0</v>
      </c>
      <c r="AH24" s="357">
        <f t="shared" ref="AH24:AJ24" si="58">AH41+AH42</f>
        <v>0</v>
      </c>
      <c r="AI24" s="357">
        <f t="shared" si="58"/>
        <v>0</v>
      </c>
      <c r="AJ24" s="357">
        <f t="shared" si="58"/>
        <v>0</v>
      </c>
      <c r="AK24" s="357">
        <f t="shared" ref="AK24:AN24" si="59">AK41+AK42</f>
        <v>0</v>
      </c>
      <c r="AL24" s="357">
        <f t="shared" si="59"/>
        <v>0</v>
      </c>
      <c r="AM24" s="357">
        <f t="shared" si="59"/>
        <v>0</v>
      </c>
      <c r="AN24" s="357">
        <f t="shared" si="59"/>
        <v>0</v>
      </c>
    </row>
    <row r="25" spans="2:40" x14ac:dyDescent="0.35">
      <c r="B25" s="535" t="s">
        <v>415</v>
      </c>
      <c r="C25" s="36"/>
      <c r="D25" s="371"/>
      <c r="E25" s="36"/>
      <c r="F25" s="37"/>
      <c r="G25" s="37"/>
      <c r="H25" s="245"/>
      <c r="I25" s="245"/>
      <c r="J25" s="245"/>
      <c r="K25" s="245"/>
      <c r="L25" s="245"/>
      <c r="M25" s="245"/>
      <c r="N25" s="37"/>
      <c r="O25" s="37">
        <f>O34</f>
        <v>12</v>
      </c>
      <c r="P25" s="37">
        <v>25</v>
      </c>
      <c r="Q25" s="37">
        <v>5</v>
      </c>
      <c r="R25" s="37">
        <v>5</v>
      </c>
      <c r="S25" s="37">
        <v>5</v>
      </c>
      <c r="T25" s="37">
        <f t="shared" ref="T25:AC25" si="60">T34</f>
        <v>0</v>
      </c>
      <c r="U25" s="37">
        <f t="shared" si="60"/>
        <v>0</v>
      </c>
      <c r="V25" s="37">
        <f t="shared" si="60"/>
        <v>0</v>
      </c>
      <c r="W25" s="411">
        <f t="shared" si="60"/>
        <v>0</v>
      </c>
      <c r="X25" s="37">
        <f t="shared" si="60"/>
        <v>0</v>
      </c>
      <c r="Y25" s="357">
        <f t="shared" si="60"/>
        <v>0</v>
      </c>
      <c r="Z25" s="357">
        <f t="shared" si="60"/>
        <v>0</v>
      </c>
      <c r="AA25" s="357">
        <f t="shared" si="60"/>
        <v>0</v>
      </c>
      <c r="AB25" s="357">
        <f t="shared" si="60"/>
        <v>0</v>
      </c>
      <c r="AC25" s="357">
        <f t="shared" si="60"/>
        <v>0</v>
      </c>
      <c r="AD25" s="357">
        <f t="shared" ref="AD25:AE25" si="61">AD34</f>
        <v>0</v>
      </c>
      <c r="AE25" s="357">
        <f t="shared" si="61"/>
        <v>0</v>
      </c>
      <c r="AF25" s="357">
        <f t="shared" ref="AF25:AG25" si="62">AF34</f>
        <v>0</v>
      </c>
      <c r="AG25" s="357">
        <f t="shared" si="62"/>
        <v>0</v>
      </c>
      <c r="AH25" s="357">
        <f t="shared" ref="AH25:AJ25" si="63">AH34</f>
        <v>0</v>
      </c>
      <c r="AI25" s="357">
        <f t="shared" si="63"/>
        <v>0</v>
      </c>
      <c r="AJ25" s="357">
        <f t="shared" si="63"/>
        <v>0</v>
      </c>
      <c r="AK25" s="357">
        <f t="shared" ref="AK25:AN25" si="64">AK34</f>
        <v>0</v>
      </c>
      <c r="AL25" s="357">
        <f t="shared" si="64"/>
        <v>0</v>
      </c>
      <c r="AM25" s="357">
        <f t="shared" si="64"/>
        <v>0</v>
      </c>
      <c r="AN25" s="357">
        <f t="shared" si="64"/>
        <v>0</v>
      </c>
    </row>
    <row r="26" spans="2:40" x14ac:dyDescent="0.35">
      <c r="B26" s="535" t="s">
        <v>1371</v>
      </c>
      <c r="C26" s="36"/>
      <c r="D26" s="371"/>
      <c r="E26" s="36"/>
      <c r="F26" s="37"/>
      <c r="G26" s="37"/>
      <c r="H26" s="245"/>
      <c r="I26" s="245"/>
      <c r="J26" s="245"/>
      <c r="K26" s="245"/>
      <c r="L26" s="245"/>
      <c r="M26" s="245"/>
      <c r="N26" s="37"/>
      <c r="O26" s="37"/>
      <c r="P26" s="37"/>
      <c r="Q26" s="37"/>
      <c r="R26" s="37"/>
      <c r="S26" s="517">
        <f>'IRA and CHIPS'!E198</f>
        <v>0</v>
      </c>
      <c r="T26" s="517">
        <f>'IRA and CHIPS'!F198</f>
        <v>2.3250000000000002</v>
      </c>
      <c r="U26" s="517">
        <f>'IRA and CHIPS'!G198</f>
        <v>2.3250000000000002</v>
      </c>
      <c r="V26" s="517">
        <f>'IRA and CHIPS'!H198</f>
        <v>2.3250000000000002</v>
      </c>
      <c r="W26" s="513">
        <f>'IRA and CHIPS'!I198</f>
        <v>2.3250000000000002</v>
      </c>
      <c r="X26" s="517">
        <f>'IRA and CHIPS'!J198</f>
        <v>5.5830000000000002</v>
      </c>
      <c r="Y26" s="527">
        <f>'IRA and CHIPS'!K198</f>
        <v>5.5830000000000002</v>
      </c>
      <c r="Z26" s="527">
        <f>'IRA and CHIPS'!L198</f>
        <v>5.5830000000000002</v>
      </c>
      <c r="AA26" s="527">
        <f>'IRA and CHIPS'!M198</f>
        <v>5.5830000000000002</v>
      </c>
      <c r="AB26" s="527">
        <f>'IRA and CHIPS'!N198</f>
        <v>8.0220000000000002</v>
      </c>
      <c r="AC26" s="527">
        <f>'IRA and CHIPS'!O198</f>
        <v>8.0220000000000002</v>
      </c>
      <c r="AD26" s="527">
        <f>'IRA and CHIPS'!P198</f>
        <v>0</v>
      </c>
      <c r="AE26" s="527">
        <f>'IRA and CHIPS'!Q198</f>
        <v>0</v>
      </c>
      <c r="AF26" s="527">
        <f>'IRA and CHIPS'!R198</f>
        <v>0</v>
      </c>
      <c r="AG26" s="527">
        <f>'IRA and CHIPS'!S198</f>
        <v>0</v>
      </c>
      <c r="AH26" s="527">
        <f>'IRA and CHIPS'!T198</f>
        <v>0</v>
      </c>
      <c r="AI26" s="527">
        <f>'IRA and CHIPS'!U198</f>
        <v>0</v>
      </c>
      <c r="AJ26" s="527">
        <f>'IRA and CHIPS'!V198</f>
        <v>0</v>
      </c>
      <c r="AK26" s="527">
        <f>'IRA and CHIPS'!W198</f>
        <v>0</v>
      </c>
      <c r="AL26" s="527">
        <f>'IRA and CHIPS'!X198</f>
        <v>0</v>
      </c>
      <c r="AM26" s="527">
        <f>'IRA and CHIPS'!Y198</f>
        <v>0</v>
      </c>
      <c r="AN26" s="527">
        <f>'IRA and CHIPS'!Z198</f>
        <v>0</v>
      </c>
    </row>
    <row r="27" spans="2:40" x14ac:dyDescent="0.35">
      <c r="B27" s="535" t="s">
        <v>1179</v>
      </c>
      <c r="C27" s="399"/>
      <c r="D27" s="397"/>
      <c r="E27" s="399"/>
      <c r="F27" s="404"/>
      <c r="G27" s="404"/>
      <c r="H27" s="508"/>
      <c r="I27" s="508"/>
      <c r="J27" s="508"/>
      <c r="K27" s="508"/>
      <c r="L27" s="508"/>
      <c r="M27" s="508"/>
      <c r="N27" s="404"/>
      <c r="O27" s="404"/>
      <c r="P27" s="404"/>
      <c r="Q27" s="404"/>
      <c r="R27" s="404"/>
      <c r="S27" s="518">
        <f>'IRA and CHIPS'!E187</f>
        <v>0</v>
      </c>
      <c r="T27" s="518">
        <f>'IRA and CHIPS'!F187</f>
        <v>1.2969999999999999</v>
      </c>
      <c r="U27" s="518">
        <f>'IRA and CHIPS'!G187</f>
        <v>1.2969999999999999</v>
      </c>
      <c r="V27" s="518">
        <f>'IRA and CHIPS'!H187</f>
        <v>1.2969999999999999</v>
      </c>
      <c r="W27" s="514">
        <f>'IRA and CHIPS'!I187</f>
        <v>1.2969999999999999</v>
      </c>
      <c r="X27" s="518">
        <f>'IRA and CHIPS'!J187</f>
        <v>3.8479999999999999</v>
      </c>
      <c r="Y27" s="536">
        <f>'IRA and CHIPS'!K187</f>
        <v>3.8479999999999999</v>
      </c>
      <c r="Z27" s="536">
        <f>'IRA and CHIPS'!L187</f>
        <v>3.8479999999999999</v>
      </c>
      <c r="AA27" s="536">
        <f>'IRA and CHIPS'!M187</f>
        <v>3.8479999999999999</v>
      </c>
      <c r="AB27" s="536">
        <f>'IRA and CHIPS'!N187</f>
        <v>6.4420000000000002</v>
      </c>
      <c r="AC27" s="536">
        <f>'IRA and CHIPS'!O187</f>
        <v>6.4420000000000002</v>
      </c>
      <c r="AD27" s="536">
        <f>'IRA and CHIPS'!P187</f>
        <v>6.4420000000000002</v>
      </c>
      <c r="AE27" s="536">
        <f>'IRA and CHIPS'!Q187</f>
        <v>6.4420000000000002</v>
      </c>
      <c r="AF27" s="536">
        <f>'IRA and CHIPS'!R187</f>
        <v>9.532</v>
      </c>
      <c r="AG27" s="536">
        <f>'IRA and CHIPS'!S187</f>
        <v>9.532</v>
      </c>
      <c r="AH27" s="536">
        <f>AG27</f>
        <v>9.532</v>
      </c>
      <c r="AI27" s="536">
        <f t="shared" ref="AI27:AJ27" si="65">AH27</f>
        <v>9.532</v>
      </c>
      <c r="AJ27" s="536">
        <f t="shared" si="65"/>
        <v>9.532</v>
      </c>
      <c r="AK27" s="536">
        <f t="shared" ref="AK27" si="66">AJ27</f>
        <v>9.532</v>
      </c>
      <c r="AL27" s="536">
        <f t="shared" ref="AL27" si="67">AK27</f>
        <v>9.532</v>
      </c>
      <c r="AM27" s="536">
        <f t="shared" ref="AM27" si="68">AL27</f>
        <v>9.532</v>
      </c>
      <c r="AN27" s="536">
        <f t="shared" ref="AN27" si="69">AM27</f>
        <v>9.532</v>
      </c>
    </row>
    <row r="28" spans="2:40" ht="15" customHeight="1" x14ac:dyDescent="0.35">
      <c r="B28" s="1380" t="s">
        <v>416</v>
      </c>
      <c r="C28" s="1381"/>
      <c r="D28" s="537"/>
      <c r="E28" s="511"/>
      <c r="F28" s="511"/>
      <c r="G28" s="511"/>
      <c r="H28" s="37"/>
      <c r="I28" s="37"/>
      <c r="J28" s="37"/>
      <c r="K28" s="37"/>
      <c r="L28" s="37"/>
      <c r="M28" s="37"/>
      <c r="N28" s="37"/>
      <c r="O28" s="37"/>
      <c r="P28" s="440"/>
      <c r="Q28" s="37"/>
      <c r="R28" s="37"/>
      <c r="S28" s="37"/>
      <c r="T28" s="37"/>
      <c r="U28" s="37"/>
      <c r="V28" s="516"/>
      <c r="W28" s="516"/>
      <c r="X28" s="516"/>
      <c r="Y28" s="520"/>
      <c r="Z28" s="520"/>
      <c r="AA28" s="520"/>
      <c r="AB28" s="520"/>
      <c r="AC28" s="520"/>
      <c r="AD28" s="229"/>
      <c r="AE28" s="528"/>
      <c r="AF28" s="528"/>
      <c r="AG28" s="229"/>
      <c r="AH28" s="229"/>
      <c r="AI28" s="229"/>
      <c r="AJ28" s="229"/>
      <c r="AK28" s="229"/>
      <c r="AL28" s="229"/>
      <c r="AM28" s="229"/>
      <c r="AN28" s="229"/>
    </row>
    <row r="29" spans="2:40" x14ac:dyDescent="0.35">
      <c r="B29" s="431" t="s">
        <v>417</v>
      </c>
      <c r="C29" s="284"/>
      <c r="D29" s="494"/>
      <c r="E29" s="284"/>
      <c r="F29" s="245"/>
      <c r="G29" s="245"/>
      <c r="H29" s="37"/>
      <c r="I29" s="37"/>
      <c r="J29" s="37"/>
      <c r="K29" s="37"/>
      <c r="L29" s="37"/>
      <c r="M29" s="37"/>
      <c r="N29" s="37">
        <f>SUM(N30:N34)</f>
        <v>23</v>
      </c>
      <c r="O29" s="37">
        <f>SUM(O30:O34)</f>
        <v>162</v>
      </c>
      <c r="P29" s="37"/>
      <c r="Q29" s="37"/>
      <c r="R29" s="37"/>
      <c r="S29" s="37"/>
      <c r="T29" s="37"/>
      <c r="U29" s="37"/>
      <c r="V29" s="56"/>
      <c r="W29" s="56"/>
      <c r="X29" s="56"/>
      <c r="Y29" s="229"/>
      <c r="Z29" s="229"/>
      <c r="AA29" s="229"/>
      <c r="AB29" s="229"/>
      <c r="AC29" s="229"/>
      <c r="AD29" s="229"/>
      <c r="AE29" s="528"/>
      <c r="AF29" s="528"/>
      <c r="AG29" s="229"/>
      <c r="AH29" s="229"/>
      <c r="AI29" s="229"/>
      <c r="AJ29" s="229"/>
      <c r="AK29" s="229"/>
      <c r="AL29" s="229"/>
      <c r="AM29" s="229"/>
      <c r="AN29" s="229"/>
    </row>
    <row r="30" spans="2:40" x14ac:dyDescent="0.35">
      <c r="B30" s="374" t="s">
        <v>418</v>
      </c>
      <c r="C30" s="284"/>
      <c r="D30" s="494"/>
      <c r="E30" s="284"/>
      <c r="F30" s="245"/>
      <c r="G30" s="245"/>
      <c r="H30" s="37"/>
      <c r="I30" s="37"/>
      <c r="J30" s="37"/>
      <c r="K30" s="37"/>
      <c r="L30" s="541"/>
      <c r="M30" s="37"/>
      <c r="N30" s="37">
        <f>(4*'Response and Relief Act Score'!$F$15-$M$18)/2</f>
        <v>11</v>
      </c>
      <c r="O30" s="37">
        <f>(4*'Response and Relief Act Score'!$F$15-$M$18)/2</f>
        <v>11</v>
      </c>
      <c r="P30" s="37"/>
      <c r="Q30" s="37"/>
      <c r="R30" s="37"/>
      <c r="S30" s="37"/>
      <c r="T30" s="37"/>
      <c r="U30" s="37"/>
      <c r="V30" s="56"/>
      <c r="W30" s="56"/>
      <c r="X30" s="56"/>
      <c r="Y30" s="229"/>
      <c r="Z30" s="229"/>
      <c r="AA30" s="229"/>
      <c r="AB30" s="229"/>
      <c r="AC30" s="229"/>
      <c r="AD30" s="229"/>
      <c r="AE30" s="528"/>
      <c r="AF30" s="528"/>
      <c r="AG30" s="229"/>
      <c r="AH30" s="229"/>
      <c r="AI30" s="229"/>
      <c r="AJ30" s="229"/>
      <c r="AK30" s="229"/>
      <c r="AL30" s="229"/>
      <c r="AM30" s="229"/>
      <c r="AN30" s="229"/>
    </row>
    <row r="31" spans="2:40" x14ac:dyDescent="0.35">
      <c r="B31" s="374" t="s">
        <v>415</v>
      </c>
      <c r="C31" s="284"/>
      <c r="D31" s="494"/>
      <c r="E31" s="284"/>
      <c r="F31" s="245"/>
      <c r="G31" s="245"/>
      <c r="H31" s="37"/>
      <c r="I31" s="37"/>
      <c r="J31" s="37"/>
      <c r="K31" s="37"/>
      <c r="L31" s="541"/>
      <c r="M31" s="37"/>
      <c r="N31" s="37"/>
      <c r="O31" s="37"/>
      <c r="P31" s="37"/>
      <c r="Q31" s="37"/>
      <c r="R31" s="37"/>
      <c r="S31" s="37"/>
      <c r="T31" s="37"/>
      <c r="U31" s="37"/>
      <c r="V31" s="56"/>
      <c r="W31" s="56"/>
      <c r="X31" s="56"/>
      <c r="Y31" s="229"/>
      <c r="Z31" s="229"/>
      <c r="AA31" s="229"/>
      <c r="AB31" s="229"/>
      <c r="AC31" s="229"/>
      <c r="AD31" s="229"/>
      <c r="AE31" s="528"/>
      <c r="AF31" s="528"/>
      <c r="AG31" s="229"/>
      <c r="AH31" s="229"/>
      <c r="AI31" s="229"/>
      <c r="AJ31" s="229"/>
      <c r="AK31" s="229"/>
      <c r="AL31" s="229"/>
      <c r="AM31" s="229"/>
      <c r="AN31" s="229"/>
    </row>
    <row r="32" spans="2:40" x14ac:dyDescent="0.35">
      <c r="B32" s="554" t="s">
        <v>412</v>
      </c>
      <c r="C32" s="284"/>
      <c r="D32" s="494"/>
      <c r="E32" s="284"/>
      <c r="F32" s="245"/>
      <c r="G32" s="245"/>
      <c r="H32" s="37"/>
      <c r="I32" s="37"/>
      <c r="J32" s="37"/>
      <c r="K32" s="37"/>
      <c r="L32" s="37"/>
      <c r="M32" s="37"/>
      <c r="N32" s="37"/>
      <c r="O32" s="37">
        <v>79</v>
      </c>
      <c r="P32" s="37"/>
      <c r="Q32" s="411"/>
      <c r="R32" s="411"/>
      <c r="S32" s="411"/>
      <c r="T32" s="411"/>
      <c r="U32" s="411"/>
      <c r="V32" s="56"/>
      <c r="W32" s="56"/>
      <c r="X32" s="56"/>
      <c r="Y32" s="229"/>
      <c r="Z32" s="229"/>
      <c r="AA32" s="229"/>
      <c r="AB32" s="229"/>
      <c r="AC32" s="229"/>
      <c r="AD32" s="229"/>
      <c r="AE32" s="528"/>
      <c r="AF32" s="528"/>
      <c r="AG32" s="229"/>
      <c r="AH32" s="229"/>
      <c r="AI32" s="229"/>
      <c r="AJ32" s="229"/>
      <c r="AK32" s="229"/>
      <c r="AL32" s="229"/>
      <c r="AM32" s="229"/>
      <c r="AN32" s="229"/>
    </row>
    <row r="33" spans="1:79" x14ac:dyDescent="0.35">
      <c r="B33" s="555" t="s">
        <v>419</v>
      </c>
      <c r="C33" s="284"/>
      <c r="D33" s="494"/>
      <c r="E33" s="284"/>
      <c r="F33" s="245"/>
      <c r="G33" s="245"/>
      <c r="H33" s="37"/>
      <c r="I33" s="37"/>
      <c r="J33" s="37"/>
      <c r="K33" s="37"/>
      <c r="L33" s="37"/>
      <c r="M33" s="37"/>
      <c r="N33" s="37"/>
      <c r="O33" s="37">
        <f>'Response and Relief Act Score'!F13*4</f>
        <v>60</v>
      </c>
      <c r="P33" s="37"/>
      <c r="Q33" s="411"/>
      <c r="R33" s="411"/>
      <c r="S33" s="411"/>
      <c r="T33" s="411"/>
      <c r="U33" s="411"/>
      <c r="V33" s="56"/>
      <c r="W33" s="56"/>
      <c r="X33" s="56"/>
      <c r="Y33" s="229"/>
      <c r="Z33" s="229"/>
      <c r="AA33" s="229"/>
      <c r="AB33" s="229"/>
      <c r="AC33" s="229"/>
      <c r="AD33" s="229"/>
      <c r="AE33" s="528"/>
      <c r="AF33" s="528"/>
      <c r="AG33" s="229"/>
      <c r="AH33" s="229"/>
      <c r="AI33" s="229"/>
      <c r="AJ33" s="229"/>
      <c r="AK33" s="229"/>
      <c r="AL33" s="229"/>
      <c r="AM33" s="229"/>
      <c r="AN33" s="229"/>
    </row>
    <row r="34" spans="1:79" ht="27.65" customHeight="1" x14ac:dyDescent="0.35">
      <c r="B34" s="555" t="s">
        <v>420</v>
      </c>
      <c r="C34" s="284"/>
      <c r="D34" s="539"/>
      <c r="E34" s="540"/>
      <c r="F34" s="508"/>
      <c r="G34" s="508"/>
      <c r="H34" s="404"/>
      <c r="I34" s="404"/>
      <c r="J34" s="404"/>
      <c r="K34" s="404"/>
      <c r="L34" s="545"/>
      <c r="M34" s="404"/>
      <c r="N34" s="404">
        <f>'Response and Relief Act Score'!F14*4/2</f>
        <v>12</v>
      </c>
      <c r="O34" s="404">
        <f>'Response and Relief Act Score'!F14*4/2</f>
        <v>12</v>
      </c>
      <c r="P34" s="404"/>
      <c r="Q34" s="404"/>
      <c r="R34" s="404"/>
      <c r="S34" s="404"/>
      <c r="T34" s="404"/>
      <c r="U34" s="37"/>
      <c r="V34" s="56"/>
      <c r="W34" s="56"/>
      <c r="X34" s="56"/>
      <c r="Y34" s="229"/>
      <c r="Z34" s="229"/>
      <c r="AA34" s="229"/>
      <c r="AB34" s="229"/>
      <c r="AC34" s="229"/>
      <c r="AD34" s="229"/>
      <c r="AE34" s="528"/>
      <c r="AF34" s="528"/>
      <c r="AG34" s="229"/>
      <c r="AH34" s="229"/>
      <c r="AI34" s="229"/>
      <c r="AJ34" s="229"/>
      <c r="AK34" s="229"/>
      <c r="AL34" s="229"/>
      <c r="AM34" s="229"/>
      <c r="AN34" s="229"/>
    </row>
    <row r="35" spans="1:79" ht="15" customHeight="1" x14ac:dyDescent="0.35">
      <c r="B35" s="1378" t="s">
        <v>421</v>
      </c>
      <c r="C35" s="1379"/>
      <c r="D35" s="494"/>
      <c r="E35" s="284"/>
      <c r="F35" s="245"/>
      <c r="G35" s="245"/>
      <c r="H35" s="37"/>
      <c r="I35" s="37"/>
      <c r="J35" s="37"/>
      <c r="K35" s="37"/>
      <c r="L35" s="541"/>
      <c r="M35" s="37"/>
      <c r="N35" s="37"/>
      <c r="O35" s="37"/>
      <c r="P35" s="37"/>
      <c r="Q35" s="37"/>
      <c r="R35" s="37"/>
      <c r="S35" s="37"/>
      <c r="T35" s="512"/>
      <c r="U35" s="522"/>
      <c r="V35" s="516"/>
      <c r="W35" s="516"/>
      <c r="X35" s="516"/>
      <c r="Y35" s="520"/>
      <c r="Z35" s="520"/>
      <c r="AA35" s="520"/>
      <c r="AB35" s="520"/>
      <c r="AC35" s="520"/>
      <c r="AD35" s="229"/>
      <c r="AE35" s="528"/>
      <c r="AF35" s="528"/>
      <c r="AG35" s="229"/>
      <c r="AH35" s="229"/>
      <c r="AI35" s="229"/>
      <c r="AJ35" s="229"/>
      <c r="AK35" s="229"/>
      <c r="AL35" s="229"/>
      <c r="AM35" s="229"/>
      <c r="AN35" s="229"/>
    </row>
    <row r="36" spans="1:79" ht="13.5" customHeight="1" x14ac:dyDescent="0.35">
      <c r="B36" s="555" t="s">
        <v>143</v>
      </c>
      <c r="C36" s="284"/>
      <c r="D36" s="494"/>
      <c r="E36" s="284"/>
      <c r="F36" s="245"/>
      <c r="G36" s="245"/>
      <c r="H36" s="37"/>
      <c r="I36" s="37"/>
      <c r="J36" s="37"/>
      <c r="K36" s="37"/>
      <c r="L36" s="541"/>
      <c r="M36" s="37">
        <f>'ARP Quarterly'!C18</f>
        <v>0</v>
      </c>
      <c r="N36" s="37">
        <f>'ARP Quarterly'!D18</f>
        <v>2.2132800000000001</v>
      </c>
      <c r="O36" s="37">
        <f>'ARP Quarterly'!E18</f>
        <v>10.082720000000002</v>
      </c>
      <c r="P36" s="37">
        <f>'ARP Quarterly'!F18</f>
        <v>7.1439999999999992</v>
      </c>
      <c r="Q36" s="37">
        <f>'ARP Quarterly'!G18</f>
        <v>7.1439999999999992</v>
      </c>
      <c r="R36" s="37">
        <f>'ARP Quarterly'!H18</f>
        <v>7.1439999999999992</v>
      </c>
      <c r="S36" s="37">
        <f>'ARP Quarterly'!I18</f>
        <v>7.1439999999999992</v>
      </c>
      <c r="T36" s="37">
        <f>'ARP Quarterly'!J18</f>
        <v>0</v>
      </c>
      <c r="U36" s="37">
        <f>'ARP Quarterly'!K18</f>
        <v>0</v>
      </c>
      <c r="V36" s="37">
        <f>'ARP Quarterly'!L18</f>
        <v>0</v>
      </c>
      <c r="W36" s="37">
        <f>'ARP Quarterly'!M18</f>
        <v>0</v>
      </c>
      <c r="X36" s="37">
        <f>'ARP Quarterly'!N18</f>
        <v>0</v>
      </c>
      <c r="Y36" s="357">
        <f>'ARP Quarterly'!O18</f>
        <v>0</v>
      </c>
      <c r="Z36" s="357">
        <f>'ARP Quarterly'!P18</f>
        <v>0</v>
      </c>
      <c r="AA36" s="357">
        <f>'ARP Quarterly'!Q18</f>
        <v>0</v>
      </c>
      <c r="AB36" s="357">
        <f>'ARP Quarterly'!R18</f>
        <v>0</v>
      </c>
      <c r="AC36" s="357">
        <f>'ARP Quarterly'!S18</f>
        <v>0</v>
      </c>
      <c r="AD36" s="229"/>
      <c r="AE36" s="528"/>
      <c r="AF36" s="528"/>
      <c r="AG36" s="229"/>
      <c r="AH36" s="229"/>
      <c r="AI36" s="229"/>
      <c r="AJ36" s="229"/>
      <c r="AK36" s="229"/>
      <c r="AL36" s="229"/>
      <c r="AM36" s="229"/>
      <c r="AN36" s="229"/>
    </row>
    <row r="37" spans="1:79" x14ac:dyDescent="0.35">
      <c r="B37" s="555" t="s">
        <v>422</v>
      </c>
      <c r="C37" s="284"/>
      <c r="D37" s="494"/>
      <c r="E37" s="284"/>
      <c r="F37" s="245"/>
      <c r="G37" s="245"/>
      <c r="H37" s="37"/>
      <c r="I37" s="37"/>
      <c r="J37" s="37"/>
      <c r="K37" s="37"/>
      <c r="L37" s="541"/>
      <c r="M37" s="37">
        <f>'ARP Quarterly'!C19</f>
        <v>0</v>
      </c>
      <c r="N37" s="37">
        <f>'ARP Quarterly'!D19</f>
        <v>15.128640000000001</v>
      </c>
      <c r="O37" s="37">
        <f>'ARP Quarterly'!E19</f>
        <v>68.919360000000012</v>
      </c>
      <c r="P37" s="37">
        <f>'ARP Quarterly'!F19</f>
        <v>5.6120000000000001</v>
      </c>
      <c r="Q37" s="37">
        <f>'ARP Quarterly'!G19</f>
        <v>5.6120000000000001</v>
      </c>
      <c r="R37" s="37">
        <f>'ARP Quarterly'!H19</f>
        <v>5.6120000000000001</v>
      </c>
      <c r="S37" s="37">
        <f>'ARP Quarterly'!I19</f>
        <v>5.6120000000000001</v>
      </c>
      <c r="T37" s="37">
        <f>'ARP Quarterly'!J19</f>
        <v>0.48599999999999993</v>
      </c>
      <c r="U37" s="37">
        <f>'ARP Quarterly'!K19</f>
        <v>0.48599999999999993</v>
      </c>
      <c r="V37" s="37">
        <f>'ARP Quarterly'!L19</f>
        <v>0.48599999999999993</v>
      </c>
      <c r="W37" s="37">
        <f>'ARP Quarterly'!M19</f>
        <v>0.48599999999999993</v>
      </c>
      <c r="X37" s="37">
        <f>'ARP Quarterly'!N19</f>
        <v>0</v>
      </c>
      <c r="Y37" s="357">
        <f>'ARP Quarterly'!O19</f>
        <v>0</v>
      </c>
      <c r="Z37" s="357">
        <f>'ARP Quarterly'!P19</f>
        <v>0</v>
      </c>
      <c r="AA37" s="357">
        <f>'ARP Quarterly'!Q19</f>
        <v>0</v>
      </c>
      <c r="AB37" s="357">
        <f>'ARP Quarterly'!R19</f>
        <v>0</v>
      </c>
      <c r="AC37" s="357">
        <f>'ARP Quarterly'!S19</f>
        <v>0</v>
      </c>
      <c r="AD37" s="229"/>
      <c r="AE37" s="528"/>
      <c r="AF37" s="528"/>
      <c r="AG37" s="229"/>
      <c r="AH37" s="229"/>
      <c r="AI37" s="229"/>
      <c r="AJ37" s="229"/>
      <c r="AK37" s="229"/>
      <c r="AL37" s="229"/>
      <c r="AM37" s="229"/>
      <c r="AN37" s="229"/>
    </row>
    <row r="38" spans="1:79" x14ac:dyDescent="0.35">
      <c r="B38" s="555" t="s">
        <v>148</v>
      </c>
      <c r="C38" s="284"/>
      <c r="D38" s="494"/>
      <c r="E38" s="284"/>
      <c r="F38" s="245"/>
      <c r="G38" s="245"/>
      <c r="H38" s="37"/>
      <c r="I38" s="37"/>
      <c r="J38" s="37"/>
      <c r="K38" s="37"/>
      <c r="L38" s="541"/>
      <c r="M38" s="37">
        <f>'ARP Quarterly'!C20</f>
        <v>0</v>
      </c>
      <c r="N38" s="37">
        <f>'ARP Quarterly'!D20</f>
        <v>3.2479199999999997</v>
      </c>
      <c r="O38" s="37">
        <f>'ARP Quarterly'!E20</f>
        <v>14.796080000000002</v>
      </c>
      <c r="P38" s="37">
        <f>'ARP Quarterly'!F20</f>
        <v>1.7329999999999999</v>
      </c>
      <c r="Q38" s="37">
        <f>'ARP Quarterly'!G20</f>
        <v>1.7329999999999999</v>
      </c>
      <c r="R38" s="37">
        <f>'ARP Quarterly'!H20</f>
        <v>1.7329999999999999</v>
      </c>
      <c r="S38" s="37">
        <f>'ARP Quarterly'!I20</f>
        <v>1.7329999999999999</v>
      </c>
      <c r="T38" s="37">
        <f>'ARP Quarterly'!J20</f>
        <v>0</v>
      </c>
      <c r="U38" s="37">
        <f>'ARP Quarterly'!K20</f>
        <v>0</v>
      </c>
      <c r="V38" s="37">
        <f>'ARP Quarterly'!L20</f>
        <v>0</v>
      </c>
      <c r="W38" s="37">
        <f>'ARP Quarterly'!M20</f>
        <v>0</v>
      </c>
      <c r="X38" s="37">
        <f>'ARP Quarterly'!N20</f>
        <v>0</v>
      </c>
      <c r="Y38" s="357">
        <f>'ARP Quarterly'!O20</f>
        <v>0</v>
      </c>
      <c r="Z38" s="357">
        <f>'ARP Quarterly'!P20</f>
        <v>0</v>
      </c>
      <c r="AA38" s="357">
        <f>'ARP Quarterly'!Q20</f>
        <v>0</v>
      </c>
      <c r="AB38" s="357">
        <f>'ARP Quarterly'!R20</f>
        <v>0</v>
      </c>
      <c r="AC38" s="357">
        <f>'ARP Quarterly'!S20</f>
        <v>0</v>
      </c>
      <c r="AD38" s="229"/>
      <c r="AE38" s="528"/>
      <c r="AF38" s="528"/>
      <c r="AG38" s="229"/>
      <c r="AH38" s="229"/>
      <c r="AI38" s="229"/>
      <c r="AJ38" s="229"/>
      <c r="AK38" s="229"/>
      <c r="AL38" s="229"/>
      <c r="AM38" s="229"/>
      <c r="AN38" s="229"/>
    </row>
    <row r="39" spans="1:79" x14ac:dyDescent="0.35">
      <c r="B39" s="555" t="s">
        <v>412</v>
      </c>
      <c r="C39" s="284"/>
      <c r="D39" s="494"/>
      <c r="E39" s="284"/>
      <c r="F39" s="245"/>
      <c r="G39" s="245"/>
      <c r="H39" s="37"/>
      <c r="I39" s="37"/>
      <c r="J39" s="37"/>
      <c r="K39" s="37"/>
      <c r="L39" s="541"/>
      <c r="M39" s="37">
        <f>'ARP Quarterly'!C21</f>
        <v>0</v>
      </c>
      <c r="N39" s="37">
        <f>'ARP Quarterly'!D21</f>
        <v>13.2921</v>
      </c>
      <c r="O39" s="37">
        <f>'ARP Quarterly'!E21</f>
        <v>60.552900000000008</v>
      </c>
      <c r="P39" s="37">
        <f>'ARP Quarterly'!F21</f>
        <v>1.0687500000000001</v>
      </c>
      <c r="Q39" s="37">
        <f>'ARP Quarterly'!G21</f>
        <v>1.0687500000000001</v>
      </c>
      <c r="R39" s="37">
        <f>'ARP Quarterly'!H21</f>
        <v>1.0687500000000001</v>
      </c>
      <c r="S39" s="37">
        <f>'ARP Quarterly'!I21</f>
        <v>1.0687500000000001</v>
      </c>
      <c r="T39" s="37">
        <f>'ARP Quarterly'!J21</f>
        <v>0.78750000000000009</v>
      </c>
      <c r="U39" s="37">
        <f>'ARP Quarterly'!K21</f>
        <v>0.78750000000000009</v>
      </c>
      <c r="V39" s="37">
        <f>'ARP Quarterly'!L21</f>
        <v>0.78750000000000009</v>
      </c>
      <c r="W39" s="37">
        <f>'ARP Quarterly'!M21</f>
        <v>0.78750000000000009</v>
      </c>
      <c r="X39" s="37">
        <f>'ARP Quarterly'!N21</f>
        <v>0</v>
      </c>
      <c r="Y39" s="357">
        <f>'ARP Quarterly'!O21</f>
        <v>0</v>
      </c>
      <c r="Z39" s="357">
        <f>'ARP Quarterly'!P21</f>
        <v>0</v>
      </c>
      <c r="AA39" s="357">
        <f>'ARP Quarterly'!Q21</f>
        <v>0</v>
      </c>
      <c r="AB39" s="357">
        <f>'ARP Quarterly'!R21</f>
        <v>0</v>
      </c>
      <c r="AC39" s="357">
        <f>'ARP Quarterly'!S21</f>
        <v>0</v>
      </c>
      <c r="AD39" s="229"/>
      <c r="AE39" s="528"/>
      <c r="AF39" s="528"/>
      <c r="AG39" s="229"/>
      <c r="AH39" s="229"/>
      <c r="AI39" s="229"/>
      <c r="AJ39" s="229"/>
      <c r="AK39" s="229"/>
      <c r="AL39" s="229"/>
      <c r="AM39" s="229"/>
      <c r="AN39" s="229"/>
    </row>
    <row r="40" spans="1:79" ht="30" customHeight="1" x14ac:dyDescent="0.35">
      <c r="B40" s="555" t="s">
        <v>423</v>
      </c>
      <c r="C40" s="284"/>
      <c r="D40" s="494"/>
      <c r="E40" s="284"/>
      <c r="F40" s="245"/>
      <c r="G40" s="245"/>
      <c r="H40" s="37"/>
      <c r="I40" s="37"/>
      <c r="J40" s="37"/>
      <c r="K40" s="37"/>
      <c r="L40" s="541"/>
      <c r="M40" s="37">
        <f>'ARP Quarterly'!C22</f>
        <v>0</v>
      </c>
      <c r="N40" s="37">
        <f>'ARP Quarterly'!D22</f>
        <v>22.153499999999998</v>
      </c>
      <c r="O40" s="37">
        <f>'ARP Quarterly'!E22</f>
        <v>100.92150000000002</v>
      </c>
      <c r="P40" s="37">
        <f>'ARP Quarterly'!F22</f>
        <v>1.7812500000000002</v>
      </c>
      <c r="Q40" s="37">
        <f>'ARP Quarterly'!G22</f>
        <v>1.7812500000000002</v>
      </c>
      <c r="R40" s="37">
        <f>'ARP Quarterly'!H22</f>
        <v>1.7812500000000002</v>
      </c>
      <c r="S40" s="37">
        <f>'ARP Quarterly'!I22</f>
        <v>1.7812500000000002</v>
      </c>
      <c r="T40" s="37">
        <f>'ARP Quarterly'!J22</f>
        <v>1.3125000000000002</v>
      </c>
      <c r="U40" s="37">
        <f>'ARP Quarterly'!K22</f>
        <v>1.3125000000000002</v>
      </c>
      <c r="V40" s="37">
        <f>'ARP Quarterly'!L22</f>
        <v>1.3125000000000002</v>
      </c>
      <c r="W40" s="37">
        <f>'ARP Quarterly'!M22</f>
        <v>1.3125000000000002</v>
      </c>
      <c r="X40" s="37">
        <f>'ARP Quarterly'!N22</f>
        <v>0</v>
      </c>
      <c r="Y40" s="357">
        <f>'ARP Quarterly'!O22</f>
        <v>0</v>
      </c>
      <c r="Z40" s="357">
        <f>'ARP Quarterly'!P22</f>
        <v>0</v>
      </c>
      <c r="AA40" s="357">
        <f>'ARP Quarterly'!Q22</f>
        <v>0</v>
      </c>
      <c r="AB40" s="357">
        <f>'ARP Quarterly'!R22</f>
        <v>0</v>
      </c>
      <c r="AC40" s="357">
        <f>'ARP Quarterly'!S22</f>
        <v>0</v>
      </c>
      <c r="AD40" s="229"/>
      <c r="AE40" s="528"/>
      <c r="AF40" s="528"/>
      <c r="AG40" s="229"/>
      <c r="AH40" s="229"/>
      <c r="AI40" s="229"/>
      <c r="AJ40" s="229"/>
      <c r="AK40" s="229"/>
      <c r="AL40" s="229"/>
      <c r="AM40" s="229"/>
      <c r="AN40" s="229"/>
    </row>
    <row r="41" spans="1:79" x14ac:dyDescent="0.35">
      <c r="B41" s="555" t="s">
        <v>424</v>
      </c>
      <c r="C41" s="284"/>
      <c r="D41" s="494"/>
      <c r="E41" s="284"/>
      <c r="F41" s="245"/>
      <c r="G41" s="245"/>
      <c r="H41" s="37"/>
      <c r="I41" s="37"/>
      <c r="J41" s="37"/>
      <c r="K41" s="37"/>
      <c r="L41" s="541"/>
      <c r="M41" s="37">
        <f>'ARP Quarterly'!C23</f>
        <v>0</v>
      </c>
      <c r="N41" s="37">
        <f>'ARP Quarterly'!D23</f>
        <v>2.9519999999999995</v>
      </c>
      <c r="O41" s="37">
        <f>'ARP Quarterly'!E23</f>
        <v>13.448</v>
      </c>
      <c r="P41" s="37">
        <f>'ARP Quarterly'!F23</f>
        <v>11.3</v>
      </c>
      <c r="Q41" s="37">
        <f>'ARP Quarterly'!G23</f>
        <v>11.3</v>
      </c>
      <c r="R41" s="37">
        <f>'ARP Quarterly'!H23</f>
        <v>11.3</v>
      </c>
      <c r="S41" s="37">
        <f>'ARP Quarterly'!I23</f>
        <v>11.3</v>
      </c>
      <c r="T41" s="37">
        <f>'ARP Quarterly'!J23</f>
        <v>8.4</v>
      </c>
      <c r="U41" s="37">
        <f>'ARP Quarterly'!K23</f>
        <v>8.4</v>
      </c>
      <c r="V41" s="37">
        <f>'ARP Quarterly'!L23</f>
        <v>8.4</v>
      </c>
      <c r="W41" s="37">
        <f>'ARP Quarterly'!M23</f>
        <v>8.4</v>
      </c>
      <c r="X41" s="37">
        <f>'ARP Quarterly'!N23</f>
        <v>0.2</v>
      </c>
      <c r="Y41" s="357">
        <f>'ARP Quarterly'!O23</f>
        <v>0.2</v>
      </c>
      <c r="Z41" s="357">
        <f>'ARP Quarterly'!P23</f>
        <v>0.2</v>
      </c>
      <c r="AA41" s="357">
        <f>'ARP Quarterly'!Q23</f>
        <v>0.2</v>
      </c>
      <c r="AB41" s="357">
        <f>'ARP Quarterly'!R23</f>
        <v>0</v>
      </c>
      <c r="AC41" s="357">
        <f>'ARP Quarterly'!S23</f>
        <v>0</v>
      </c>
      <c r="AD41" s="229"/>
      <c r="AE41" s="528"/>
      <c r="AF41" s="528"/>
      <c r="AG41" s="229"/>
      <c r="AH41" s="229"/>
      <c r="AI41" s="229"/>
      <c r="AJ41" s="229"/>
      <c r="AK41" s="229"/>
      <c r="AL41" s="229"/>
      <c r="AM41" s="229"/>
      <c r="AN41" s="229"/>
    </row>
    <row r="42" spans="1:79" x14ac:dyDescent="0.35">
      <c r="B42" s="555" t="s">
        <v>425</v>
      </c>
      <c r="C42" s="284"/>
      <c r="D42" s="494"/>
      <c r="E42" s="284"/>
      <c r="F42" s="245"/>
      <c r="G42" s="245"/>
      <c r="H42" s="37"/>
      <c r="I42" s="37"/>
      <c r="J42" s="37"/>
      <c r="K42" s="37"/>
      <c r="L42" s="541"/>
      <c r="M42" s="37">
        <f>'ARP Quarterly'!C24</f>
        <v>0</v>
      </c>
      <c r="N42" s="37">
        <f>'ARP Quarterly'!D24</f>
        <v>-0.20447999999999997</v>
      </c>
      <c r="O42" s="37">
        <f>'ARP Quarterly'!E24</f>
        <v>-0.93152000000000001</v>
      </c>
      <c r="P42" s="37">
        <v>0</v>
      </c>
      <c r="Q42" s="37">
        <v>0</v>
      </c>
      <c r="R42" s="37">
        <v>0</v>
      </c>
      <c r="S42" s="37">
        <v>0</v>
      </c>
      <c r="T42" s="37">
        <v>0</v>
      </c>
      <c r="U42" s="37">
        <v>0</v>
      </c>
      <c r="V42" s="37">
        <v>0</v>
      </c>
      <c r="W42" s="37">
        <v>0</v>
      </c>
      <c r="X42" s="37">
        <v>0</v>
      </c>
      <c r="Y42" s="357">
        <v>0</v>
      </c>
      <c r="Z42" s="357">
        <v>0</v>
      </c>
      <c r="AA42" s="357">
        <v>0</v>
      </c>
      <c r="AB42" s="357">
        <v>0</v>
      </c>
      <c r="AC42" s="357">
        <v>0</v>
      </c>
      <c r="AD42" s="229"/>
      <c r="AE42" s="528"/>
      <c r="AF42" s="528"/>
      <c r="AG42" s="229"/>
      <c r="AH42" s="229"/>
      <c r="AI42" s="229"/>
      <c r="AJ42" s="229"/>
      <c r="AK42" s="229"/>
      <c r="AL42" s="229"/>
      <c r="AM42" s="229"/>
      <c r="AN42" s="229"/>
    </row>
    <row r="43" spans="1:79" x14ac:dyDescent="0.35">
      <c r="B43" s="555" t="s">
        <v>311</v>
      </c>
      <c r="C43" s="284"/>
      <c r="D43" s="539"/>
      <c r="E43" s="540"/>
      <c r="F43" s="508"/>
      <c r="G43" s="508"/>
      <c r="H43" s="404"/>
      <c r="I43" s="404"/>
      <c r="J43" s="404"/>
      <c r="K43" s="404"/>
      <c r="L43" s="545"/>
      <c r="M43" s="404">
        <f>'ARP Quarterly'!C25</f>
        <v>0</v>
      </c>
      <c r="N43" s="404">
        <f>'ARP Quarterly'!D25</f>
        <v>58.782959999999996</v>
      </c>
      <c r="O43" s="404">
        <f>'ARP Quarterly'!E25</f>
        <v>267.78904000000006</v>
      </c>
      <c r="P43" s="404">
        <f>'ARP Quarterly'!F25</f>
        <v>110.24799999999999</v>
      </c>
      <c r="Q43" s="404">
        <f>'ARP Quarterly'!G25</f>
        <v>110.24799999999999</v>
      </c>
      <c r="R43" s="404">
        <f>'ARP Quarterly'!H25</f>
        <v>110.24799999999999</v>
      </c>
      <c r="S43" s="404">
        <f>'ARP Quarterly'!I25</f>
        <v>110.24799999999999</v>
      </c>
      <c r="T43" s="404">
        <f>'ARP Quarterly'!J25</f>
        <v>12.362</v>
      </c>
      <c r="U43" s="37">
        <f>'ARP Quarterly'!K25</f>
        <v>12.362</v>
      </c>
      <c r="V43" s="37">
        <f>'ARP Quarterly'!L25</f>
        <v>12.362</v>
      </c>
      <c r="W43" s="37">
        <f>'ARP Quarterly'!M25</f>
        <v>12.362</v>
      </c>
      <c r="X43" s="37">
        <f>'ARP Quarterly'!N25</f>
        <v>-0.67500000000000004</v>
      </c>
      <c r="Y43" s="357">
        <f>'ARP Quarterly'!O25</f>
        <v>-0.67500000000000004</v>
      </c>
      <c r="Z43" s="357">
        <f>'ARP Quarterly'!P25</f>
        <v>-0.67500000000000004</v>
      </c>
      <c r="AA43" s="357">
        <f>'ARP Quarterly'!Q25</f>
        <v>-0.67500000000000004</v>
      </c>
      <c r="AB43" s="357">
        <f>'ARP Quarterly'!R25</f>
        <v>0</v>
      </c>
      <c r="AC43" s="357">
        <f>'ARP Quarterly'!S25</f>
        <v>0</v>
      </c>
      <c r="AD43" s="229"/>
      <c r="AE43" s="528"/>
      <c r="AF43" s="528"/>
      <c r="AG43" s="229"/>
      <c r="AH43" s="229"/>
      <c r="AI43" s="229"/>
      <c r="AJ43" s="229"/>
      <c r="AK43" s="229"/>
      <c r="AL43" s="229"/>
      <c r="AM43" s="229"/>
      <c r="AN43" s="229"/>
    </row>
    <row r="44" spans="1:79" ht="15" customHeight="1" x14ac:dyDescent="0.35">
      <c r="B44" s="1378" t="s">
        <v>426</v>
      </c>
      <c r="C44" s="1379"/>
      <c r="D44" s="538"/>
      <c r="E44" s="55"/>
      <c r="F44" s="245"/>
      <c r="G44" s="245"/>
      <c r="H44" s="37"/>
      <c r="I44" s="37"/>
      <c r="J44" s="37"/>
      <c r="K44" s="37"/>
      <c r="L44" s="541"/>
      <c r="M44" s="37"/>
      <c r="N44" s="37"/>
      <c r="O44" s="37"/>
      <c r="P44" s="37"/>
      <c r="Q44" s="37"/>
      <c r="R44" s="37"/>
      <c r="S44" s="37"/>
      <c r="T44" s="37"/>
      <c r="U44" s="522"/>
      <c r="V44" s="516"/>
      <c r="W44" s="516"/>
      <c r="X44" s="516"/>
      <c r="Y44" s="520"/>
      <c r="Z44" s="520"/>
      <c r="AA44" s="520"/>
      <c r="AB44" s="520"/>
      <c r="AC44" s="520"/>
      <c r="AD44" s="229"/>
      <c r="AE44" s="528"/>
      <c r="AF44" s="528"/>
      <c r="AG44" s="229"/>
      <c r="AH44" s="229"/>
      <c r="AI44" s="229"/>
      <c r="AJ44" s="229"/>
      <c r="AK44" s="229"/>
      <c r="AL44" s="229"/>
      <c r="AM44" s="229"/>
      <c r="AN44" s="229"/>
    </row>
    <row r="45" spans="1:79" ht="21" customHeight="1" x14ac:dyDescent="0.35">
      <c r="B45" s="435" t="s">
        <v>427</v>
      </c>
      <c r="C45" s="542"/>
      <c r="D45" s="435"/>
      <c r="E45" s="542"/>
      <c r="F45" s="507"/>
      <c r="G45" s="507"/>
      <c r="H45" s="523"/>
      <c r="I45" s="523"/>
      <c r="J45" s="523"/>
      <c r="K45" s="523"/>
      <c r="L45" s="543"/>
      <c r="M45" s="523">
        <f>'ARP Quarterly'!C6</f>
        <v>0</v>
      </c>
      <c r="N45" s="523">
        <f>'ARP Quarterly'!D6</f>
        <v>58.782959999999989</v>
      </c>
      <c r="O45" s="523">
        <f>'ARP Quarterly'!E6</f>
        <v>267.78904</v>
      </c>
      <c r="P45" s="523">
        <f>'ARP Quarterly'!F6</f>
        <v>110.24799999999999</v>
      </c>
      <c r="Q45" s="523">
        <f>'ARP Quarterly'!G6</f>
        <v>110.24799999999999</v>
      </c>
      <c r="R45" s="523">
        <f>'ARP Quarterly'!H6</f>
        <v>110.24799999999999</v>
      </c>
      <c r="S45" s="523">
        <f>'ARP Quarterly'!I6</f>
        <v>110.24799999999999</v>
      </c>
      <c r="T45" s="523">
        <f>'ARP Quarterly'!J6</f>
        <v>12.726000000000001</v>
      </c>
      <c r="U45" s="523">
        <f>'ARP Quarterly'!K6</f>
        <v>12.726000000000001</v>
      </c>
      <c r="V45" s="523">
        <f>'ARP Quarterly'!L6</f>
        <v>12.726000000000001</v>
      </c>
      <c r="W45" s="523">
        <f>'ARP Quarterly'!M6</f>
        <v>12.726000000000001</v>
      </c>
      <c r="X45" s="523">
        <f>'ARP Quarterly'!N6</f>
        <v>1.365</v>
      </c>
      <c r="Y45" s="521">
        <f>'ARP Quarterly'!O6</f>
        <v>1.365</v>
      </c>
      <c r="Z45" s="521">
        <f>'ARP Quarterly'!P6</f>
        <v>1.365</v>
      </c>
      <c r="AA45" s="521">
        <f>'ARP Quarterly'!Q6</f>
        <v>1.365</v>
      </c>
      <c r="AB45" s="521">
        <f>'ARP Quarterly'!R6</f>
        <v>-0.90100000000000025</v>
      </c>
      <c r="AC45" s="521">
        <f>'ARP Quarterly'!S6</f>
        <v>-0.90100000000000025</v>
      </c>
      <c r="AD45" s="521">
        <f>'ARP Quarterly'!T6</f>
        <v>-0.90100000000000025</v>
      </c>
      <c r="AE45" s="521">
        <f>'ARP Quarterly'!U6</f>
        <v>-0.90100000000000025</v>
      </c>
      <c r="AF45" s="521">
        <f>'ARP Quarterly'!V6</f>
        <v>-2.1500000000000004</v>
      </c>
      <c r="AG45" s="519">
        <v>0</v>
      </c>
      <c r="AH45" s="519">
        <v>0</v>
      </c>
      <c r="AI45" s="519">
        <v>0</v>
      </c>
      <c r="AJ45" s="519">
        <v>0</v>
      </c>
      <c r="AK45" s="519">
        <v>0</v>
      </c>
      <c r="AL45" s="519">
        <v>0</v>
      </c>
      <c r="AM45" s="519">
        <v>0</v>
      </c>
      <c r="AN45" s="519">
        <v>0</v>
      </c>
    </row>
    <row r="46" spans="1:79" ht="19.5" customHeight="1" x14ac:dyDescent="0.35">
      <c r="A46" s="515"/>
      <c r="B46" s="550" t="s">
        <v>199</v>
      </c>
      <c r="C46" s="551"/>
      <c r="D46" s="550"/>
      <c r="E46" s="551"/>
      <c r="F46" s="524">
        <f>F11-F45</f>
        <v>60.5</v>
      </c>
      <c r="G46" s="524">
        <f>G11-G45</f>
        <v>81.400000000000006</v>
      </c>
      <c r="H46" s="524">
        <f t="shared" ref="H46:AE46" si="70">H11-H45</f>
        <v>82.1</v>
      </c>
      <c r="I46" s="524">
        <f>I11-I45</f>
        <v>80</v>
      </c>
      <c r="J46" s="524">
        <f t="shared" si="70"/>
        <v>1031.8</v>
      </c>
      <c r="K46" s="524">
        <f t="shared" si="70"/>
        <v>1163.3</v>
      </c>
      <c r="L46" s="524">
        <f>L11-L45</f>
        <v>516.4</v>
      </c>
      <c r="M46" s="524">
        <f>M11-M45</f>
        <v>518.1</v>
      </c>
      <c r="N46" s="524">
        <f t="shared" si="70"/>
        <v>763.21704</v>
      </c>
      <c r="O46" s="524">
        <f>O11-O45</f>
        <v>405.61095999999998</v>
      </c>
      <c r="P46" s="524">
        <f>P11-P45</f>
        <v>303.15199999999999</v>
      </c>
      <c r="Q46" s="524">
        <f t="shared" si="70"/>
        <v>40.552000000000021</v>
      </c>
      <c r="R46" s="524">
        <f t="shared" si="70"/>
        <v>19.052000000000021</v>
      </c>
      <c r="S46" s="524">
        <f t="shared" si="70"/>
        <v>8.1520000000000152</v>
      </c>
      <c r="T46" s="524">
        <f t="shared" si="70"/>
        <v>98.073999999999998</v>
      </c>
      <c r="U46" s="524">
        <f t="shared" si="70"/>
        <v>91.073999999999998</v>
      </c>
      <c r="V46" s="524">
        <f>V11-V45</f>
        <v>89.073999999999998</v>
      </c>
      <c r="W46" s="524">
        <f t="shared" si="70"/>
        <v>91.274000000000001</v>
      </c>
      <c r="X46" s="524">
        <f>X11-X45</f>
        <v>97.535000000000011</v>
      </c>
      <c r="Y46" s="553">
        <f t="shared" si="70"/>
        <v>94.734999999999999</v>
      </c>
      <c r="Z46" s="553">
        <f t="shared" si="70"/>
        <v>92.335000000000008</v>
      </c>
      <c r="AA46" s="553">
        <f t="shared" si="70"/>
        <v>90.734999999999999</v>
      </c>
      <c r="AB46" s="553">
        <f t="shared" si="70"/>
        <v>94.400999999999996</v>
      </c>
      <c r="AC46" s="553">
        <f>AC11-AC45</f>
        <v>105.00099999999999</v>
      </c>
      <c r="AD46" s="553">
        <f>AD11-AD45</f>
        <v>117.401</v>
      </c>
      <c r="AE46" s="553">
        <f t="shared" si="70"/>
        <v>117.401</v>
      </c>
      <c r="AF46" s="553">
        <f>AF11-AF45</f>
        <v>121.74</v>
      </c>
      <c r="AG46" s="553">
        <f>AG11-AG45</f>
        <v>119.58999999999999</v>
      </c>
      <c r="AH46" s="553">
        <f>AH11-AH45</f>
        <v>119.58999999999999</v>
      </c>
      <c r="AI46" s="553">
        <f t="shared" ref="AI46:AN46" si="71">AI11-AI45</f>
        <v>119.58999999999999</v>
      </c>
      <c r="AJ46" s="553">
        <f t="shared" si="71"/>
        <v>119.58999999999999</v>
      </c>
      <c r="AK46" s="553">
        <f t="shared" si="71"/>
        <v>119.58999999999999</v>
      </c>
      <c r="AL46" s="553">
        <f t="shared" si="71"/>
        <v>119.58999999999999</v>
      </c>
      <c r="AM46" s="553">
        <f t="shared" si="71"/>
        <v>119.58999999999999</v>
      </c>
      <c r="AN46" s="553">
        <f t="shared" si="71"/>
        <v>119.58999999999999</v>
      </c>
      <c r="AO46" s="515"/>
      <c r="AP46" s="515"/>
      <c r="AQ46" s="515"/>
      <c r="AR46" s="515"/>
      <c r="AS46" s="515"/>
      <c r="AT46" s="515"/>
      <c r="AU46" s="515"/>
      <c r="AV46" s="515"/>
      <c r="AW46" s="515"/>
      <c r="AX46" s="515"/>
      <c r="AY46" s="515"/>
      <c r="AZ46" s="515"/>
      <c r="BA46" s="515"/>
      <c r="BB46" s="515"/>
      <c r="BC46" s="515"/>
      <c r="BD46" s="515"/>
      <c r="BE46" s="515"/>
      <c r="BF46" s="515"/>
      <c r="BG46" s="515"/>
      <c r="BH46" s="515"/>
      <c r="BI46" s="515"/>
      <c r="BJ46" s="515"/>
      <c r="BK46" s="515"/>
      <c r="BL46" s="515"/>
      <c r="BM46" s="515"/>
      <c r="BN46" s="515"/>
      <c r="BO46" s="515"/>
      <c r="BP46" s="515"/>
      <c r="BQ46" s="515"/>
      <c r="BR46" s="515"/>
      <c r="BS46" s="515"/>
      <c r="BT46" s="515"/>
      <c r="BU46" s="515"/>
      <c r="BV46" s="515"/>
      <c r="BW46" s="515"/>
      <c r="BX46" s="515"/>
      <c r="BY46" s="515"/>
      <c r="BZ46" s="515"/>
      <c r="CA46" s="515"/>
    </row>
    <row r="47" spans="1:79" ht="19.5" customHeight="1" x14ac:dyDescent="0.35">
      <c r="A47" s="515"/>
      <c r="B47" s="267"/>
      <c r="C47" s="267"/>
      <c r="D47" s="267"/>
      <c r="E47" s="267"/>
      <c r="F47" s="552"/>
      <c r="G47" s="552"/>
      <c r="H47" s="552"/>
      <c r="I47" s="552"/>
      <c r="J47" s="552"/>
      <c r="K47" s="552"/>
      <c r="L47" s="552"/>
      <c r="M47" s="552"/>
      <c r="N47" s="552"/>
      <c r="O47" s="552"/>
      <c r="P47" s="552"/>
      <c r="Q47" s="552"/>
      <c r="R47" s="552"/>
      <c r="S47" s="552"/>
      <c r="T47" s="552"/>
      <c r="U47" s="552"/>
      <c r="V47" s="552"/>
      <c r="W47" s="552"/>
      <c r="X47" s="552"/>
      <c r="Y47" s="552"/>
      <c r="Z47" s="552"/>
      <c r="AA47" s="552"/>
      <c r="AB47" s="552"/>
      <c r="AC47" s="552"/>
      <c r="AG47" s="515"/>
      <c r="AH47" s="515"/>
      <c r="AI47" s="515"/>
      <c r="AJ47" s="515"/>
      <c r="AK47" s="515"/>
      <c r="AL47" s="515"/>
      <c r="AM47" s="515"/>
      <c r="AN47" s="515"/>
      <c r="AO47" s="515"/>
      <c r="AP47" s="515"/>
      <c r="AQ47" s="515"/>
      <c r="AR47" s="515"/>
      <c r="AS47" s="515"/>
      <c r="AT47" s="515"/>
      <c r="AU47" s="515"/>
      <c r="AV47" s="515"/>
      <c r="AW47" s="515"/>
      <c r="AX47" s="515"/>
      <c r="AY47" s="515"/>
      <c r="AZ47" s="515"/>
      <c r="BA47" s="515"/>
      <c r="BB47" s="515"/>
      <c r="BC47" s="515"/>
      <c r="BD47" s="515"/>
      <c r="BE47" s="515"/>
      <c r="BF47" s="515"/>
      <c r="BG47" s="515"/>
      <c r="BH47" s="515"/>
      <c r="BI47" s="515"/>
      <c r="BJ47" s="515"/>
      <c r="BK47" s="515"/>
      <c r="BL47" s="515"/>
      <c r="BM47" s="515"/>
      <c r="BN47" s="515"/>
      <c r="BO47" s="515"/>
      <c r="BP47" s="515"/>
      <c r="BQ47" s="515"/>
      <c r="BR47" s="515"/>
      <c r="BS47" s="515"/>
      <c r="BT47" s="515"/>
      <c r="BU47" s="515"/>
      <c r="BV47" s="515"/>
      <c r="BW47" s="515"/>
      <c r="BX47" s="515"/>
      <c r="BY47" s="515"/>
      <c r="BZ47" s="515"/>
      <c r="CA47" s="515"/>
    </row>
    <row r="48" spans="1:79" ht="19.5" customHeight="1" x14ac:dyDescent="0.35">
      <c r="A48" s="515"/>
      <c r="B48" s="267" t="s">
        <v>861</v>
      </c>
      <c r="C48" s="267"/>
      <c r="D48" s="267"/>
      <c r="E48" s="267"/>
      <c r="F48" s="552"/>
      <c r="G48" s="552"/>
      <c r="H48" s="552"/>
      <c r="I48" s="552"/>
      <c r="J48" s="552"/>
      <c r="K48" s="552"/>
      <c r="L48" s="552"/>
      <c r="M48" s="552"/>
      <c r="N48" s="552"/>
      <c r="O48" s="552"/>
      <c r="P48" s="552"/>
      <c r="Q48" s="552"/>
      <c r="R48" s="552"/>
      <c r="S48" s="552"/>
      <c r="T48" s="552">
        <v>110.8</v>
      </c>
      <c r="U48" s="534">
        <v>96.021999999999991</v>
      </c>
      <c r="V48" s="244">
        <v>88.50800000000001</v>
      </c>
      <c r="W48" s="244">
        <v>88.50800000000001</v>
      </c>
      <c r="X48" s="244">
        <v>85.631</v>
      </c>
      <c r="Y48" s="244">
        <v>85.631</v>
      </c>
      <c r="Z48" s="244">
        <v>85.631</v>
      </c>
      <c r="AA48" s="244">
        <v>85.631</v>
      </c>
      <c r="AB48" s="244">
        <v>90.463999999999999</v>
      </c>
      <c r="AC48" s="244">
        <v>90.463999999999999</v>
      </c>
      <c r="AD48" s="533">
        <f>U11-U48</f>
        <v>7.7780000000000058</v>
      </c>
      <c r="AG48" s="515"/>
      <c r="AH48" s="515"/>
      <c r="AI48" s="515"/>
      <c r="AJ48" s="515"/>
      <c r="AK48" s="515"/>
      <c r="AL48" s="515"/>
      <c r="AM48" s="515"/>
      <c r="AN48" s="515"/>
      <c r="AO48" s="515"/>
      <c r="AP48" s="515"/>
      <c r="AQ48" s="515"/>
      <c r="AR48" s="515"/>
      <c r="AS48" s="515"/>
      <c r="AT48" s="515"/>
      <c r="AU48" s="515"/>
      <c r="AV48" s="515"/>
      <c r="AW48" s="515"/>
      <c r="AX48" s="515"/>
      <c r="AY48" s="515"/>
      <c r="AZ48" s="515"/>
      <c r="BA48" s="515"/>
      <c r="BB48" s="515"/>
      <c r="BC48" s="515"/>
      <c r="BD48" s="515"/>
      <c r="BE48" s="515"/>
      <c r="BF48" s="515"/>
      <c r="BG48" s="515"/>
      <c r="BH48" s="515"/>
      <c r="BI48" s="515"/>
      <c r="BJ48" s="515"/>
      <c r="BK48" s="515"/>
      <c r="BL48" s="515"/>
      <c r="BM48" s="515"/>
      <c r="BN48" s="515"/>
      <c r="BO48" s="515"/>
      <c r="BP48" s="515"/>
      <c r="BQ48" s="515"/>
      <c r="BR48" s="515"/>
      <c r="BS48" s="515"/>
      <c r="BT48" s="515"/>
      <c r="BU48" s="515"/>
      <c r="BV48" s="515"/>
      <c r="BW48" s="515"/>
      <c r="BX48" s="515"/>
      <c r="BY48" s="515"/>
      <c r="BZ48" s="515"/>
      <c r="CA48" s="515"/>
    </row>
    <row r="49" spans="2:30" x14ac:dyDescent="0.35">
      <c r="B49" s="529" t="s">
        <v>403</v>
      </c>
      <c r="C49" s="249"/>
      <c r="D49" s="249"/>
      <c r="E49" s="249"/>
      <c r="F49" s="249"/>
      <c r="G49" s="249"/>
      <c r="H49" s="249"/>
      <c r="I49" s="249"/>
      <c r="J49" s="249"/>
      <c r="K49" s="249"/>
      <c r="L49" s="249"/>
      <c r="M49" s="249"/>
      <c r="N49" s="249"/>
      <c r="O49" s="249"/>
      <c r="P49" s="499"/>
      <c r="Q49" s="499"/>
      <c r="R49" s="499"/>
      <c r="S49" s="499"/>
      <c r="T49" s="530">
        <v>78.977999999999994</v>
      </c>
      <c r="U49" s="531">
        <v>76</v>
      </c>
      <c r="V49" s="531">
        <v>76</v>
      </c>
      <c r="W49" s="531">
        <v>76</v>
      </c>
      <c r="X49" s="531">
        <v>76</v>
      </c>
      <c r="Y49" s="531">
        <v>76</v>
      </c>
      <c r="Z49" s="531">
        <v>76</v>
      </c>
      <c r="AA49" s="531">
        <v>76</v>
      </c>
      <c r="AB49" s="531">
        <v>76</v>
      </c>
      <c r="AC49" s="531">
        <v>76</v>
      </c>
      <c r="AD49" s="533">
        <f t="shared" ref="AD49:AD83" si="72">U12-U49</f>
        <v>15.292000000000002</v>
      </c>
    </row>
    <row r="50" spans="2:30" x14ac:dyDescent="0.35">
      <c r="B50" t="s">
        <v>404</v>
      </c>
      <c r="T50" s="74">
        <v>31.822000000000003</v>
      </c>
      <c r="U50" s="74">
        <v>20.021999999999998</v>
      </c>
      <c r="V50" s="74">
        <v>12.508000000000003</v>
      </c>
      <c r="W50" s="74">
        <v>12.508000000000003</v>
      </c>
      <c r="X50" s="74">
        <v>9.6310000000000002</v>
      </c>
      <c r="Y50" s="74">
        <v>9.6310000000000002</v>
      </c>
      <c r="Z50" s="74">
        <v>9.6310000000000002</v>
      </c>
      <c r="AA50" s="74">
        <v>9.6310000000000002</v>
      </c>
      <c r="AB50" s="74">
        <v>14.464</v>
      </c>
      <c r="AC50" s="74">
        <v>14.464</v>
      </c>
      <c r="AD50" s="533">
        <f t="shared" si="72"/>
        <v>-7.5139999999999958</v>
      </c>
    </row>
    <row r="51" spans="2:30" x14ac:dyDescent="0.35">
      <c r="B51" t="s">
        <v>50</v>
      </c>
      <c r="S51" s="56"/>
      <c r="T51" s="75">
        <v>0</v>
      </c>
      <c r="U51" s="74"/>
      <c r="V51" s="74"/>
      <c r="W51" s="74"/>
      <c r="X51" s="74"/>
      <c r="Y51" s="74"/>
      <c r="AD51" s="533">
        <f t="shared" si="72"/>
        <v>0</v>
      </c>
    </row>
    <row r="52" spans="2:30" x14ac:dyDescent="0.35">
      <c r="B52" t="s">
        <v>405</v>
      </c>
      <c r="T52" s="75">
        <v>28.200000000000003</v>
      </c>
      <c r="U52" s="75">
        <v>16.399999999999999</v>
      </c>
      <c r="V52" s="75">
        <v>8.886000000000001</v>
      </c>
      <c r="W52" s="75">
        <v>8.886000000000001</v>
      </c>
      <c r="X52" s="75">
        <v>0.2</v>
      </c>
      <c r="Y52" s="75">
        <v>0.2</v>
      </c>
      <c r="Z52" s="75">
        <v>0.2</v>
      </c>
      <c r="AA52" s="75">
        <v>0.2</v>
      </c>
      <c r="AB52" s="75">
        <v>0</v>
      </c>
      <c r="AC52" s="75">
        <v>0</v>
      </c>
      <c r="AD52" s="533">
        <f t="shared" si="72"/>
        <v>-7.5139999999999976</v>
      </c>
    </row>
    <row r="53" spans="2:30" x14ac:dyDescent="0.35">
      <c r="B53" t="s">
        <v>145</v>
      </c>
      <c r="T53" s="75">
        <v>0</v>
      </c>
      <c r="U53" s="74"/>
      <c r="V53" s="74"/>
      <c r="W53" s="74"/>
      <c r="X53" s="74"/>
      <c r="Y53" s="74"/>
      <c r="AD53" s="533">
        <f t="shared" si="72"/>
        <v>0</v>
      </c>
    </row>
    <row r="54" spans="2:30" x14ac:dyDescent="0.35">
      <c r="B54" t="s">
        <v>143</v>
      </c>
      <c r="T54" s="75">
        <v>0</v>
      </c>
      <c r="U54" s="74">
        <v>0</v>
      </c>
      <c r="V54" s="74">
        <v>0</v>
      </c>
      <c r="W54" s="74">
        <v>0</v>
      </c>
      <c r="X54" s="74">
        <v>0</v>
      </c>
      <c r="Y54" s="74">
        <v>0</v>
      </c>
      <c r="Z54" s="74">
        <v>0</v>
      </c>
      <c r="AA54" s="74">
        <v>0</v>
      </c>
      <c r="AB54" s="74">
        <v>0</v>
      </c>
      <c r="AC54" s="74">
        <v>0</v>
      </c>
      <c r="AD54" s="533">
        <f t="shared" si="72"/>
        <v>0</v>
      </c>
    </row>
    <row r="55" spans="2:30" x14ac:dyDescent="0.35">
      <c r="B55" t="s">
        <v>142</v>
      </c>
      <c r="T55" s="75">
        <v>0.4</v>
      </c>
      <c r="U55" s="74">
        <v>0</v>
      </c>
      <c r="V55" s="74">
        <v>0</v>
      </c>
      <c r="W55" s="74">
        <v>0</v>
      </c>
      <c r="X55" s="74">
        <v>0</v>
      </c>
      <c r="Y55" s="74">
        <v>0</v>
      </c>
      <c r="Z55" s="74">
        <v>0</v>
      </c>
      <c r="AA55" s="74">
        <v>0</v>
      </c>
      <c r="AB55" s="74">
        <v>0</v>
      </c>
      <c r="AC55" s="74">
        <v>0</v>
      </c>
      <c r="AD55" s="533">
        <f t="shared" si="72"/>
        <v>0</v>
      </c>
    </row>
    <row r="56" spans="2:30" x14ac:dyDescent="0.35">
      <c r="B56" t="s">
        <v>409</v>
      </c>
      <c r="T56" s="75">
        <v>3.6</v>
      </c>
      <c r="U56" s="74"/>
      <c r="V56" s="74"/>
      <c r="W56" s="74"/>
      <c r="X56" s="74"/>
      <c r="Y56" s="74"/>
      <c r="AD56" s="533">
        <f t="shared" si="72"/>
        <v>0</v>
      </c>
    </row>
    <row r="57" spans="2:30" x14ac:dyDescent="0.35">
      <c r="B57" t="s">
        <v>144</v>
      </c>
      <c r="T57" s="75">
        <v>15.8</v>
      </c>
      <c r="U57" s="74">
        <v>8</v>
      </c>
      <c r="V57" s="74">
        <v>0.48599999999999993</v>
      </c>
      <c r="W57" s="74">
        <v>0.48599999999999993</v>
      </c>
      <c r="X57" s="74">
        <v>0</v>
      </c>
      <c r="Y57" s="74">
        <v>0</v>
      </c>
      <c r="Z57" s="74">
        <v>0</v>
      </c>
      <c r="AA57" s="74">
        <v>0</v>
      </c>
      <c r="AB57" s="74">
        <v>0</v>
      </c>
      <c r="AC57" s="74">
        <v>0</v>
      </c>
      <c r="AD57" s="533">
        <f t="shared" si="72"/>
        <v>-7.5140000000000002</v>
      </c>
    </row>
    <row r="58" spans="2:30" x14ac:dyDescent="0.35">
      <c r="B58" t="s">
        <v>148</v>
      </c>
      <c r="T58" s="75">
        <v>0</v>
      </c>
      <c r="U58" s="74">
        <v>0</v>
      </c>
      <c r="V58" s="74">
        <v>0</v>
      </c>
      <c r="W58" s="74">
        <v>0</v>
      </c>
      <c r="X58" s="74">
        <v>0</v>
      </c>
      <c r="Y58" s="74">
        <v>0</v>
      </c>
      <c r="Z58" s="74">
        <v>0</v>
      </c>
      <c r="AA58" s="74">
        <v>0</v>
      </c>
      <c r="AB58" s="74">
        <v>0</v>
      </c>
      <c r="AC58" s="74">
        <v>0</v>
      </c>
      <c r="AD58" s="533">
        <f t="shared" si="72"/>
        <v>0</v>
      </c>
    </row>
    <row r="59" spans="2:30" x14ac:dyDescent="0.35">
      <c r="B59" t="s">
        <v>412</v>
      </c>
      <c r="T59" s="75">
        <v>0</v>
      </c>
      <c r="U59" s="74">
        <v>0</v>
      </c>
      <c r="V59" s="74">
        <v>0</v>
      </c>
      <c r="W59" s="74">
        <v>0</v>
      </c>
      <c r="X59" s="74">
        <v>0</v>
      </c>
      <c r="Y59" s="74">
        <v>0</v>
      </c>
      <c r="Z59" s="74">
        <v>0</v>
      </c>
      <c r="AA59" s="74">
        <v>0</v>
      </c>
      <c r="AB59" s="74">
        <v>0</v>
      </c>
      <c r="AC59" s="74">
        <v>0</v>
      </c>
      <c r="AD59" s="533">
        <f t="shared" si="72"/>
        <v>0</v>
      </c>
    </row>
    <row r="60" spans="2:30" x14ac:dyDescent="0.35">
      <c r="B60" t="s">
        <v>413</v>
      </c>
      <c r="T60" s="75">
        <v>0</v>
      </c>
      <c r="U60" s="74">
        <v>0</v>
      </c>
      <c r="V60" s="74">
        <v>0</v>
      </c>
      <c r="W60" s="74">
        <v>0</v>
      </c>
      <c r="X60" s="74">
        <v>0</v>
      </c>
      <c r="Y60" s="74">
        <v>0</v>
      </c>
      <c r="Z60" s="74">
        <v>0</v>
      </c>
      <c r="AA60" s="74">
        <v>0</v>
      </c>
      <c r="AB60" s="74">
        <v>0</v>
      </c>
      <c r="AC60" s="74">
        <v>0</v>
      </c>
      <c r="AD60" s="533">
        <f t="shared" si="72"/>
        <v>0</v>
      </c>
    </row>
    <row r="61" spans="2:30" x14ac:dyDescent="0.35">
      <c r="B61" t="s">
        <v>414</v>
      </c>
      <c r="T61" s="74">
        <v>8.4</v>
      </c>
      <c r="U61" s="74">
        <v>8.4</v>
      </c>
      <c r="V61" s="74">
        <v>8.4</v>
      </c>
      <c r="W61" s="74">
        <v>8.4</v>
      </c>
      <c r="X61" s="74">
        <v>0.2</v>
      </c>
      <c r="Y61" s="74">
        <v>0.2</v>
      </c>
      <c r="Z61" s="74">
        <v>0.2</v>
      </c>
      <c r="AA61" s="74">
        <v>0.2</v>
      </c>
      <c r="AB61" s="74">
        <v>0</v>
      </c>
      <c r="AC61" s="74">
        <v>0</v>
      </c>
      <c r="AD61" s="533">
        <f t="shared" si="72"/>
        <v>0</v>
      </c>
    </row>
    <row r="62" spans="2:30" x14ac:dyDescent="0.35">
      <c r="B62" t="s">
        <v>415</v>
      </c>
      <c r="T62" s="74">
        <v>0</v>
      </c>
      <c r="U62" s="74">
        <v>0</v>
      </c>
      <c r="V62" s="74">
        <v>0</v>
      </c>
      <c r="W62" s="74">
        <v>0</v>
      </c>
      <c r="X62" s="74">
        <v>0</v>
      </c>
      <c r="Y62" s="74">
        <v>0</v>
      </c>
      <c r="Z62" s="74">
        <v>0</v>
      </c>
      <c r="AA62" s="74">
        <v>0</v>
      </c>
      <c r="AB62" s="74">
        <v>0</v>
      </c>
      <c r="AC62" s="74">
        <v>0</v>
      </c>
      <c r="AD62" s="533">
        <f t="shared" si="72"/>
        <v>0</v>
      </c>
    </row>
    <row r="63" spans="2:30" x14ac:dyDescent="0.35">
      <c r="B63" t="s">
        <v>1371</v>
      </c>
      <c r="T63" s="74">
        <v>2.3250000000000002</v>
      </c>
      <c r="U63" s="74">
        <v>2.3250000000000002</v>
      </c>
      <c r="V63" s="74">
        <v>2.3250000000000002</v>
      </c>
      <c r="W63" s="74">
        <v>2.3250000000000002</v>
      </c>
      <c r="X63" s="74">
        <v>5.5830000000000002</v>
      </c>
      <c r="Y63" s="74">
        <v>5.5830000000000002</v>
      </c>
      <c r="Z63" s="74">
        <v>5.5830000000000002</v>
      </c>
      <c r="AA63" s="74">
        <v>5.5830000000000002</v>
      </c>
      <c r="AB63" s="74">
        <v>8.0220000000000002</v>
      </c>
      <c r="AC63" s="74">
        <v>8.0220000000000002</v>
      </c>
      <c r="AD63" s="533">
        <f t="shared" si="72"/>
        <v>0</v>
      </c>
    </row>
    <row r="64" spans="2:30" x14ac:dyDescent="0.35">
      <c r="B64" t="s">
        <v>1179</v>
      </c>
      <c r="T64" s="74">
        <v>1.2969999999999999</v>
      </c>
      <c r="U64" s="74">
        <v>1.2969999999999999</v>
      </c>
      <c r="V64" s="74">
        <v>1.2969999999999999</v>
      </c>
      <c r="W64" s="74">
        <v>1.2969999999999999</v>
      </c>
      <c r="X64" s="74">
        <v>3.8479999999999999</v>
      </c>
      <c r="Y64" s="74">
        <v>3.8479999999999999</v>
      </c>
      <c r="Z64" s="74">
        <v>3.8479999999999999</v>
      </c>
      <c r="AA64" s="74">
        <v>3.8479999999999999</v>
      </c>
      <c r="AB64" s="74">
        <v>6.4420000000000002</v>
      </c>
      <c r="AC64" s="74">
        <v>6.4420000000000002</v>
      </c>
      <c r="AD64" s="533">
        <f t="shared" si="72"/>
        <v>0</v>
      </c>
    </row>
    <row r="65" spans="2:30" x14ac:dyDescent="0.35">
      <c r="B65" t="s">
        <v>416</v>
      </c>
      <c r="T65" s="74"/>
      <c r="U65" s="74"/>
      <c r="AD65" s="533">
        <f t="shared" si="72"/>
        <v>0</v>
      </c>
    </row>
    <row r="66" spans="2:30" x14ac:dyDescent="0.35">
      <c r="B66" t="s">
        <v>417</v>
      </c>
      <c r="T66" s="74"/>
      <c r="U66" s="74"/>
      <c r="AD66" s="533">
        <f t="shared" si="72"/>
        <v>0</v>
      </c>
    </row>
    <row r="67" spans="2:30" x14ac:dyDescent="0.35">
      <c r="B67" t="s">
        <v>418</v>
      </c>
      <c r="T67" s="74"/>
      <c r="U67" s="74"/>
      <c r="AD67" s="533">
        <f t="shared" si="72"/>
        <v>0</v>
      </c>
    </row>
    <row r="68" spans="2:30" x14ac:dyDescent="0.35">
      <c r="B68" t="s">
        <v>415</v>
      </c>
      <c r="T68" s="74"/>
      <c r="U68" s="74"/>
      <c r="AD68" s="533">
        <f t="shared" si="72"/>
        <v>0</v>
      </c>
    </row>
    <row r="69" spans="2:30" x14ac:dyDescent="0.35">
      <c r="B69" t="s">
        <v>412</v>
      </c>
      <c r="T69" s="532"/>
      <c r="U69" s="532"/>
      <c r="AD69" s="533">
        <f t="shared" si="72"/>
        <v>0</v>
      </c>
    </row>
    <row r="70" spans="2:30" x14ac:dyDescent="0.35">
      <c r="B70" t="s">
        <v>419</v>
      </c>
      <c r="T70" s="532"/>
      <c r="U70" s="532"/>
      <c r="AD70" s="533">
        <f t="shared" si="72"/>
        <v>0</v>
      </c>
    </row>
    <row r="71" spans="2:30" x14ac:dyDescent="0.35">
      <c r="B71" t="s">
        <v>420</v>
      </c>
      <c r="T71" s="74"/>
      <c r="U71" s="74"/>
      <c r="AD71" s="533">
        <f t="shared" si="72"/>
        <v>0</v>
      </c>
    </row>
    <row r="72" spans="2:30" x14ac:dyDescent="0.35">
      <c r="B72" t="s">
        <v>421</v>
      </c>
      <c r="T72" s="74"/>
      <c r="U72" s="74"/>
      <c r="AD72" s="533">
        <f t="shared" si="72"/>
        <v>0</v>
      </c>
    </row>
    <row r="73" spans="2:30" x14ac:dyDescent="0.35">
      <c r="B73" t="s">
        <v>143</v>
      </c>
      <c r="T73" s="74">
        <v>0</v>
      </c>
      <c r="U73" s="74">
        <v>0</v>
      </c>
      <c r="V73" s="74">
        <v>0</v>
      </c>
      <c r="W73" s="74">
        <v>0</v>
      </c>
      <c r="X73" s="74">
        <v>0</v>
      </c>
      <c r="Y73" s="74">
        <v>0</v>
      </c>
      <c r="Z73" s="74">
        <v>0</v>
      </c>
      <c r="AA73" s="74">
        <v>0</v>
      </c>
      <c r="AB73" s="74">
        <v>0</v>
      </c>
      <c r="AC73" s="74">
        <v>0</v>
      </c>
      <c r="AD73" s="533">
        <f t="shared" si="72"/>
        <v>0</v>
      </c>
    </row>
    <row r="74" spans="2:30" x14ac:dyDescent="0.35">
      <c r="B74" t="s">
        <v>422</v>
      </c>
      <c r="T74" s="74">
        <v>0.48599999999999993</v>
      </c>
      <c r="U74" s="74">
        <v>0.48599999999999993</v>
      </c>
      <c r="V74" s="74">
        <v>0.48599999999999993</v>
      </c>
      <c r="W74" s="74">
        <v>0.48599999999999993</v>
      </c>
      <c r="X74" s="74">
        <v>0</v>
      </c>
      <c r="Y74" s="74">
        <v>0</v>
      </c>
      <c r="Z74" s="74">
        <v>0</v>
      </c>
      <c r="AA74" s="74">
        <v>0</v>
      </c>
      <c r="AB74" s="74">
        <v>0</v>
      </c>
      <c r="AC74" s="74">
        <v>0</v>
      </c>
      <c r="AD74" s="533">
        <f t="shared" si="72"/>
        <v>0</v>
      </c>
    </row>
    <row r="75" spans="2:30" x14ac:dyDescent="0.35">
      <c r="B75" t="s">
        <v>148</v>
      </c>
      <c r="T75" s="74">
        <v>0</v>
      </c>
      <c r="U75" s="74">
        <v>0</v>
      </c>
      <c r="V75" s="74">
        <v>0</v>
      </c>
      <c r="W75" s="74">
        <v>0</v>
      </c>
      <c r="X75" s="74">
        <v>0</v>
      </c>
      <c r="Y75" s="74">
        <v>0</v>
      </c>
      <c r="Z75" s="74">
        <v>0</v>
      </c>
      <c r="AA75" s="74">
        <v>0</v>
      </c>
      <c r="AB75" s="74">
        <v>0</v>
      </c>
      <c r="AC75" s="74">
        <v>0</v>
      </c>
      <c r="AD75" s="533">
        <f t="shared" si="72"/>
        <v>0</v>
      </c>
    </row>
    <row r="76" spans="2:30" x14ac:dyDescent="0.35">
      <c r="B76" t="s">
        <v>412</v>
      </c>
      <c r="T76" s="74">
        <v>0.78750000000000009</v>
      </c>
      <c r="U76" s="74">
        <v>0.78750000000000009</v>
      </c>
      <c r="V76" s="74">
        <v>0.78750000000000009</v>
      </c>
      <c r="W76" s="74">
        <v>0.78750000000000009</v>
      </c>
      <c r="X76" s="74">
        <v>0</v>
      </c>
      <c r="Y76" s="74">
        <v>0</v>
      </c>
      <c r="Z76" s="74">
        <v>0</v>
      </c>
      <c r="AA76" s="74">
        <v>0</v>
      </c>
      <c r="AB76" s="74">
        <v>0</v>
      </c>
      <c r="AC76" s="74">
        <v>0</v>
      </c>
      <c r="AD76" s="533">
        <f t="shared" si="72"/>
        <v>0</v>
      </c>
    </row>
    <row r="77" spans="2:30" x14ac:dyDescent="0.35">
      <c r="B77" t="s">
        <v>423</v>
      </c>
      <c r="T77" s="74">
        <v>1.3125000000000002</v>
      </c>
      <c r="U77" s="74">
        <v>1.3125000000000002</v>
      </c>
      <c r="V77" s="74">
        <v>1.3125000000000002</v>
      </c>
      <c r="W77" s="74">
        <v>1.3125000000000002</v>
      </c>
      <c r="X77" s="74">
        <v>0</v>
      </c>
      <c r="Y77" s="74">
        <v>0</v>
      </c>
      <c r="Z77" s="74">
        <v>0</v>
      </c>
      <c r="AA77" s="74">
        <v>0</v>
      </c>
      <c r="AB77" s="74">
        <v>0</v>
      </c>
      <c r="AC77" s="74">
        <v>0</v>
      </c>
      <c r="AD77" s="533">
        <f t="shared" si="72"/>
        <v>0</v>
      </c>
    </row>
    <row r="78" spans="2:30" x14ac:dyDescent="0.35">
      <c r="B78" t="s">
        <v>424</v>
      </c>
      <c r="T78" s="74">
        <v>8.4</v>
      </c>
      <c r="U78" s="74">
        <v>8.4</v>
      </c>
      <c r="V78" s="74">
        <v>8.4</v>
      </c>
      <c r="W78" s="74">
        <v>8.4</v>
      </c>
      <c r="X78" s="74">
        <v>0.2</v>
      </c>
      <c r="Y78" s="74">
        <v>0.2</v>
      </c>
      <c r="Z78" s="74">
        <v>0.2</v>
      </c>
      <c r="AA78" s="74">
        <v>0.2</v>
      </c>
      <c r="AB78" s="74">
        <v>0</v>
      </c>
      <c r="AC78" s="74">
        <v>0</v>
      </c>
      <c r="AD78" s="533">
        <f t="shared" si="72"/>
        <v>0</v>
      </c>
    </row>
    <row r="79" spans="2:30" x14ac:dyDescent="0.35">
      <c r="B79" t="s">
        <v>425</v>
      </c>
      <c r="T79" s="74">
        <v>0</v>
      </c>
      <c r="U79" s="74">
        <v>0</v>
      </c>
      <c r="V79" s="74">
        <v>0</v>
      </c>
      <c r="W79" s="74">
        <v>0</v>
      </c>
      <c r="X79" s="74">
        <v>0</v>
      </c>
      <c r="Y79" s="74">
        <v>0</v>
      </c>
      <c r="Z79" s="74">
        <v>0</v>
      </c>
      <c r="AA79" s="74">
        <v>0</v>
      </c>
      <c r="AB79" s="74">
        <v>0</v>
      </c>
      <c r="AC79" s="74">
        <v>0</v>
      </c>
      <c r="AD79" s="533">
        <f t="shared" si="72"/>
        <v>0</v>
      </c>
    </row>
    <row r="80" spans="2:30" x14ac:dyDescent="0.35">
      <c r="B80" t="s">
        <v>311</v>
      </c>
      <c r="T80" s="74">
        <v>12.362</v>
      </c>
      <c r="U80" s="74">
        <v>12.362</v>
      </c>
      <c r="V80" s="74">
        <v>12.362</v>
      </c>
      <c r="W80" s="74">
        <v>12.362</v>
      </c>
      <c r="X80" s="74">
        <v>-0.67500000000000004</v>
      </c>
      <c r="Y80" s="74">
        <v>-0.67500000000000004</v>
      </c>
      <c r="Z80" s="74">
        <v>-0.67500000000000004</v>
      </c>
      <c r="AA80" s="74">
        <v>-0.67500000000000004</v>
      </c>
      <c r="AB80" s="74">
        <v>0</v>
      </c>
      <c r="AC80" s="74">
        <v>0</v>
      </c>
      <c r="AD80" s="533">
        <f t="shared" si="72"/>
        <v>0</v>
      </c>
    </row>
    <row r="81" spans="2:30" x14ac:dyDescent="0.35">
      <c r="B81" t="s">
        <v>426</v>
      </c>
      <c r="T81" s="74"/>
      <c r="U81" s="74"/>
      <c r="AD81" s="533">
        <f t="shared" si="72"/>
        <v>0</v>
      </c>
    </row>
    <row r="82" spans="2:30" x14ac:dyDescent="0.35">
      <c r="B82" t="s">
        <v>427</v>
      </c>
      <c r="T82" s="74">
        <v>12.726000000000001</v>
      </c>
      <c r="U82" s="74">
        <v>12.726000000000001</v>
      </c>
      <c r="V82" s="74">
        <v>12.726000000000001</v>
      </c>
      <c r="W82" s="74">
        <v>12.726000000000001</v>
      </c>
      <c r="X82" s="74">
        <v>1.365</v>
      </c>
      <c r="Y82" s="74">
        <v>1.365</v>
      </c>
      <c r="Z82" s="74">
        <v>1.365</v>
      </c>
      <c r="AA82" s="74">
        <v>1.365</v>
      </c>
      <c r="AB82" s="74">
        <v>-0.90100000000000025</v>
      </c>
      <c r="AC82" s="74">
        <v>-0.90100000000000025</v>
      </c>
      <c r="AD82" s="533">
        <f t="shared" si="72"/>
        <v>0</v>
      </c>
    </row>
    <row r="83" spans="2:30" x14ac:dyDescent="0.35">
      <c r="B83" t="s">
        <v>199</v>
      </c>
      <c r="T83" s="75">
        <v>98.073999999999998</v>
      </c>
      <c r="U83" s="533">
        <v>83.295999999999992</v>
      </c>
      <c r="V83" s="75">
        <v>75.782000000000011</v>
      </c>
      <c r="W83" s="75">
        <v>75.782000000000011</v>
      </c>
      <c r="X83" s="75">
        <v>84.266000000000005</v>
      </c>
      <c r="Y83" s="75">
        <v>84.266000000000005</v>
      </c>
      <c r="Z83" s="75">
        <v>84.266000000000005</v>
      </c>
      <c r="AA83" s="75">
        <v>84.266000000000005</v>
      </c>
      <c r="AB83" s="75">
        <v>91.364999999999995</v>
      </c>
      <c r="AC83" s="75">
        <v>91.364999999999995</v>
      </c>
      <c r="AD83" s="533">
        <f t="shared" si="72"/>
        <v>7.7780000000000058</v>
      </c>
    </row>
    <row r="84" spans="2:30" x14ac:dyDescent="0.35">
      <c r="AD84" s="533"/>
    </row>
  </sheetData>
  <mergeCells count="16">
    <mergeCell ref="AK9:AN9"/>
    <mergeCell ref="U9:X9"/>
    <mergeCell ref="Q9:T9"/>
    <mergeCell ref="B1:AC1"/>
    <mergeCell ref="M9:P9"/>
    <mergeCell ref="B2:AC6"/>
    <mergeCell ref="AC9:AF9"/>
    <mergeCell ref="AG9:AJ9"/>
    <mergeCell ref="AC8:AN8"/>
    <mergeCell ref="B44:C44"/>
    <mergeCell ref="B28:C28"/>
    <mergeCell ref="B8:C10"/>
    <mergeCell ref="I9:L9"/>
    <mergeCell ref="E9:H9"/>
    <mergeCell ref="B35:C35"/>
    <mergeCell ref="D8:AB8"/>
  </mergeCells>
  <pageMargins left="0.7" right="0.7" top="0.75" bottom="0.75" header="0.3" footer="0.3"/>
  <pageSetup orientation="portrait"/>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AO52"/>
  <sheetViews>
    <sheetView zoomScale="80" zoomScaleNormal="80" workbookViewId="0">
      <pane xSplit="2" ySplit="4" topLeftCell="R9" activePane="bottomRight" state="frozen"/>
      <selection pane="topRight" activeCell="C1" sqref="C1"/>
      <selection pane="bottomLeft" activeCell="A5" sqref="A5"/>
      <selection pane="bottomRight" activeCell="AB20" sqref="AB20"/>
    </sheetView>
  </sheetViews>
  <sheetFormatPr defaultColWidth="10.90625" defaultRowHeight="14.5" x14ac:dyDescent="0.35"/>
  <cols>
    <col min="2" max="2" width="31.81640625" customWidth="1"/>
    <col min="6" max="6" width="9" customWidth="1"/>
    <col min="7" max="7" width="10.1796875" customWidth="1"/>
    <col min="8" max="11" width="7.453125" customWidth="1"/>
    <col min="13" max="13" width="8.453125" customWidth="1"/>
    <col min="14" max="27" width="9.1796875" customWidth="1"/>
    <col min="28" max="28" width="13" customWidth="1"/>
  </cols>
  <sheetData>
    <row r="1" spans="2:41" x14ac:dyDescent="0.35">
      <c r="B1" s="1318" t="s">
        <v>54</v>
      </c>
      <c r="C1" s="1318"/>
      <c r="D1" s="1318"/>
      <c r="E1" s="1318"/>
      <c r="F1" s="1318"/>
      <c r="G1" s="1318"/>
      <c r="H1" s="1318"/>
      <c r="I1" s="1318"/>
      <c r="J1" s="1318"/>
      <c r="K1" s="1318"/>
      <c r="L1" s="1318"/>
      <c r="M1" s="1318"/>
      <c r="N1" s="1318"/>
      <c r="O1" s="1318"/>
      <c r="P1" s="1318"/>
      <c r="Q1" s="1318"/>
      <c r="R1" s="1318"/>
      <c r="S1" s="1318"/>
      <c r="T1" s="1318"/>
      <c r="U1" s="1318"/>
      <c r="V1" s="1318"/>
      <c r="W1" s="1318"/>
      <c r="X1" s="1318"/>
      <c r="Y1" s="1318"/>
      <c r="Z1" s="1318"/>
      <c r="AA1" s="1318"/>
      <c r="AB1" s="1318"/>
      <c r="AC1" s="1318"/>
      <c r="AD1" s="223"/>
      <c r="AE1" s="223"/>
      <c r="AF1" s="223"/>
      <c r="AG1" s="223"/>
      <c r="AH1" s="223"/>
    </row>
    <row r="2" spans="2:41" ht="14.25" customHeight="1" x14ac:dyDescent="0.35">
      <c r="B2" s="1397" t="s">
        <v>856</v>
      </c>
      <c r="C2" s="1397"/>
      <c r="D2" s="1397"/>
      <c r="E2" s="1397"/>
      <c r="F2" s="1397"/>
      <c r="G2" s="1397"/>
      <c r="H2" s="1397"/>
      <c r="I2" s="1397"/>
      <c r="J2" s="1397"/>
      <c r="K2" s="1397"/>
      <c r="L2" s="1397"/>
      <c r="M2" s="1397"/>
      <c r="N2" s="1397"/>
      <c r="O2" s="1397"/>
      <c r="P2" s="1397"/>
      <c r="Q2" s="1397"/>
      <c r="R2" s="1397"/>
      <c r="S2" s="1397"/>
      <c r="T2" s="1397"/>
      <c r="U2" s="1397"/>
      <c r="V2" s="1396" t="s">
        <v>904</v>
      </c>
      <c r="W2" s="1396"/>
      <c r="X2" s="1396"/>
      <c r="Y2" s="1396"/>
      <c r="Z2" s="1396"/>
      <c r="AA2" s="1396"/>
      <c r="AB2" s="1396"/>
      <c r="AC2" s="602"/>
      <c r="AD2" s="602"/>
      <c r="AE2" s="602"/>
      <c r="AF2" s="602"/>
      <c r="AG2" s="602"/>
      <c r="AH2" s="602"/>
    </row>
    <row r="3" spans="2:41" ht="59.9" customHeight="1" x14ac:dyDescent="0.35">
      <c r="B3" s="1397"/>
      <c r="C3" s="1397"/>
      <c r="D3" s="1397"/>
      <c r="E3" s="1397"/>
      <c r="F3" s="1397"/>
      <c r="G3" s="1397"/>
      <c r="H3" s="1397"/>
      <c r="I3" s="1397"/>
      <c r="J3" s="1397"/>
      <c r="K3" s="1397"/>
      <c r="L3" s="1397"/>
      <c r="M3" s="1397"/>
      <c r="N3" s="1397"/>
      <c r="O3" s="1397"/>
      <c r="P3" s="1397"/>
      <c r="Q3" s="1397"/>
      <c r="R3" s="1397"/>
      <c r="S3" s="1397"/>
      <c r="T3" s="1397"/>
      <c r="U3" s="1397"/>
      <c r="V3" s="1396"/>
      <c r="W3" s="1396"/>
      <c r="X3" s="1396"/>
      <c r="Y3" s="1396"/>
      <c r="Z3" s="1396"/>
      <c r="AA3" s="1396"/>
      <c r="AB3" s="1396"/>
      <c r="AC3" s="602"/>
      <c r="AD3" s="602"/>
      <c r="AE3" s="602"/>
      <c r="AF3" s="602"/>
      <c r="AG3" s="602"/>
      <c r="AH3" s="602"/>
    </row>
    <row r="4" spans="2:41" ht="88.5" customHeight="1" x14ac:dyDescent="0.35">
      <c r="B4" s="1397"/>
      <c r="C4" s="1397"/>
      <c r="D4" s="1397"/>
      <c r="E4" s="1397"/>
      <c r="F4" s="1397"/>
      <c r="G4" s="1397"/>
      <c r="H4" s="1397"/>
      <c r="I4" s="1397"/>
      <c r="J4" s="1397"/>
      <c r="K4" s="1397"/>
      <c r="L4" s="1397"/>
      <c r="M4" s="1397"/>
      <c r="N4" s="1397"/>
      <c r="O4" s="1397"/>
      <c r="P4" s="1397"/>
      <c r="Q4" s="1397"/>
      <c r="R4" s="1397"/>
      <c r="S4" s="1397"/>
      <c r="T4" s="1397"/>
      <c r="U4" s="1397"/>
      <c r="V4" s="1396"/>
      <c r="W4" s="1396"/>
      <c r="X4" s="1396"/>
      <c r="Y4" s="1396"/>
      <c r="Z4" s="1396"/>
      <c r="AA4" s="1396"/>
      <c r="AB4" s="1396"/>
      <c r="AC4" s="602"/>
      <c r="AD4" s="602"/>
      <c r="AE4" s="602"/>
      <c r="AF4" s="602"/>
      <c r="AG4" s="602"/>
      <c r="AH4" s="602"/>
    </row>
    <row r="5" spans="2:41" ht="33" customHeight="1" x14ac:dyDescent="0.35">
      <c r="D5" s="602"/>
      <c r="E5" s="602"/>
      <c r="F5" s="602"/>
      <c r="G5" s="602"/>
      <c r="H5" s="602"/>
      <c r="I5" s="602"/>
      <c r="J5" s="602"/>
      <c r="K5" s="602"/>
      <c r="L5" s="602"/>
      <c r="M5" s="602"/>
      <c r="N5" s="602"/>
      <c r="O5" s="602"/>
      <c r="P5" s="602"/>
      <c r="Q5" s="602"/>
      <c r="R5" s="602"/>
      <c r="S5" s="602"/>
      <c r="T5" s="602"/>
      <c r="U5" s="602"/>
      <c r="V5" s="602"/>
      <c r="W5" s="602"/>
      <c r="X5" s="602"/>
      <c r="Y5" s="602"/>
      <c r="Z5" s="602"/>
      <c r="AA5" s="602"/>
      <c r="AB5" s="602"/>
      <c r="AC5" s="602"/>
      <c r="AD5" s="602"/>
      <c r="AE5" s="602"/>
      <c r="AF5" s="602"/>
      <c r="AG5" s="602"/>
      <c r="AH5" s="602"/>
    </row>
    <row r="6" spans="2:41" x14ac:dyDescent="0.35">
      <c r="B6" s="1383"/>
      <c r="C6" s="1383"/>
      <c r="D6" s="602"/>
      <c r="E6" s="602"/>
      <c r="F6" s="602"/>
      <c r="G6" s="602"/>
      <c r="H6" s="602"/>
      <c r="I6" s="602"/>
      <c r="J6" s="602"/>
      <c r="K6" s="602"/>
      <c r="L6" s="602"/>
      <c r="M6" s="602"/>
      <c r="N6" s="602"/>
      <c r="O6" s="602"/>
      <c r="P6" s="602"/>
      <c r="Q6" s="602"/>
      <c r="R6" s="602"/>
      <c r="S6" s="602"/>
      <c r="T6" s="602"/>
      <c r="U6" s="602"/>
      <c r="V6" s="602"/>
      <c r="W6" s="602"/>
      <c r="X6" s="602"/>
      <c r="Y6" s="602"/>
      <c r="Z6" s="602"/>
      <c r="AA6" s="602"/>
      <c r="AB6" s="602"/>
      <c r="AC6" s="602"/>
      <c r="AD6" s="602"/>
      <c r="AE6" s="602"/>
      <c r="AF6" s="602"/>
      <c r="AG6" s="602"/>
      <c r="AH6" s="602"/>
    </row>
    <row r="7" spans="2:41" ht="14.9" customHeight="1" x14ac:dyDescent="0.35">
      <c r="B7" s="1323" t="s">
        <v>402</v>
      </c>
      <c r="C7" s="1324"/>
      <c r="D7" s="1347" t="s">
        <v>279</v>
      </c>
      <c r="E7" s="1348"/>
      <c r="F7" s="1348"/>
      <c r="G7" s="1348"/>
      <c r="H7" s="1348"/>
      <c r="I7" s="1348"/>
      <c r="J7" s="1348"/>
      <c r="K7" s="1348"/>
      <c r="L7" s="1348"/>
      <c r="M7" s="1348"/>
      <c r="N7" s="1348"/>
      <c r="O7" s="1348"/>
      <c r="P7" s="1348"/>
      <c r="Q7" s="1348"/>
      <c r="R7" s="1348"/>
      <c r="S7" s="1348"/>
      <c r="T7" s="1348"/>
      <c r="U7" s="1348"/>
      <c r="V7" s="1348"/>
      <c r="W7" s="1348"/>
      <c r="X7" s="1348"/>
      <c r="Y7" s="1348"/>
      <c r="Z7" s="1348"/>
      <c r="AA7" s="1348"/>
      <c r="AB7" s="1349"/>
      <c r="AC7" s="1350" t="s">
        <v>280</v>
      </c>
      <c r="AD7" s="1331"/>
      <c r="AE7" s="1331"/>
      <c r="AF7" s="1331"/>
      <c r="AG7" s="1331"/>
      <c r="AH7" s="1331"/>
      <c r="AI7" s="1331"/>
      <c r="AJ7" s="1331"/>
      <c r="AK7" s="1331"/>
      <c r="AL7" s="1331"/>
      <c r="AM7" s="1331"/>
      <c r="AN7" s="1332"/>
    </row>
    <row r="8" spans="2:41" x14ac:dyDescent="0.35">
      <c r="B8" s="1325"/>
      <c r="C8" s="1326"/>
      <c r="D8" s="296">
        <v>2018</v>
      </c>
      <c r="E8" s="1342">
        <v>2019</v>
      </c>
      <c r="F8" s="1354"/>
      <c r="G8" s="1354"/>
      <c r="H8" s="1344"/>
      <c r="I8" s="1342">
        <v>2020</v>
      </c>
      <c r="J8" s="1354"/>
      <c r="K8" s="1354"/>
      <c r="L8" s="1344"/>
      <c r="M8" s="1342">
        <v>2021</v>
      </c>
      <c r="N8" s="1354"/>
      <c r="O8" s="1354"/>
      <c r="P8" s="1344"/>
      <c r="Q8" s="1342">
        <v>2022</v>
      </c>
      <c r="R8" s="1354"/>
      <c r="S8" s="1354"/>
      <c r="T8" s="1344"/>
      <c r="U8" s="302"/>
      <c r="V8" s="302">
        <v>2023</v>
      </c>
      <c r="W8" s="302"/>
      <c r="X8" s="309"/>
      <c r="Y8" s="460"/>
      <c r="Z8" s="302">
        <v>2024</v>
      </c>
      <c r="AA8" s="302"/>
      <c r="AB8" s="309"/>
      <c r="AC8" s="1329">
        <v>2025</v>
      </c>
      <c r="AD8" s="1330"/>
      <c r="AE8" s="1330"/>
      <c r="AF8" s="1334"/>
      <c r="AG8" s="1329">
        <v>2026</v>
      </c>
      <c r="AH8" s="1330"/>
      <c r="AI8" s="1330"/>
      <c r="AJ8" s="1334"/>
      <c r="AK8" s="1329">
        <v>2027</v>
      </c>
      <c r="AL8" s="1330"/>
      <c r="AM8" s="1330"/>
      <c r="AN8" s="1334"/>
      <c r="AO8" s="249"/>
    </row>
    <row r="9" spans="2:41" x14ac:dyDescent="0.35">
      <c r="B9" s="1327"/>
      <c r="C9" s="1328"/>
      <c r="D9" s="225" t="s">
        <v>281</v>
      </c>
      <c r="E9" s="225" t="s">
        <v>282</v>
      </c>
      <c r="F9" s="226" t="s">
        <v>283</v>
      </c>
      <c r="G9" s="226" t="s">
        <v>238</v>
      </c>
      <c r="H9" s="232" t="s">
        <v>281</v>
      </c>
      <c r="I9" s="226" t="s">
        <v>282</v>
      </c>
      <c r="J9" s="226" t="s">
        <v>283</v>
      </c>
      <c r="K9" s="226" t="s">
        <v>238</v>
      </c>
      <c r="L9" s="226" t="s">
        <v>281</v>
      </c>
      <c r="M9" s="225" t="s">
        <v>282</v>
      </c>
      <c r="N9" s="226" t="s">
        <v>283</v>
      </c>
      <c r="O9" s="226" t="s">
        <v>238</v>
      </c>
      <c r="P9" s="226" t="s">
        <v>281</v>
      </c>
      <c r="Q9" s="225" t="s">
        <v>282</v>
      </c>
      <c r="R9" s="226" t="s">
        <v>283</v>
      </c>
      <c r="S9" s="226" t="s">
        <v>238</v>
      </c>
      <c r="T9" s="232" t="s">
        <v>281</v>
      </c>
      <c r="U9" s="226" t="s">
        <v>282</v>
      </c>
      <c r="V9" s="287" t="s">
        <v>283</v>
      </c>
      <c r="W9" s="287" t="s">
        <v>238</v>
      </c>
      <c r="X9" s="285" t="s">
        <v>281</v>
      </c>
      <c r="Y9" s="286" t="s">
        <v>282</v>
      </c>
      <c r="Z9" s="292" t="s">
        <v>283</v>
      </c>
      <c r="AA9" s="287" t="s">
        <v>238</v>
      </c>
      <c r="AB9" s="287" t="s">
        <v>281</v>
      </c>
      <c r="AC9" s="286" t="s">
        <v>282</v>
      </c>
      <c r="AD9" s="292" t="s">
        <v>283</v>
      </c>
      <c r="AE9" s="273" t="s">
        <v>238</v>
      </c>
      <c r="AF9" s="273" t="s">
        <v>281</v>
      </c>
      <c r="AG9" s="236" t="s">
        <v>282</v>
      </c>
      <c r="AH9" s="271" t="s">
        <v>283</v>
      </c>
      <c r="AI9" s="271" t="s">
        <v>238</v>
      </c>
      <c r="AJ9" s="290" t="s">
        <v>281</v>
      </c>
      <c r="AK9" s="236" t="s">
        <v>282</v>
      </c>
      <c r="AL9" s="271" t="s">
        <v>283</v>
      </c>
      <c r="AM9" s="271" t="s">
        <v>238</v>
      </c>
      <c r="AN9" s="290" t="s">
        <v>281</v>
      </c>
      <c r="AO9" s="233"/>
    </row>
    <row r="10" spans="2:41" x14ac:dyDescent="0.35">
      <c r="B10" s="578" t="s">
        <v>101</v>
      </c>
      <c r="C10" s="604" t="s">
        <v>428</v>
      </c>
      <c r="D10" s="561">
        <f>'Haver Pivoted'!GO13</f>
        <v>589.5</v>
      </c>
      <c r="E10" s="582">
        <f>'Haver Pivoted'!GP13</f>
        <v>598.70000000000005</v>
      </c>
      <c r="F10" s="582">
        <f>'Haver Pivoted'!GQ13</f>
        <v>614.4</v>
      </c>
      <c r="G10" s="561">
        <f>'Haver Pivoted'!GR13</f>
        <v>622.4</v>
      </c>
      <c r="H10" s="561">
        <f>'Haver Pivoted'!GS13</f>
        <v>620.6</v>
      </c>
      <c r="I10" s="582">
        <f>'Haver Pivoted'!GT13</f>
        <v>606.5</v>
      </c>
      <c r="J10" s="582">
        <f>'Haver Pivoted'!GU13</f>
        <v>654.6</v>
      </c>
      <c r="K10" s="561">
        <f>'Haver Pivoted'!GV13</f>
        <v>690.8</v>
      </c>
      <c r="L10" s="561">
        <f>'Haver Pivoted'!GW13</f>
        <v>678.6</v>
      </c>
      <c r="M10" s="582">
        <f>'Haver Pivoted'!GX13</f>
        <v>704.9</v>
      </c>
      <c r="N10" s="582">
        <f>'Haver Pivoted'!GY13</f>
        <v>745.6</v>
      </c>
      <c r="O10" s="561">
        <f>'Haver Pivoted'!GZ13</f>
        <v>749.2</v>
      </c>
      <c r="P10" s="561">
        <f>'Haver Pivoted'!HA13</f>
        <v>746.3</v>
      </c>
      <c r="Q10" s="582">
        <f>'Haver Pivoted'!HB13</f>
        <v>791.9</v>
      </c>
      <c r="R10" s="582">
        <f>'Haver Pivoted'!HC13</f>
        <v>819.2</v>
      </c>
      <c r="S10" s="1229">
        <f>'Haver Pivoted'!HD13</f>
        <v>819</v>
      </c>
      <c r="T10" s="583">
        <f>'Haver Pivoted'!HE13</f>
        <v>827.5</v>
      </c>
      <c r="U10" s="583">
        <f>'Haver Pivoted'!HF13</f>
        <v>877.6</v>
      </c>
      <c r="V10" s="1229">
        <f>'Haver Pivoted'!HG13</f>
        <v>911.6</v>
      </c>
      <c r="W10" s="1229">
        <f>'Haver Pivoted'!HH13</f>
        <v>867.2</v>
      </c>
      <c r="X10" s="583">
        <f>'Haver Pivoted'!HI13</f>
        <v>856.2</v>
      </c>
      <c r="Y10" s="583">
        <f>'Haver Pivoted'!HJ13</f>
        <v>904.8</v>
      </c>
      <c r="Z10" s="1229">
        <f>'Haver Pivoted'!HK13</f>
        <v>924.7</v>
      </c>
      <c r="AA10" s="1229">
        <f>'Haver Pivoted'!HL13</f>
        <v>932.4</v>
      </c>
      <c r="AB10" s="583">
        <f>'Haver Pivoted'!HM13</f>
        <v>944.8</v>
      </c>
      <c r="AC10" s="583">
        <f>'Haver Pivoted'!HN13</f>
        <v>957.6</v>
      </c>
      <c r="AD10" s="1229">
        <f>'Haver Pivoted'!HO13</f>
        <v>983.1</v>
      </c>
      <c r="AE10" s="329"/>
      <c r="AF10" s="329"/>
      <c r="AG10" s="329"/>
      <c r="AH10" s="329"/>
      <c r="AI10" s="329"/>
      <c r="AJ10" s="329"/>
      <c r="AK10" s="329"/>
      <c r="AL10" s="329"/>
      <c r="AM10" s="329"/>
      <c r="AN10" s="329"/>
    </row>
    <row r="11" spans="2:41" x14ac:dyDescent="0.35">
      <c r="B11" s="571" t="s">
        <v>429</v>
      </c>
      <c r="C11" s="249" t="s">
        <v>338</v>
      </c>
      <c r="D11" s="599">
        <f>'Haver Pivoted'!GO40</f>
        <v>391.92099999999999</v>
      </c>
      <c r="E11" s="599">
        <f>'Haver Pivoted'!GP40</f>
        <v>405.36799999999999</v>
      </c>
      <c r="F11" s="599">
        <f>'Haver Pivoted'!GQ40</f>
        <v>414.19600000000003</v>
      </c>
      <c r="G11" s="599">
        <f>'Haver Pivoted'!GR40</f>
        <v>418.68599999999998</v>
      </c>
      <c r="H11" s="599">
        <f>'Haver Pivoted'!GS40</f>
        <v>416.185</v>
      </c>
      <c r="I11" s="599">
        <f>'Haver Pivoted'!GT40</f>
        <v>422.89</v>
      </c>
      <c r="J11" s="599">
        <f>'Haver Pivoted'!GU40</f>
        <v>502.90600000000001</v>
      </c>
      <c r="K11" s="599">
        <f>'Haver Pivoted'!GV40</f>
        <v>484.48</v>
      </c>
      <c r="L11" s="599">
        <f>'Haver Pivoted'!GW40</f>
        <v>509.88400000000001</v>
      </c>
      <c r="M11" s="599">
        <f>'Haver Pivoted'!GX40</f>
        <v>499.42899999999997</v>
      </c>
      <c r="N11" s="599">
        <f>'Haver Pivoted'!GY40</f>
        <v>520.79</v>
      </c>
      <c r="O11" s="599">
        <f>'Haver Pivoted'!GZ40</f>
        <v>545.32600000000002</v>
      </c>
      <c r="P11" s="599">
        <f>'Haver Pivoted'!HA40</f>
        <v>567.61</v>
      </c>
      <c r="Q11" s="599">
        <f>'Haver Pivoted'!HB40</f>
        <v>589.92700000000002</v>
      </c>
      <c r="R11" s="599">
        <f>'Haver Pivoted'!HC40</f>
        <v>585.74599999999998</v>
      </c>
      <c r="S11" s="1230">
        <f>'Haver Pivoted'!HD40</f>
        <v>617.88900000000001</v>
      </c>
      <c r="T11" s="1230">
        <f>'Haver Pivoted'!HE40</f>
        <v>611.67999999999995</v>
      </c>
      <c r="U11" s="1230">
        <f>'Haver Pivoted'!HF40</f>
        <v>632.66</v>
      </c>
      <c r="V11" s="1230">
        <f>'Haver Pivoted'!HG40</f>
        <v>628.88699999999994</v>
      </c>
      <c r="W11" s="1230">
        <f>'Haver Pivoted'!HH40</f>
        <v>585.98400000000004</v>
      </c>
      <c r="X11" s="1230">
        <f>'Haver Pivoted'!HI40</f>
        <v>612.03399999999999</v>
      </c>
      <c r="Y11" s="1230">
        <f>'Haver Pivoted'!HJ40</f>
        <v>618.72699999999998</v>
      </c>
      <c r="Z11" s="1230">
        <f>'Haver Pivoted'!HK40</f>
        <v>628.15700000000004</v>
      </c>
      <c r="AA11" s="1230">
        <f>'Haver Pivoted'!HL40</f>
        <v>641.23699999999997</v>
      </c>
      <c r="AB11" s="1230">
        <f>'Haver Pivoted'!HM40</f>
        <v>655.17499999999995</v>
      </c>
      <c r="AC11" s="1230">
        <f>'Haver Pivoted'!HN40</f>
        <v>647.03</v>
      </c>
      <c r="AD11" s="1230">
        <f>'Haver Pivoted'!HO40</f>
        <v>680.65800000000002</v>
      </c>
      <c r="AE11" s="329"/>
      <c r="AF11" s="329"/>
      <c r="AG11" s="329"/>
      <c r="AH11" s="329"/>
      <c r="AI11" s="329"/>
      <c r="AJ11" s="329"/>
      <c r="AK11" s="329"/>
      <c r="AL11" s="329"/>
      <c r="AM11" s="329"/>
      <c r="AN11" s="329"/>
    </row>
    <row r="12" spans="2:41" ht="27.65" customHeight="1" x14ac:dyDescent="0.35">
      <c r="B12" s="539" t="s">
        <v>888</v>
      </c>
      <c r="C12" s="35"/>
      <c r="D12" s="601">
        <f t="shared" ref="D12:AC12" si="0">D11/D10</f>
        <v>0.66483630195080579</v>
      </c>
      <c r="E12" s="587">
        <f t="shared" si="0"/>
        <v>0.67708034073826617</v>
      </c>
      <c r="F12" s="587">
        <f t="shared" si="0"/>
        <v>0.67414713541666671</v>
      </c>
      <c r="G12" s="587">
        <f t="shared" si="0"/>
        <v>0.67269601542416446</v>
      </c>
      <c r="H12" s="587">
        <f t="shared" si="0"/>
        <v>0.67061714469867872</v>
      </c>
      <c r="I12" s="587">
        <f t="shared" si="0"/>
        <v>0.69726298433635614</v>
      </c>
      <c r="J12" s="587">
        <f t="shared" si="0"/>
        <v>0.76826458906202255</v>
      </c>
      <c r="K12" s="587">
        <f t="shared" si="0"/>
        <v>0.70133178922987849</v>
      </c>
      <c r="L12" s="587">
        <f t="shared" si="0"/>
        <v>0.75137636310050104</v>
      </c>
      <c r="M12" s="587">
        <f t="shared" si="0"/>
        <v>0.70851042701092348</v>
      </c>
      <c r="N12" s="587">
        <f t="shared" si="0"/>
        <v>0.69848444206008575</v>
      </c>
      <c r="O12" s="587">
        <f t="shared" si="0"/>
        <v>0.72787773625200214</v>
      </c>
      <c r="P12" s="587">
        <f t="shared" si="0"/>
        <v>0.76056545625083749</v>
      </c>
      <c r="Q12" s="587">
        <f t="shared" si="0"/>
        <v>0.74495138275034734</v>
      </c>
      <c r="R12" s="587">
        <f t="shared" si="0"/>
        <v>0.71502197265624989</v>
      </c>
      <c r="S12" s="562">
        <f>S11/S10</f>
        <v>0.75444322344322345</v>
      </c>
      <c r="T12" s="562">
        <f t="shared" si="0"/>
        <v>0.73919033232628395</v>
      </c>
      <c r="U12" s="562">
        <f t="shared" si="0"/>
        <v>0.72089790337283499</v>
      </c>
      <c r="V12" s="562">
        <f t="shared" si="0"/>
        <v>0.68987165423431318</v>
      </c>
      <c r="W12" s="562">
        <f t="shared" si="0"/>
        <v>0.67571955719557197</v>
      </c>
      <c r="X12" s="562">
        <f t="shared" si="0"/>
        <v>0.71482597523943003</v>
      </c>
      <c r="Y12" s="562">
        <f t="shared" si="0"/>
        <v>0.68382736516357212</v>
      </c>
      <c r="Z12" s="562">
        <f t="shared" si="0"/>
        <v>0.67930896506975236</v>
      </c>
      <c r="AA12" s="562">
        <f t="shared" si="0"/>
        <v>0.68772737022737018</v>
      </c>
      <c r="AB12" s="562">
        <f t="shared" si="0"/>
        <v>0.6934536409822184</v>
      </c>
      <c r="AC12" s="562">
        <f t="shared" si="0"/>
        <v>0.67567878028404338</v>
      </c>
      <c r="AD12" s="562">
        <f>AD11/AD10</f>
        <v>0.69235886481537989</v>
      </c>
      <c r="AE12" s="603">
        <f>AVERAGE(AA12:AD12)</f>
        <v>0.68730466407725288</v>
      </c>
      <c r="AF12" s="603">
        <f t="shared" ref="AF12:AN12" si="1">AVERAGE(AB12:AE12)</f>
        <v>0.68719898753972364</v>
      </c>
      <c r="AG12" s="603">
        <f t="shared" si="1"/>
        <v>0.6856353241791</v>
      </c>
      <c r="AH12" s="603">
        <f t="shared" si="1"/>
        <v>0.6881244601528641</v>
      </c>
      <c r="AI12" s="603">
        <f t="shared" si="1"/>
        <v>0.68706585898723516</v>
      </c>
      <c r="AJ12" s="603">
        <f t="shared" si="1"/>
        <v>0.68700615771473073</v>
      </c>
      <c r="AK12" s="603">
        <f t="shared" si="1"/>
        <v>0.6869579502584825</v>
      </c>
      <c r="AL12" s="603">
        <f t="shared" si="1"/>
        <v>0.68728860677832815</v>
      </c>
      <c r="AM12" s="603">
        <f t="shared" si="1"/>
        <v>0.68707964343469419</v>
      </c>
      <c r="AN12" s="603">
        <f t="shared" si="1"/>
        <v>0.68708308954655883</v>
      </c>
    </row>
    <row r="13" spans="2:41" x14ac:dyDescent="0.35">
      <c r="O13" s="56"/>
      <c r="P13" s="249"/>
      <c r="Q13" s="56"/>
      <c r="R13" s="56"/>
      <c r="S13" s="56"/>
      <c r="T13" s="509"/>
      <c r="Y13" s="233"/>
      <c r="Z13" s="233"/>
      <c r="AA13" s="233"/>
      <c r="AB13" s="233"/>
      <c r="AC13" s="233"/>
      <c r="AD13" s="233"/>
      <c r="AE13" s="233"/>
      <c r="AF13" s="233"/>
      <c r="AG13" s="233"/>
      <c r="AH13" s="233"/>
      <c r="AI13" s="56"/>
    </row>
    <row r="14" spans="2:41" x14ac:dyDescent="0.35">
      <c r="B14" s="529" t="s">
        <v>351</v>
      </c>
      <c r="O14" s="56"/>
      <c r="P14" s="249"/>
      <c r="Q14" s="56"/>
      <c r="R14" s="56"/>
      <c r="S14" s="56"/>
      <c r="T14" s="509"/>
      <c r="Y14" s="233"/>
      <c r="Z14" s="233"/>
      <c r="AA14" s="233"/>
      <c r="AB14" s="233"/>
      <c r="AC14" s="233"/>
      <c r="AD14" s="233"/>
      <c r="AE14" s="233"/>
      <c r="AF14" s="233"/>
      <c r="AG14" s="233"/>
      <c r="AH14" s="233"/>
      <c r="AI14" s="56"/>
    </row>
    <row r="15" spans="2:41" x14ac:dyDescent="0.35">
      <c r="B15" s="558" t="s">
        <v>430</v>
      </c>
      <c r="C15" s="579">
        <v>2020</v>
      </c>
      <c r="D15" s="579">
        <v>2021</v>
      </c>
      <c r="E15" s="579">
        <v>2022</v>
      </c>
      <c r="F15" s="579">
        <v>2023</v>
      </c>
      <c r="G15" s="579">
        <v>2024</v>
      </c>
      <c r="H15" s="579">
        <v>2025</v>
      </c>
      <c r="I15" s="579">
        <v>2026</v>
      </c>
      <c r="J15" s="579">
        <v>2027</v>
      </c>
      <c r="K15" s="580">
        <v>2028</v>
      </c>
      <c r="L15" s="579">
        <v>2029</v>
      </c>
      <c r="M15" s="579">
        <v>2030</v>
      </c>
      <c r="N15" s="579">
        <v>2031</v>
      </c>
      <c r="O15" s="580">
        <v>2032</v>
      </c>
      <c r="P15" s="579">
        <v>2033</v>
      </c>
      <c r="Q15" s="579">
        <v>2034</v>
      </c>
      <c r="R15" s="579">
        <v>2035</v>
      </c>
      <c r="S15" s="56"/>
      <c r="T15" s="576"/>
      <c r="U15" s="576"/>
      <c r="V15" s="576"/>
      <c r="W15" s="576"/>
      <c r="X15" s="576"/>
      <c r="Y15" s="576"/>
      <c r="Z15" s="576"/>
      <c r="AA15" s="576"/>
      <c r="AB15" s="576"/>
      <c r="AC15" s="576"/>
      <c r="AD15" s="576"/>
      <c r="AE15" s="576"/>
      <c r="AF15" s="576"/>
      <c r="AG15" s="576"/>
      <c r="AH15" s="576"/>
      <c r="AI15" s="56"/>
    </row>
    <row r="16" spans="2:41" ht="26.5" x14ac:dyDescent="0.35">
      <c r="B16" s="557" t="s">
        <v>1964</v>
      </c>
      <c r="C16" s="259">
        <v>458.46800000000002</v>
      </c>
      <c r="D16" s="270">
        <v>520.58799999999997</v>
      </c>
      <c r="E16" s="270">
        <v>591.94899999999996</v>
      </c>
      <c r="F16" s="270">
        <v>615.77200000000005</v>
      </c>
      <c r="G16" s="270">
        <v>617.51700000000005</v>
      </c>
      <c r="H16" s="270">
        <v>655.87</v>
      </c>
      <c r="I16" s="270">
        <v>695.20899999999995</v>
      </c>
      <c r="J16" s="270">
        <v>737.62</v>
      </c>
      <c r="K16" s="270">
        <v>766.58699999999999</v>
      </c>
      <c r="L16" s="270">
        <v>803.17</v>
      </c>
      <c r="M16" s="270">
        <v>836.60199999999998</v>
      </c>
      <c r="N16" s="270">
        <v>870.99400000000003</v>
      </c>
      <c r="O16" s="270">
        <v>910.18399999999997</v>
      </c>
      <c r="P16" s="270">
        <v>947.56500000000005</v>
      </c>
      <c r="Q16" s="270">
        <v>985.65899999999999</v>
      </c>
      <c r="R16" s="270">
        <v>1025.287</v>
      </c>
      <c r="S16" s="56"/>
      <c r="T16" s="56"/>
      <c r="U16" s="56"/>
      <c r="V16" s="56"/>
      <c r="W16" s="56"/>
      <c r="X16" s="56"/>
      <c r="Y16" s="56"/>
      <c r="Z16" s="56"/>
      <c r="AA16" s="56"/>
      <c r="AB16" s="56"/>
      <c r="AC16" s="56"/>
      <c r="AD16" s="56"/>
      <c r="AE16" s="56"/>
      <c r="AF16" s="56"/>
      <c r="AH16" s="56"/>
      <c r="AI16" s="56"/>
    </row>
    <row r="17" spans="2:41" x14ac:dyDescent="0.35">
      <c r="B17" s="571" t="s">
        <v>431</v>
      </c>
      <c r="C17" s="576">
        <f>AVERAGE(H12:K12)</f>
        <v>0.70936912683173392</v>
      </c>
      <c r="D17" s="576">
        <f>AVERAGE(L12:O12)</f>
        <v>0.72156224210587805</v>
      </c>
      <c r="E17" s="576">
        <f>AVERAGE(P12:S12)</f>
        <v>0.74374550877516454</v>
      </c>
      <c r="F17" s="576">
        <f>AVERAGE(T12:W12)</f>
        <v>0.70641986178225102</v>
      </c>
      <c r="G17" s="576">
        <f>AVERAGE(X12:AA12)</f>
        <v>0.6914224189250312</v>
      </c>
      <c r="H17" s="576">
        <f>AVERAGE(Y12:AB12)</f>
        <v>0.68607933536072829</v>
      </c>
      <c r="I17" s="576">
        <f>AVERAGE(AB12:AE12)</f>
        <v>0.68719898753972364</v>
      </c>
      <c r="J17" s="576">
        <f>AVERAGE(AA12:AI12)</f>
        <v>0.68717199458279865</v>
      </c>
    </row>
    <row r="18" spans="2:41" x14ac:dyDescent="0.35">
      <c r="B18" s="571" t="s">
        <v>432</v>
      </c>
      <c r="C18" s="233">
        <f t="shared" ref="C18:K18" si="2">C16/C17</f>
        <v>646.30385318242224</v>
      </c>
      <c r="D18" s="233">
        <f t="shared" si="2"/>
        <v>721.47344972024155</v>
      </c>
      <c r="E18" s="233">
        <f t="shared" si="2"/>
        <v>795.90262128083259</v>
      </c>
      <c r="F18" s="233">
        <f t="shared" si="2"/>
        <v>871.67990781919355</v>
      </c>
      <c r="G18" s="233">
        <f t="shared" si="2"/>
        <v>893.11104629795852</v>
      </c>
      <c r="H18" s="233">
        <f t="shared" si="2"/>
        <v>955.96816023493147</v>
      </c>
      <c r="I18" s="233">
        <f t="shared" si="2"/>
        <v>1011.6560306483474</v>
      </c>
      <c r="J18" s="233">
        <f t="shared" si="2"/>
        <v>1073.4139426735949</v>
      </c>
      <c r="K18" s="233" t="e">
        <f t="shared" si="2"/>
        <v>#DIV/0!</v>
      </c>
    </row>
    <row r="19" spans="2:41" ht="32.25" customHeight="1" x14ac:dyDescent="0.35">
      <c r="B19" s="539" t="s">
        <v>433</v>
      </c>
      <c r="C19" s="568"/>
      <c r="D19" s="587">
        <f>D18/C18-1</f>
        <v>0.11630689832295071</v>
      </c>
      <c r="E19" s="587">
        <f t="shared" ref="E19" si="3">E18/D18-1</f>
        <v>0.10316273119884278</v>
      </c>
      <c r="F19" s="587">
        <f t="shared" ref="F19" si="4">F18/E18-1</f>
        <v>9.5209243583610492E-2</v>
      </c>
      <c r="G19" s="587">
        <f>G18/F18-1</f>
        <v>2.4586018659512598E-2</v>
      </c>
      <c r="H19" s="587">
        <f>H18/G18-1</f>
        <v>7.037995353155968E-2</v>
      </c>
      <c r="I19" s="587">
        <f>I18/H18-1</f>
        <v>5.8252850596750561E-2</v>
      </c>
      <c r="J19" s="587">
        <f>J18/I18-1</f>
        <v>6.1046353853758228E-2</v>
      </c>
      <c r="K19" s="587" t="e">
        <f t="shared" ref="K19" si="5">K18/J18-1</f>
        <v>#DIV/0!</v>
      </c>
      <c r="L19" s="589"/>
      <c r="R19" s="56"/>
      <c r="S19" s="532"/>
      <c r="T19" s="532"/>
      <c r="U19" s="532"/>
    </row>
    <row r="20" spans="2:41" ht="32.25" customHeight="1" x14ac:dyDescent="0.35">
      <c r="B20" s="284"/>
      <c r="C20" s="233"/>
      <c r="D20" s="576"/>
      <c r="E20" s="576"/>
      <c r="F20" s="576"/>
      <c r="G20" s="576"/>
      <c r="H20" s="576"/>
      <c r="I20" s="576"/>
      <c r="J20" s="576"/>
      <c r="K20" s="589"/>
      <c r="L20" s="589"/>
      <c r="R20" s="56"/>
      <c r="S20" s="532"/>
      <c r="T20" s="532"/>
      <c r="U20" s="532"/>
    </row>
    <row r="22" spans="2:41" x14ac:dyDescent="0.35">
      <c r="B22" s="529" t="s">
        <v>364</v>
      </c>
    </row>
    <row r="23" spans="2:41" x14ac:dyDescent="0.35">
      <c r="B23" s="1323" t="s">
        <v>434</v>
      </c>
      <c r="C23" s="1324"/>
      <c r="D23" s="1347" t="s">
        <v>279</v>
      </c>
      <c r="E23" s="1348"/>
      <c r="F23" s="1348"/>
      <c r="G23" s="1348"/>
      <c r="H23" s="1348"/>
      <c r="I23" s="1348"/>
      <c r="J23" s="1348"/>
      <c r="K23" s="1348"/>
      <c r="L23" s="1348"/>
      <c r="M23" s="1348"/>
      <c r="N23" s="1348"/>
      <c r="O23" s="1348"/>
      <c r="P23" s="1348"/>
      <c r="Q23" s="1348"/>
      <c r="R23" s="1348"/>
      <c r="S23" s="1348"/>
      <c r="T23" s="1348"/>
      <c r="U23" s="1348"/>
      <c r="V23" s="1348"/>
      <c r="W23" s="1348"/>
      <c r="X23" s="1348"/>
      <c r="Y23" s="1348"/>
      <c r="Z23" s="1348"/>
      <c r="AA23" s="1348"/>
      <c r="AB23" s="1349"/>
      <c r="AC23" s="1350" t="s">
        <v>280</v>
      </c>
      <c r="AD23" s="1331"/>
      <c r="AE23" s="1331"/>
      <c r="AF23" s="1331"/>
      <c r="AG23" s="1331"/>
      <c r="AH23" s="1331"/>
      <c r="AI23" s="1331"/>
      <c r="AJ23" s="1331"/>
      <c r="AK23" s="1331"/>
      <c r="AL23" s="1331"/>
      <c r="AM23" s="1331"/>
      <c r="AN23" s="1332"/>
    </row>
    <row r="24" spans="2:41" x14ac:dyDescent="0.35">
      <c r="B24" s="1325"/>
      <c r="C24" s="1326"/>
      <c r="D24" s="296">
        <v>2018</v>
      </c>
      <c r="E24" s="1342">
        <v>2019</v>
      </c>
      <c r="F24" s="1354"/>
      <c r="G24" s="1354"/>
      <c r="H24" s="1344"/>
      <c r="I24" s="1342">
        <v>2020</v>
      </c>
      <c r="J24" s="1354"/>
      <c r="K24" s="1354"/>
      <c r="L24" s="1344"/>
      <c r="M24" s="1342">
        <v>2021</v>
      </c>
      <c r="N24" s="1354"/>
      <c r="O24" s="1354"/>
      <c r="P24" s="1344"/>
      <c r="Q24" s="1342">
        <v>2022</v>
      </c>
      <c r="R24" s="1354"/>
      <c r="S24" s="1354"/>
      <c r="T24" s="1344"/>
      <c r="U24" s="460"/>
      <c r="V24" s="442">
        <v>2023</v>
      </c>
      <c r="W24" s="442"/>
      <c r="X24" s="309"/>
      <c r="Y24" s="460"/>
      <c r="Z24" s="442">
        <v>2024</v>
      </c>
      <c r="AA24" s="442"/>
      <c r="AB24" s="309"/>
      <c r="AC24" s="1329">
        <v>2025</v>
      </c>
      <c r="AD24" s="1330"/>
      <c r="AE24" s="1330"/>
      <c r="AF24" s="1334"/>
      <c r="AG24" s="1329">
        <v>2026</v>
      </c>
      <c r="AH24" s="1330"/>
      <c r="AI24" s="1330"/>
      <c r="AJ24" s="1334"/>
      <c r="AK24" s="1329">
        <v>2027</v>
      </c>
      <c r="AL24" s="1330"/>
      <c r="AM24" s="1330"/>
      <c r="AN24" s="1334"/>
    </row>
    <row r="25" spans="2:41" x14ac:dyDescent="0.35">
      <c r="B25" s="1327"/>
      <c r="C25" s="1328"/>
      <c r="D25" s="225" t="s">
        <v>281</v>
      </c>
      <c r="E25" s="225" t="s">
        <v>282</v>
      </c>
      <c r="F25" s="226" t="s">
        <v>283</v>
      </c>
      <c r="G25" s="226" t="s">
        <v>238</v>
      </c>
      <c r="H25" s="232" t="s">
        <v>281</v>
      </c>
      <c r="I25" s="226" t="s">
        <v>282</v>
      </c>
      <c r="J25" s="226" t="s">
        <v>283</v>
      </c>
      <c r="K25" s="226" t="s">
        <v>238</v>
      </c>
      <c r="L25" s="226" t="s">
        <v>281</v>
      </c>
      <c r="M25" s="225" t="s">
        <v>282</v>
      </c>
      <c r="N25" s="226" t="s">
        <v>283</v>
      </c>
      <c r="O25" s="226" t="s">
        <v>238</v>
      </c>
      <c r="P25" s="226" t="s">
        <v>281</v>
      </c>
      <c r="Q25" s="225" t="s">
        <v>282</v>
      </c>
      <c r="R25" s="226" t="s">
        <v>283</v>
      </c>
      <c r="S25" s="226" t="s">
        <v>238</v>
      </c>
      <c r="T25" s="232" t="s">
        <v>281</v>
      </c>
      <c r="U25" s="286" t="s">
        <v>282</v>
      </c>
      <c r="V25" s="292" t="s">
        <v>283</v>
      </c>
      <c r="W25" s="287" t="s">
        <v>238</v>
      </c>
      <c r="X25" s="287" t="s">
        <v>281</v>
      </c>
      <c r="Y25" s="286" t="s">
        <v>282</v>
      </c>
      <c r="Z25" s="292" t="s">
        <v>283</v>
      </c>
      <c r="AA25" s="287" t="s">
        <v>238</v>
      </c>
      <c r="AB25" s="287" t="s">
        <v>281</v>
      </c>
      <c r="AC25" s="286" t="s">
        <v>282</v>
      </c>
      <c r="AD25" s="292" t="s">
        <v>283</v>
      </c>
      <c r="AE25" s="273" t="s">
        <v>238</v>
      </c>
      <c r="AF25" s="273" t="s">
        <v>281</v>
      </c>
      <c r="AG25" s="236" t="s">
        <v>282</v>
      </c>
      <c r="AH25" s="271" t="s">
        <v>283</v>
      </c>
      <c r="AI25" s="271" t="s">
        <v>238</v>
      </c>
      <c r="AJ25" s="290" t="s">
        <v>281</v>
      </c>
      <c r="AK25" s="236" t="s">
        <v>282</v>
      </c>
      <c r="AL25" s="271" t="s">
        <v>283</v>
      </c>
      <c r="AM25" s="271" t="s">
        <v>238</v>
      </c>
      <c r="AN25" s="290" t="s">
        <v>281</v>
      </c>
    </row>
    <row r="26" spans="2:41" ht="19.5" customHeight="1" x14ac:dyDescent="0.35">
      <c r="B26" s="563" t="s">
        <v>435</v>
      </c>
      <c r="C26" s="597"/>
      <c r="D26" s="584">
        <f t="shared" ref="D26:AD26" si="6">D10</f>
        <v>589.5</v>
      </c>
      <c r="E26" s="585">
        <f t="shared" si="6"/>
        <v>598.70000000000005</v>
      </c>
      <c r="F26" s="585">
        <f t="shared" si="6"/>
        <v>614.4</v>
      </c>
      <c r="G26" s="585">
        <f t="shared" si="6"/>
        <v>622.4</v>
      </c>
      <c r="H26" s="585">
        <f t="shared" si="6"/>
        <v>620.6</v>
      </c>
      <c r="I26" s="585">
        <f t="shared" si="6"/>
        <v>606.5</v>
      </c>
      <c r="J26" s="585">
        <f t="shared" si="6"/>
        <v>654.6</v>
      </c>
      <c r="K26" s="585">
        <f t="shared" si="6"/>
        <v>690.8</v>
      </c>
      <c r="L26" s="585">
        <f t="shared" si="6"/>
        <v>678.6</v>
      </c>
      <c r="M26" s="585">
        <f t="shared" si="6"/>
        <v>704.9</v>
      </c>
      <c r="N26" s="585">
        <f t="shared" si="6"/>
        <v>745.6</v>
      </c>
      <c r="O26" s="585">
        <f t="shared" si="6"/>
        <v>749.2</v>
      </c>
      <c r="P26" s="585">
        <f t="shared" si="6"/>
        <v>746.3</v>
      </c>
      <c r="Q26" s="585">
        <f t="shared" si="6"/>
        <v>791.9</v>
      </c>
      <c r="R26" s="585">
        <f t="shared" si="6"/>
        <v>819.2</v>
      </c>
      <c r="S26" s="586">
        <f t="shared" si="6"/>
        <v>819</v>
      </c>
      <c r="T26" s="577">
        <f t="shared" si="6"/>
        <v>827.5</v>
      </c>
      <c r="U26" s="586">
        <f t="shared" si="6"/>
        <v>877.6</v>
      </c>
      <c r="V26" s="586">
        <f t="shared" si="6"/>
        <v>911.6</v>
      </c>
      <c r="W26" s="586">
        <f t="shared" si="6"/>
        <v>867.2</v>
      </c>
      <c r="X26" s="586">
        <f t="shared" si="6"/>
        <v>856.2</v>
      </c>
      <c r="Y26" s="586">
        <f t="shared" si="6"/>
        <v>904.8</v>
      </c>
      <c r="Z26" s="586">
        <f t="shared" si="6"/>
        <v>924.7</v>
      </c>
      <c r="AA26" s="586">
        <f t="shared" si="6"/>
        <v>932.4</v>
      </c>
      <c r="AB26" s="586">
        <f t="shared" si="6"/>
        <v>944.8</v>
      </c>
      <c r="AC26" s="586">
        <f t="shared" si="6"/>
        <v>957.6</v>
      </c>
      <c r="AD26" s="586">
        <f t="shared" si="6"/>
        <v>983.1</v>
      </c>
      <c r="AE26" s="596">
        <f>AD26*(1+$H$19)^0.25+AE27</f>
        <v>999.95898678189383</v>
      </c>
      <c r="AF26" s="559">
        <f>AE26*(1+$I$19)^0.25+AF27</f>
        <v>1014.1688795114242</v>
      </c>
      <c r="AG26" s="574">
        <f>AF26*(1+$I$19)^0.25+AG27</f>
        <v>1028.6263410455106</v>
      </c>
      <c r="AH26" s="574">
        <f>AG26*(1+$I$19)^0.25+AH27</f>
        <v>1043.2899005956497</v>
      </c>
      <c r="AI26" s="574">
        <f>AH26*(1+$I$19)^0.25+AI27</f>
        <v>1058.1624961874497</v>
      </c>
      <c r="AJ26" s="559">
        <f>AI26*(1+$J$19)^0.25+AJ27</f>
        <v>1055.5046787071888</v>
      </c>
      <c r="AK26" s="574">
        <f>AJ26*(1+$J$19)^0.25+AK27</f>
        <v>1071.2571955433457</v>
      </c>
      <c r="AL26" s="574">
        <f>AK26*(1+$J$19)^0.25+AL27</f>
        <v>1087.2448054034173</v>
      </c>
      <c r="AM26" s="574">
        <f>AL26*(1+$J$19)^0.25+AM27</f>
        <v>1103.4710168524455</v>
      </c>
      <c r="AN26" s="559" t="e">
        <f>AM26*(1+$K$19)^0.25+AN27</f>
        <v>#DIV/0!</v>
      </c>
      <c r="AO26" s="560" t="s">
        <v>1827</v>
      </c>
    </row>
    <row r="27" spans="2:41" ht="19.5" customHeight="1" x14ac:dyDescent="0.35">
      <c r="B27" s="564" t="s">
        <v>1697</v>
      </c>
      <c r="C27" s="267"/>
      <c r="D27" s="598"/>
      <c r="E27" s="572"/>
      <c r="F27" s="572"/>
      <c r="G27" s="572"/>
      <c r="H27" s="572"/>
      <c r="I27" s="572"/>
      <c r="J27" s="572"/>
      <c r="K27" s="572"/>
      <c r="L27" s="572"/>
      <c r="M27" s="572"/>
      <c r="N27" s="572"/>
      <c r="O27" s="572"/>
      <c r="P27" s="572"/>
      <c r="Q27" s="572"/>
      <c r="R27" s="572"/>
      <c r="S27" s="572"/>
      <c r="T27" s="572"/>
      <c r="U27" s="572"/>
      <c r="V27" s="572"/>
      <c r="W27" s="572"/>
      <c r="X27" s="572"/>
      <c r="Y27" s="574"/>
      <c r="Z27" s="574"/>
      <c r="AA27" s="574"/>
      <c r="AB27" s="574"/>
      <c r="AC27" s="574">
        <v>26</v>
      </c>
      <c r="AD27" s="574">
        <v>-5</v>
      </c>
      <c r="AE27" s="574"/>
      <c r="AF27" s="574">
        <v>-4.4999999999999998E-2</v>
      </c>
      <c r="AG27" s="574"/>
      <c r="AH27" s="574"/>
      <c r="AI27" s="574"/>
      <c r="AJ27" s="574">
        <v>-18.45</v>
      </c>
      <c r="AK27" s="574"/>
      <c r="AL27" s="574"/>
      <c r="AM27" s="574"/>
      <c r="AN27" s="574"/>
    </row>
    <row r="28" spans="2:41" ht="19.399999999999999" customHeight="1" x14ac:dyDescent="0.35">
      <c r="B28" s="588" t="s">
        <v>207</v>
      </c>
      <c r="C28" s="267"/>
      <c r="D28" s="598">
        <f t="shared" ref="D28:Q28" si="7">D10*D12</f>
        <v>391.92099999999999</v>
      </c>
      <c r="E28" s="572">
        <f t="shared" si="7"/>
        <v>405.36799999999999</v>
      </c>
      <c r="F28" s="572">
        <f t="shared" si="7"/>
        <v>414.19600000000003</v>
      </c>
      <c r="G28" s="572">
        <f t="shared" si="7"/>
        <v>418.68599999999992</v>
      </c>
      <c r="H28" s="572">
        <f t="shared" si="7"/>
        <v>416.18500000000006</v>
      </c>
      <c r="I28" s="572">
        <f t="shared" si="7"/>
        <v>422.89</v>
      </c>
      <c r="J28" s="572">
        <f t="shared" si="7"/>
        <v>502.90600000000001</v>
      </c>
      <c r="K28" s="572">
        <f t="shared" si="7"/>
        <v>484.48</v>
      </c>
      <c r="L28" s="572">
        <f t="shared" si="7"/>
        <v>509.88400000000001</v>
      </c>
      <c r="M28" s="572">
        <f t="shared" si="7"/>
        <v>499.42899999999997</v>
      </c>
      <c r="N28" s="572">
        <f t="shared" si="7"/>
        <v>520.79</v>
      </c>
      <c r="O28" s="572">
        <f t="shared" si="7"/>
        <v>545.32600000000002</v>
      </c>
      <c r="P28" s="572">
        <f t="shared" si="7"/>
        <v>567.61</v>
      </c>
      <c r="Q28" s="572">
        <f t="shared" si="7"/>
        <v>589.92700000000002</v>
      </c>
      <c r="R28" s="572">
        <f t="shared" ref="R28:AN28" si="8">R26*R12</f>
        <v>585.74599999999998</v>
      </c>
      <c r="S28" s="572">
        <f t="shared" si="8"/>
        <v>617.88900000000001</v>
      </c>
      <c r="T28" s="572">
        <f t="shared" si="8"/>
        <v>611.67999999999995</v>
      </c>
      <c r="U28" s="572">
        <f t="shared" si="8"/>
        <v>632.66</v>
      </c>
      <c r="V28" s="572">
        <f t="shared" si="8"/>
        <v>628.88699999999994</v>
      </c>
      <c r="W28" s="572">
        <f t="shared" si="8"/>
        <v>585.98400000000004</v>
      </c>
      <c r="X28" s="572">
        <f t="shared" si="8"/>
        <v>612.03399999999999</v>
      </c>
      <c r="Y28" s="574">
        <f t="shared" si="8"/>
        <v>618.72699999999998</v>
      </c>
      <c r="Z28" s="574">
        <f t="shared" si="8"/>
        <v>628.15700000000004</v>
      </c>
      <c r="AA28" s="574">
        <f t="shared" si="8"/>
        <v>641.23699999999997</v>
      </c>
      <c r="AB28" s="574">
        <f t="shared" si="8"/>
        <v>655.17499999999995</v>
      </c>
      <c r="AC28" s="574">
        <f t="shared" si="8"/>
        <v>647.03</v>
      </c>
      <c r="AD28" s="574">
        <f t="shared" si="8"/>
        <v>680.65800000000002</v>
      </c>
      <c r="AE28" s="574">
        <f t="shared" si="8"/>
        <v>687.27647550115967</v>
      </c>
      <c r="AF28" s="574">
        <f t="shared" si="8"/>
        <v>696.93582719454662</v>
      </c>
      <c r="AG28" s="574">
        <f t="shared" si="8"/>
        <v>705.26255480190014</v>
      </c>
      <c r="AH28" s="574">
        <f t="shared" si="8"/>
        <v>717.91329963031671</v>
      </c>
      <c r="AI28" s="574">
        <f t="shared" si="8"/>
        <v>727.02732439110707</v>
      </c>
      <c r="AJ28" s="574">
        <f t="shared" si="8"/>
        <v>725.13821376854708</v>
      </c>
      <c r="AK28" s="574">
        <f t="shared" si="8"/>
        <v>735.90864725010715</v>
      </c>
      <c r="AL28" s="574">
        <f t="shared" si="8"/>
        <v>747.25096753268917</v>
      </c>
      <c r="AM28" s="574">
        <f t="shared" si="8"/>
        <v>758.17247279949765</v>
      </c>
      <c r="AN28" s="574" t="e">
        <f t="shared" si="8"/>
        <v>#DIV/0!</v>
      </c>
    </row>
    <row r="29" spans="2:41" ht="19.399999999999999" customHeight="1" x14ac:dyDescent="0.35">
      <c r="B29" s="570" t="s">
        <v>436</v>
      </c>
      <c r="C29" s="370"/>
      <c r="D29" s="600">
        <f t="shared" ref="D29:AN29" si="9">D26-D28</f>
        <v>197.57900000000001</v>
      </c>
      <c r="E29" s="573">
        <f t="shared" si="9"/>
        <v>193.33200000000005</v>
      </c>
      <c r="F29" s="573">
        <f t="shared" si="9"/>
        <v>200.20399999999995</v>
      </c>
      <c r="G29" s="573">
        <f t="shared" si="9"/>
        <v>203.71400000000006</v>
      </c>
      <c r="H29" s="573">
        <f t="shared" si="9"/>
        <v>204.41499999999996</v>
      </c>
      <c r="I29" s="573">
        <f t="shared" si="9"/>
        <v>183.61</v>
      </c>
      <c r="J29" s="573">
        <f t="shared" si="9"/>
        <v>151.69400000000002</v>
      </c>
      <c r="K29" s="573">
        <f t="shared" si="9"/>
        <v>206.31999999999994</v>
      </c>
      <c r="L29" s="573">
        <f t="shared" si="9"/>
        <v>168.71600000000001</v>
      </c>
      <c r="M29" s="573">
        <f t="shared" si="9"/>
        <v>205.471</v>
      </c>
      <c r="N29" s="573">
        <f t="shared" si="9"/>
        <v>224.81000000000006</v>
      </c>
      <c r="O29" s="573">
        <f t="shared" si="9"/>
        <v>203.87400000000002</v>
      </c>
      <c r="P29" s="573">
        <f t="shared" si="9"/>
        <v>178.68999999999994</v>
      </c>
      <c r="Q29" s="573">
        <f t="shared" si="9"/>
        <v>201.97299999999996</v>
      </c>
      <c r="R29" s="573">
        <f t="shared" si="9"/>
        <v>233.45400000000006</v>
      </c>
      <c r="S29" s="573">
        <f t="shared" si="9"/>
        <v>201.11099999999999</v>
      </c>
      <c r="T29" s="573">
        <f t="shared" si="9"/>
        <v>215.82000000000005</v>
      </c>
      <c r="U29" s="573">
        <f t="shared" si="9"/>
        <v>244.94000000000005</v>
      </c>
      <c r="V29" s="573">
        <f t="shared" si="9"/>
        <v>282.71300000000008</v>
      </c>
      <c r="W29" s="573">
        <f t="shared" si="9"/>
        <v>281.21600000000001</v>
      </c>
      <c r="X29" s="573">
        <f t="shared" si="9"/>
        <v>244.16600000000005</v>
      </c>
      <c r="Y29" s="595">
        <f t="shared" si="9"/>
        <v>286.07299999999998</v>
      </c>
      <c r="Z29" s="595">
        <f t="shared" si="9"/>
        <v>296.54300000000001</v>
      </c>
      <c r="AA29" s="595">
        <f t="shared" si="9"/>
        <v>291.16300000000001</v>
      </c>
      <c r="AB29" s="595">
        <f t="shared" si="9"/>
        <v>289.625</v>
      </c>
      <c r="AC29" s="595">
        <f t="shared" si="9"/>
        <v>310.57000000000005</v>
      </c>
      <c r="AD29" s="595">
        <f t="shared" si="9"/>
        <v>302.44200000000001</v>
      </c>
      <c r="AE29" s="595">
        <f t="shared" si="9"/>
        <v>312.68251128073416</v>
      </c>
      <c r="AF29" s="595">
        <f t="shared" si="9"/>
        <v>317.23305231687755</v>
      </c>
      <c r="AG29" s="595">
        <f t="shared" si="9"/>
        <v>323.36378624361043</v>
      </c>
      <c r="AH29" s="595">
        <f t="shared" si="9"/>
        <v>325.37660096533295</v>
      </c>
      <c r="AI29" s="595">
        <f t="shared" si="9"/>
        <v>331.13517179634266</v>
      </c>
      <c r="AJ29" s="595">
        <f t="shared" si="9"/>
        <v>330.36646493864168</v>
      </c>
      <c r="AK29" s="595">
        <f t="shared" si="9"/>
        <v>335.34854829323854</v>
      </c>
      <c r="AL29" s="595">
        <f t="shared" si="9"/>
        <v>339.99383787072816</v>
      </c>
      <c r="AM29" s="595">
        <f t="shared" si="9"/>
        <v>345.29854405294782</v>
      </c>
      <c r="AN29" s="595" t="e">
        <f t="shared" si="9"/>
        <v>#DIV/0!</v>
      </c>
    </row>
    <row r="30" spans="2:41" ht="19.399999999999999" customHeight="1" x14ac:dyDescent="0.35">
      <c r="B30" s="249"/>
      <c r="C30" s="249"/>
      <c r="D30" s="509"/>
      <c r="E30" s="509"/>
      <c r="F30" s="509"/>
      <c r="G30" s="509"/>
      <c r="H30" s="509"/>
      <c r="I30" s="509"/>
      <c r="J30" s="509"/>
      <c r="K30" s="509"/>
      <c r="L30" s="509"/>
      <c r="M30" s="509"/>
      <c r="N30" s="509"/>
      <c r="O30" s="509"/>
      <c r="P30" s="509"/>
      <c r="Q30" s="509"/>
      <c r="R30" s="509"/>
      <c r="S30" s="509"/>
      <c r="T30" s="509"/>
      <c r="U30" s="509"/>
      <c r="V30" s="509"/>
      <c r="W30" s="509"/>
      <c r="X30" s="509"/>
    </row>
    <row r="31" spans="2:41" ht="19.399999999999999" customHeight="1" x14ac:dyDescent="0.35">
      <c r="B31" s="249"/>
      <c r="C31" s="249"/>
      <c r="D31" s="509"/>
      <c r="E31" s="509"/>
      <c r="F31" s="509"/>
      <c r="G31" s="509"/>
      <c r="H31" s="509"/>
      <c r="I31" s="509"/>
    </row>
    <row r="32" spans="2:41" ht="19.399999999999999" customHeight="1" x14ac:dyDescent="0.35">
      <c r="B32" s="249"/>
      <c r="C32" s="249"/>
      <c r="D32" s="509"/>
      <c r="E32" s="509"/>
      <c r="F32" s="509"/>
      <c r="G32" s="509"/>
      <c r="H32" s="509"/>
      <c r="I32" s="509"/>
    </row>
    <row r="33" spans="2:34" ht="19.399999999999999" customHeight="1" x14ac:dyDescent="0.35">
      <c r="B33" s="249"/>
      <c r="C33" s="249"/>
      <c r="D33" s="509"/>
      <c r="E33" s="509"/>
      <c r="F33" s="509"/>
      <c r="G33" s="509"/>
      <c r="H33" s="509"/>
      <c r="I33" s="509"/>
      <c r="J33" s="509"/>
      <c r="K33" s="509"/>
      <c r="L33" s="509"/>
      <c r="M33" s="509"/>
      <c r="N33" s="509"/>
      <c r="O33" s="509"/>
      <c r="P33" s="509"/>
      <c r="Q33" s="509"/>
      <c r="R33" s="509"/>
      <c r="S33" s="509"/>
      <c r="T33" s="509"/>
      <c r="Y33" s="509"/>
      <c r="Z33" s="509"/>
      <c r="AA33" s="509"/>
      <c r="AB33" s="509"/>
      <c r="AC33" s="509"/>
      <c r="AD33" s="509"/>
      <c r="AE33" s="509"/>
      <c r="AF33" s="509"/>
      <c r="AG33" s="509"/>
      <c r="AH33" s="509"/>
    </row>
    <row r="34" spans="2:34" ht="19.399999999999999" customHeight="1" x14ac:dyDescent="0.35">
      <c r="B34" s="249"/>
      <c r="C34" s="249"/>
      <c r="D34" s="509"/>
      <c r="E34" s="509"/>
      <c r="F34" s="509"/>
      <c r="G34" s="509"/>
      <c r="H34" s="509"/>
      <c r="I34" s="509"/>
      <c r="J34" s="509"/>
      <c r="K34" s="509"/>
      <c r="L34" s="509"/>
      <c r="M34" s="509"/>
      <c r="N34" s="509"/>
      <c r="O34" s="509"/>
      <c r="P34" s="509"/>
      <c r="Q34" s="509"/>
      <c r="R34" s="509"/>
      <c r="S34" s="509"/>
      <c r="T34" s="509"/>
      <c r="Y34" s="509"/>
      <c r="Z34" s="509"/>
      <c r="AA34" s="509"/>
      <c r="AB34" s="509"/>
      <c r="AC34" s="509"/>
      <c r="AD34" s="509"/>
      <c r="AE34" s="509"/>
      <c r="AF34" s="509"/>
      <c r="AG34" s="509"/>
      <c r="AH34" s="509"/>
    </row>
    <row r="35" spans="2:34" ht="19" customHeight="1" x14ac:dyDescent="0.35">
      <c r="B35" s="249"/>
      <c r="C35" s="249"/>
      <c r="D35" s="509"/>
      <c r="E35" s="509"/>
      <c r="F35" s="509"/>
      <c r="G35" s="509"/>
      <c r="H35" s="509"/>
      <c r="I35" s="509"/>
      <c r="J35" s="509"/>
      <c r="K35" s="509"/>
      <c r="L35" s="509"/>
      <c r="M35" s="509"/>
      <c r="N35" s="509"/>
      <c r="O35" s="509"/>
      <c r="AG35" s="509"/>
      <c r="AH35" s="509"/>
    </row>
    <row r="36" spans="2:34" ht="19" customHeight="1" x14ac:dyDescent="0.35">
      <c r="B36" s="249"/>
      <c r="C36" s="249"/>
      <c r="D36" s="509"/>
      <c r="E36" s="509"/>
      <c r="F36" s="509"/>
      <c r="G36" s="509"/>
      <c r="H36" s="509"/>
      <c r="I36" s="509"/>
      <c r="J36" s="509"/>
      <c r="K36" s="509"/>
      <c r="L36" s="509"/>
      <c r="M36" s="509"/>
      <c r="N36" s="509"/>
      <c r="O36" s="509"/>
      <c r="AG36" s="509"/>
      <c r="AH36" s="509"/>
    </row>
    <row r="37" spans="2:34" ht="19.399999999999999" customHeight="1" x14ac:dyDescent="0.35">
      <c r="B37" s="249"/>
      <c r="C37" s="249"/>
      <c r="D37" s="509"/>
      <c r="E37" s="509"/>
      <c r="F37" s="509"/>
      <c r="G37" s="509"/>
      <c r="H37" s="509"/>
      <c r="I37" s="509"/>
      <c r="J37" s="509"/>
      <c r="K37" s="509"/>
      <c r="L37" s="509"/>
      <c r="M37" s="509"/>
      <c r="N37" s="509"/>
      <c r="O37" s="509"/>
      <c r="P37" s="509"/>
      <c r="Q37" s="509"/>
      <c r="R37" s="509"/>
      <c r="S37" s="509"/>
      <c r="T37" s="509"/>
      <c r="Y37" s="509"/>
      <c r="Z37" s="509"/>
      <c r="AA37" s="509"/>
      <c r="AB37" s="509"/>
      <c r="AC37" s="509"/>
      <c r="AD37" s="509"/>
      <c r="AE37" s="509"/>
      <c r="AF37" s="509"/>
      <c r="AG37" s="509"/>
      <c r="AH37" s="509"/>
    </row>
    <row r="38" spans="2:34" ht="14.9" customHeight="1" x14ac:dyDescent="0.35">
      <c r="B38" s="590" t="s">
        <v>437</v>
      </c>
      <c r="C38" s="591"/>
      <c r="D38" s="591"/>
      <c r="E38" s="592"/>
      <c r="F38" s="593">
        <v>2021</v>
      </c>
      <c r="G38" s="593">
        <v>2022</v>
      </c>
      <c r="H38" s="593">
        <v>2023</v>
      </c>
      <c r="I38" s="593">
        <v>2024</v>
      </c>
      <c r="J38" s="593">
        <v>2025</v>
      </c>
      <c r="K38" s="593">
        <v>2025</v>
      </c>
      <c r="L38" s="593">
        <v>2027</v>
      </c>
      <c r="M38" s="593">
        <v>2028</v>
      </c>
      <c r="N38" s="593">
        <v>2029</v>
      </c>
      <c r="O38" s="593">
        <v>2030</v>
      </c>
      <c r="P38" s="594">
        <v>2031</v>
      </c>
    </row>
    <row r="39" spans="2:34" ht="15" customHeight="1" x14ac:dyDescent="0.35">
      <c r="B39" s="1401" t="s">
        <v>438</v>
      </c>
      <c r="C39" s="1402"/>
      <c r="D39" s="1402"/>
      <c r="E39" s="1403"/>
      <c r="F39" s="233">
        <v>287</v>
      </c>
      <c r="G39" s="233">
        <v>534</v>
      </c>
      <c r="H39" s="233">
        <v>247</v>
      </c>
      <c r="I39" s="233">
        <v>63</v>
      </c>
      <c r="J39" s="233"/>
      <c r="K39" s="233"/>
      <c r="L39" s="233"/>
      <c r="M39" s="233"/>
      <c r="N39" s="233"/>
      <c r="O39" s="233"/>
      <c r="P39" s="569"/>
    </row>
    <row r="40" spans="2:34" ht="15" customHeight="1" x14ac:dyDescent="0.35">
      <c r="B40" s="1387" t="s">
        <v>439</v>
      </c>
      <c r="C40" s="1388"/>
      <c r="D40" s="1388"/>
      <c r="E40" s="1389"/>
      <c r="F40" s="233">
        <v>0</v>
      </c>
      <c r="G40" s="233">
        <v>0</v>
      </c>
      <c r="H40" s="233">
        <v>756</v>
      </c>
      <c r="I40" s="233">
        <v>1249</v>
      </c>
      <c r="J40" s="233">
        <v>1417</v>
      </c>
      <c r="K40" s="233">
        <v>1522</v>
      </c>
      <c r="L40" s="233">
        <v>1107</v>
      </c>
      <c r="M40" s="233"/>
      <c r="N40" s="233"/>
      <c r="O40" s="233"/>
      <c r="P40" s="569"/>
    </row>
    <row r="41" spans="2:34" ht="14.5" customHeight="1" x14ac:dyDescent="0.35">
      <c r="B41" s="1387" t="s">
        <v>440</v>
      </c>
      <c r="C41" s="1388"/>
      <c r="D41" s="1388"/>
      <c r="E41" s="1389"/>
      <c r="F41" s="233">
        <v>0</v>
      </c>
      <c r="G41" s="233">
        <v>5</v>
      </c>
      <c r="H41" s="233">
        <v>77</v>
      </c>
      <c r="I41" s="233">
        <v>307</v>
      </c>
      <c r="J41" s="233">
        <v>332</v>
      </c>
      <c r="K41" s="233">
        <v>270</v>
      </c>
      <c r="L41" s="233">
        <v>25</v>
      </c>
      <c r="M41" s="233">
        <v>32</v>
      </c>
      <c r="N41" s="233">
        <v>40</v>
      </c>
      <c r="O41" s="233">
        <v>49</v>
      </c>
      <c r="P41" s="569">
        <v>58</v>
      </c>
    </row>
    <row r="42" spans="2:34" ht="32.9" customHeight="1" x14ac:dyDescent="0.35">
      <c r="B42" s="1393" t="s">
        <v>441</v>
      </c>
      <c r="C42" s="1394"/>
      <c r="D42" s="1394"/>
      <c r="E42" s="1395"/>
      <c r="F42" s="233">
        <v>0</v>
      </c>
      <c r="G42" s="233">
        <v>0</v>
      </c>
      <c r="H42" s="233">
        <v>3768</v>
      </c>
      <c r="I42" s="233">
        <v>3428</v>
      </c>
      <c r="J42" s="233">
        <v>2176</v>
      </c>
      <c r="K42" s="233">
        <v>2304</v>
      </c>
      <c r="L42" s="233">
        <v>2129</v>
      </c>
      <c r="M42" s="233">
        <v>1335</v>
      </c>
      <c r="N42" s="233">
        <v>478</v>
      </c>
      <c r="O42" s="233">
        <v>531</v>
      </c>
      <c r="P42" s="569">
        <v>212</v>
      </c>
    </row>
    <row r="43" spans="2:34" ht="32.9" customHeight="1" x14ac:dyDescent="0.35">
      <c r="B43" s="1393" t="s">
        <v>442</v>
      </c>
      <c r="C43" s="1394"/>
      <c r="D43" s="1394"/>
      <c r="E43" s="1395"/>
      <c r="F43" s="233">
        <v>38</v>
      </c>
      <c r="G43" s="233">
        <v>81</v>
      </c>
      <c r="H43" s="233">
        <v>43</v>
      </c>
      <c r="I43" s="233"/>
      <c r="J43" s="233"/>
      <c r="K43" s="233"/>
      <c r="L43" s="233"/>
      <c r="M43" s="233"/>
      <c r="N43" s="233"/>
      <c r="O43" s="233"/>
      <c r="P43" s="569"/>
    </row>
    <row r="44" spans="2:34" ht="14.5" customHeight="1" x14ac:dyDescent="0.35">
      <c r="B44" s="1387" t="s">
        <v>443</v>
      </c>
      <c r="C44" s="1388"/>
      <c r="D44" s="1388"/>
      <c r="E44" s="1389"/>
      <c r="F44" s="233"/>
      <c r="G44" s="233"/>
      <c r="H44" s="233"/>
      <c r="I44" s="233">
        <v>-184</v>
      </c>
      <c r="J44" s="233">
        <v>-1830</v>
      </c>
      <c r="K44" s="233">
        <v>-2406</v>
      </c>
      <c r="L44" s="233">
        <v>-2419</v>
      </c>
      <c r="M44" s="233">
        <v>-2467</v>
      </c>
      <c r="N44" s="233">
        <v>-2531</v>
      </c>
      <c r="O44" s="233">
        <v>-2667</v>
      </c>
      <c r="P44" s="569">
        <v>-2809</v>
      </c>
    </row>
    <row r="45" spans="2:34" ht="15.75" customHeight="1" x14ac:dyDescent="0.35">
      <c r="B45" s="1384" t="s">
        <v>444</v>
      </c>
      <c r="C45" s="1385"/>
      <c r="D45" s="1385"/>
      <c r="E45" s="1386"/>
      <c r="F45" s="233">
        <v>6524</v>
      </c>
      <c r="G45" s="233">
        <v>6143</v>
      </c>
      <c r="H45" s="233"/>
      <c r="I45" s="233"/>
      <c r="J45" s="233"/>
      <c r="K45" s="233"/>
      <c r="L45" s="233"/>
      <c r="M45" s="233"/>
      <c r="N45" s="233"/>
      <c r="O45" s="233"/>
      <c r="P45" s="569"/>
    </row>
    <row r="46" spans="2:34" ht="14.5" customHeight="1" x14ac:dyDescent="0.35">
      <c r="B46" s="1387" t="s">
        <v>445</v>
      </c>
      <c r="C46" s="1388"/>
      <c r="D46" s="1388"/>
      <c r="E46" s="1389"/>
      <c r="F46" s="233">
        <v>50</v>
      </c>
      <c r="G46" s="233">
        <v>175</v>
      </c>
      <c r="H46" s="233">
        <v>25</v>
      </c>
      <c r="I46" s="233"/>
      <c r="J46" s="233"/>
      <c r="K46" s="233"/>
      <c r="L46" s="233"/>
      <c r="M46" s="233"/>
      <c r="N46" s="233"/>
      <c r="O46" s="233"/>
      <c r="P46" s="569"/>
    </row>
    <row r="47" spans="2:34" ht="14.5" customHeight="1" x14ac:dyDescent="0.35">
      <c r="B47" s="1387" t="s">
        <v>446</v>
      </c>
      <c r="C47" s="1388"/>
      <c r="D47" s="1388"/>
      <c r="E47" s="1389"/>
      <c r="F47" s="233">
        <v>829</v>
      </c>
      <c r="G47" s="233">
        <v>844</v>
      </c>
      <c r="H47" s="233"/>
      <c r="I47" s="233"/>
      <c r="J47" s="233"/>
      <c r="K47" s="233"/>
      <c r="L47" s="233"/>
      <c r="M47" s="233"/>
      <c r="N47" s="233"/>
      <c r="O47" s="233"/>
      <c r="P47" s="569"/>
    </row>
    <row r="48" spans="2:34" x14ac:dyDescent="0.35">
      <c r="B48" s="1390" t="s">
        <v>447</v>
      </c>
      <c r="C48" s="1391"/>
      <c r="D48" s="1391"/>
      <c r="E48" s="1392"/>
      <c r="F48" s="233">
        <f t="shared" ref="F48:P48" si="10">SUM(F39:F47)</f>
        <v>7728</v>
      </c>
      <c r="G48" s="233">
        <f t="shared" si="10"/>
        <v>7782</v>
      </c>
      <c r="H48" s="233">
        <f t="shared" si="10"/>
        <v>4916</v>
      </c>
      <c r="I48" s="233">
        <f t="shared" si="10"/>
        <v>4863</v>
      </c>
      <c r="J48" s="233">
        <f t="shared" si="10"/>
        <v>2095</v>
      </c>
      <c r="K48" s="233">
        <f t="shared" si="10"/>
        <v>1690</v>
      </c>
      <c r="L48" s="233">
        <f t="shared" si="10"/>
        <v>842</v>
      </c>
      <c r="M48" s="233">
        <f t="shared" si="10"/>
        <v>-1100</v>
      </c>
      <c r="N48" s="233">
        <f t="shared" si="10"/>
        <v>-2013</v>
      </c>
      <c r="O48" s="233">
        <f t="shared" si="10"/>
        <v>-2087</v>
      </c>
      <c r="P48" s="569">
        <f t="shared" si="10"/>
        <v>-2539</v>
      </c>
    </row>
    <row r="49" spans="2:17" x14ac:dyDescent="0.35">
      <c r="B49" s="1384" t="s">
        <v>448</v>
      </c>
      <c r="C49" s="1385"/>
      <c r="D49" s="1385"/>
      <c r="E49" s="1386"/>
      <c r="F49" s="233">
        <f t="shared" ref="F49:P49" si="11">F45+F43+F42</f>
        <v>6562</v>
      </c>
      <c r="G49" s="233">
        <f t="shared" si="11"/>
        <v>6224</v>
      </c>
      <c r="H49" s="233">
        <f t="shared" si="11"/>
        <v>3811</v>
      </c>
      <c r="I49" s="233">
        <f t="shared" si="11"/>
        <v>3428</v>
      </c>
      <c r="J49" s="233">
        <f t="shared" si="11"/>
        <v>2176</v>
      </c>
      <c r="K49" s="233">
        <f t="shared" si="11"/>
        <v>2304</v>
      </c>
      <c r="L49" s="233">
        <f t="shared" si="11"/>
        <v>2129</v>
      </c>
      <c r="M49" s="233">
        <f t="shared" si="11"/>
        <v>1335</v>
      </c>
      <c r="N49" s="233">
        <f t="shared" si="11"/>
        <v>478</v>
      </c>
      <c r="O49" s="233">
        <f t="shared" si="11"/>
        <v>531</v>
      </c>
      <c r="P49" s="569">
        <f t="shared" si="11"/>
        <v>212</v>
      </c>
      <c r="Q49" s="249" t="s">
        <v>449</v>
      </c>
    </row>
    <row r="50" spans="2:17" x14ac:dyDescent="0.35">
      <c r="B50" s="1387" t="s">
        <v>450</v>
      </c>
      <c r="C50" s="1388"/>
      <c r="D50" s="1388"/>
      <c r="E50" s="1389"/>
      <c r="F50" s="233">
        <f>(F49/1000)/M26</f>
        <v>9.3091218612569165E-3</v>
      </c>
      <c r="G50" s="233">
        <f>(G49/F49)*F50</f>
        <v>8.8296212228684921E-3</v>
      </c>
      <c r="H50" s="233">
        <f>(H49/G49)*G50+H51</f>
        <v>5.4064406298765782E-3</v>
      </c>
      <c r="I50" s="233">
        <f>(I49/H49)*H50+I51</f>
        <v>4.8631011490991626E-3</v>
      </c>
      <c r="J50" s="233">
        <f>J51</f>
        <v>0</v>
      </c>
      <c r="K50" s="233">
        <f t="shared" ref="K50:L50" si="12">K51</f>
        <v>0</v>
      </c>
      <c r="L50" s="233">
        <f t="shared" si="12"/>
        <v>0</v>
      </c>
      <c r="M50" s="233"/>
      <c r="N50" s="233"/>
      <c r="O50" s="233"/>
      <c r="P50" s="569"/>
      <c r="Q50" s="249" t="s">
        <v>451</v>
      </c>
    </row>
    <row r="51" spans="2:17" ht="29.25" customHeight="1" x14ac:dyDescent="0.35">
      <c r="B51" s="565" t="s">
        <v>889</v>
      </c>
      <c r="C51" s="566"/>
      <c r="D51" s="566"/>
      <c r="E51" s="567"/>
      <c r="F51" s="233"/>
      <c r="G51" s="233"/>
      <c r="H51" s="233"/>
      <c r="I51" s="233"/>
      <c r="J51" s="233"/>
      <c r="K51" s="233"/>
      <c r="L51" s="233"/>
      <c r="M51" s="233"/>
      <c r="N51" s="233"/>
      <c r="O51" s="233"/>
      <c r="P51" s="569"/>
      <c r="Q51" s="249"/>
    </row>
    <row r="52" spans="2:17" x14ac:dyDescent="0.35">
      <c r="B52" s="1398"/>
      <c r="C52" s="1399"/>
      <c r="D52" s="1399"/>
      <c r="E52" s="1400"/>
      <c r="F52" s="568"/>
      <c r="G52" s="568"/>
      <c r="H52" s="568"/>
      <c r="I52" s="568"/>
      <c r="J52" s="568"/>
      <c r="K52" s="568"/>
      <c r="L52" s="568"/>
      <c r="M52" s="568"/>
      <c r="N52" s="568"/>
      <c r="O52" s="568"/>
      <c r="P52" s="581"/>
    </row>
  </sheetData>
  <mergeCells count="37">
    <mergeCell ref="B52:E52"/>
    <mergeCell ref="B42:E42"/>
    <mergeCell ref="B40:E40"/>
    <mergeCell ref="B41:E41"/>
    <mergeCell ref="AG8:AJ8"/>
    <mergeCell ref="AG24:AJ24"/>
    <mergeCell ref="B39:E39"/>
    <mergeCell ref="I24:L24"/>
    <mergeCell ref="B23:C25"/>
    <mergeCell ref="E24:H24"/>
    <mergeCell ref="AC23:AN23"/>
    <mergeCell ref="D23:AB23"/>
    <mergeCell ref="M24:P24"/>
    <mergeCell ref="Q24:T24"/>
    <mergeCell ref="AC24:AF24"/>
    <mergeCell ref="AK24:AN24"/>
    <mergeCell ref="B49:E49"/>
    <mergeCell ref="B50:E50"/>
    <mergeCell ref="B43:E43"/>
    <mergeCell ref="B1:AC1"/>
    <mergeCell ref="V2:AB4"/>
    <mergeCell ref="B2:U4"/>
    <mergeCell ref="M8:P8"/>
    <mergeCell ref="Q8:T8"/>
    <mergeCell ref="AC8:AF8"/>
    <mergeCell ref="E8:H8"/>
    <mergeCell ref="B7:C9"/>
    <mergeCell ref="I8:L8"/>
    <mergeCell ref="AC7:AN7"/>
    <mergeCell ref="D7:AB7"/>
    <mergeCell ref="AK8:AN8"/>
    <mergeCell ref="B44:E44"/>
    <mergeCell ref="B6:C6"/>
    <mergeCell ref="B45:E45"/>
    <mergeCell ref="B46:E46"/>
    <mergeCell ref="B47:E47"/>
    <mergeCell ref="B48:E48"/>
  </mergeCells>
  <pageMargins left="0.7" right="0.7" top="0.75" bottom="0.75" header="0.3" footer="0.3"/>
  <pageSetup paperSize="9" orientation="portrait" horizontalDpi="300" verticalDpi="300"/>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AN34"/>
  <sheetViews>
    <sheetView zoomScale="85" zoomScaleNormal="85" workbookViewId="0">
      <pane xSplit="2" ySplit="4" topLeftCell="U5" activePane="bottomRight" state="frozen"/>
      <selection pane="topRight" activeCell="C1" sqref="C1"/>
      <selection pane="bottomLeft" activeCell="A5" sqref="A5"/>
      <selection pane="bottomRight" activeCell="AE10" sqref="AE10"/>
    </sheetView>
  </sheetViews>
  <sheetFormatPr defaultColWidth="10.90625" defaultRowHeight="14.5" x14ac:dyDescent="0.35"/>
  <cols>
    <col min="2" max="2" width="51.1796875" customWidth="1"/>
    <col min="3" max="3" width="7.453125" customWidth="1"/>
    <col min="4" max="4" width="8.81640625" customWidth="1"/>
    <col min="5" max="5" width="9" customWidth="1"/>
    <col min="6" max="6" width="8.81640625" customWidth="1"/>
    <col min="7" max="7" width="9.54296875" customWidth="1"/>
    <col min="8" max="8" width="9.81640625" customWidth="1"/>
    <col min="9" max="9" width="10.1796875" customWidth="1"/>
    <col min="10" max="10" width="9.1796875" customWidth="1"/>
    <col min="11" max="11" width="9.81640625" customWidth="1"/>
    <col min="12" max="13" width="8.81640625" customWidth="1"/>
    <col min="14" max="14" width="9.1796875" customWidth="1"/>
    <col min="15" max="19" width="8.81640625" customWidth="1"/>
    <col min="20" max="22" width="9.1796875" customWidth="1"/>
  </cols>
  <sheetData>
    <row r="1" spans="2:40" x14ac:dyDescent="0.35">
      <c r="B1" s="1318" t="s">
        <v>55</v>
      </c>
      <c r="C1" s="1318"/>
      <c r="D1" s="1318"/>
      <c r="E1" s="1318"/>
      <c r="F1" s="1318"/>
      <c r="G1" s="1318"/>
      <c r="H1" s="1318"/>
      <c r="I1" s="1318"/>
      <c r="J1" s="1318"/>
      <c r="K1" s="1318"/>
      <c r="L1" s="1318"/>
      <c r="M1" s="1318"/>
      <c r="N1" s="1318"/>
      <c r="O1" s="1318"/>
      <c r="P1" s="1318"/>
      <c r="Q1" s="1318"/>
      <c r="R1" s="1318"/>
      <c r="S1" s="1318"/>
      <c r="T1" s="1318"/>
      <c r="U1" s="1318"/>
      <c r="V1" s="1318"/>
      <c r="W1" s="1318"/>
      <c r="X1" s="1318"/>
      <c r="Y1" s="1318"/>
      <c r="Z1" s="1318"/>
      <c r="AA1" s="1318"/>
      <c r="AB1" s="1318"/>
      <c r="AC1" s="1318"/>
    </row>
    <row r="2" spans="2:40" ht="14.25" customHeight="1" x14ac:dyDescent="0.35">
      <c r="B2" s="1397" t="s">
        <v>857</v>
      </c>
      <c r="C2" s="1397"/>
      <c r="D2" s="1397"/>
      <c r="E2" s="1397"/>
      <c r="F2" s="1397"/>
      <c r="G2" s="1397"/>
      <c r="H2" s="1397"/>
      <c r="I2" s="1397"/>
      <c r="J2" s="1397"/>
      <c r="K2" s="1397"/>
      <c r="L2" s="1397"/>
      <c r="M2" s="1397"/>
      <c r="N2" s="1397"/>
      <c r="O2" s="1397"/>
      <c r="P2" s="1397"/>
      <c r="Q2" s="1397"/>
      <c r="R2" s="1397"/>
      <c r="S2" s="602"/>
      <c r="T2" s="1404" t="s">
        <v>905</v>
      </c>
      <c r="U2" s="1404"/>
      <c r="V2" s="1404"/>
      <c r="W2" s="1404"/>
      <c r="X2" s="1404"/>
      <c r="Y2" s="1404"/>
      <c r="Z2" s="1404"/>
      <c r="AA2" s="1404"/>
      <c r="AB2" s="1404"/>
      <c r="AC2" s="1404"/>
    </row>
    <row r="3" spans="2:40" x14ac:dyDescent="0.35">
      <c r="B3" s="1397"/>
      <c r="C3" s="1397"/>
      <c r="D3" s="1397"/>
      <c r="E3" s="1397"/>
      <c r="F3" s="1397"/>
      <c r="G3" s="1397"/>
      <c r="H3" s="1397"/>
      <c r="I3" s="1397"/>
      <c r="J3" s="1397"/>
      <c r="K3" s="1397"/>
      <c r="L3" s="1397"/>
      <c r="M3" s="1397"/>
      <c r="N3" s="1397"/>
      <c r="O3" s="1397"/>
      <c r="P3" s="1397"/>
      <c r="Q3" s="1397"/>
      <c r="R3" s="1397"/>
      <c r="S3" s="602"/>
      <c r="T3" s="1404"/>
      <c r="U3" s="1404"/>
      <c r="V3" s="1404"/>
      <c r="W3" s="1404"/>
      <c r="X3" s="1404"/>
      <c r="Y3" s="1404"/>
      <c r="Z3" s="1404"/>
      <c r="AA3" s="1404"/>
      <c r="AB3" s="1404"/>
      <c r="AC3" s="1404"/>
    </row>
    <row r="4" spans="2:40" ht="21" customHeight="1" x14ac:dyDescent="0.35">
      <c r="B4" s="1397"/>
      <c r="C4" s="1397"/>
      <c r="D4" s="1397"/>
      <c r="E4" s="1397"/>
      <c r="F4" s="1397"/>
      <c r="G4" s="1397"/>
      <c r="H4" s="1397"/>
      <c r="I4" s="1397"/>
      <c r="J4" s="1397"/>
      <c r="K4" s="1397"/>
      <c r="L4" s="1397"/>
      <c r="M4" s="1397"/>
      <c r="N4" s="1397"/>
      <c r="O4" s="1397"/>
      <c r="P4" s="1397"/>
      <c r="Q4" s="1397"/>
      <c r="R4" s="1397"/>
      <c r="S4" s="602"/>
      <c r="T4" s="1404"/>
      <c r="U4" s="1404"/>
      <c r="V4" s="1404"/>
      <c r="W4" s="1404"/>
      <c r="X4" s="1404"/>
      <c r="Y4" s="1404"/>
      <c r="Z4" s="1404"/>
      <c r="AA4" s="1404"/>
      <c r="AB4" s="1404"/>
      <c r="AC4" s="1404"/>
    </row>
    <row r="6" spans="2:40" x14ac:dyDescent="0.35">
      <c r="B6" s="529" t="s">
        <v>332</v>
      </c>
    </row>
    <row r="7" spans="2:40" ht="14.9" customHeight="1" x14ac:dyDescent="0.35">
      <c r="B7" s="1323" t="s">
        <v>402</v>
      </c>
      <c r="C7" s="1324"/>
      <c r="D7" s="1333" t="s">
        <v>279</v>
      </c>
      <c r="E7" s="1333"/>
      <c r="F7" s="1333"/>
      <c r="G7" s="1333"/>
      <c r="H7" s="1333"/>
      <c r="I7" s="1333"/>
      <c r="J7" s="1333"/>
      <c r="K7" s="1333"/>
      <c r="L7" s="1333"/>
      <c r="M7" s="1333"/>
      <c r="N7" s="1333"/>
      <c r="O7" s="1333"/>
      <c r="P7" s="1333"/>
      <c r="Q7" s="1333"/>
      <c r="R7" s="1333"/>
      <c r="S7" s="1333"/>
      <c r="T7" s="1333"/>
      <c r="U7" s="1333"/>
      <c r="V7" s="1333"/>
      <c r="W7" s="1333"/>
      <c r="X7" s="1333"/>
      <c r="Y7" s="1333"/>
      <c r="Z7" s="1333"/>
      <c r="AA7" s="1333"/>
      <c r="AB7" s="608"/>
      <c r="AC7" s="1350" t="s">
        <v>280</v>
      </c>
      <c r="AD7" s="1331"/>
      <c r="AE7" s="1331"/>
      <c r="AF7" s="1331"/>
      <c r="AG7" s="1331"/>
      <c r="AH7" s="1331"/>
      <c r="AI7" s="1331"/>
      <c r="AJ7" s="1331"/>
      <c r="AK7" s="1331"/>
      <c r="AL7" s="1331"/>
      <c r="AM7" s="1331"/>
      <c r="AN7" s="1332"/>
    </row>
    <row r="8" spans="2:40" x14ac:dyDescent="0.35">
      <c r="B8" s="1325"/>
      <c r="C8" s="1326"/>
      <c r="D8" s="296">
        <v>2018</v>
      </c>
      <c r="E8" s="1342">
        <v>2019</v>
      </c>
      <c r="F8" s="1343"/>
      <c r="G8" s="1343"/>
      <c r="H8" s="1344"/>
      <c r="I8" s="1342">
        <v>2020</v>
      </c>
      <c r="J8" s="1343"/>
      <c r="K8" s="1343"/>
      <c r="L8" s="1343"/>
      <c r="M8" s="1342">
        <v>2021</v>
      </c>
      <c r="N8" s="1343"/>
      <c r="O8" s="1343"/>
      <c r="P8" s="1354"/>
      <c r="Q8" s="1342">
        <v>2022</v>
      </c>
      <c r="R8" s="1354"/>
      <c r="S8" s="1354"/>
      <c r="T8" s="1354"/>
      <c r="U8" s="1342">
        <v>2023</v>
      </c>
      <c r="V8" s="1354"/>
      <c r="W8" s="1354"/>
      <c r="X8" s="1344"/>
      <c r="Y8" s="302"/>
      <c r="Z8" s="442">
        <v>2024</v>
      </c>
      <c r="AA8" s="442"/>
      <c r="AB8" s="309"/>
      <c r="AC8" s="1329">
        <v>2025</v>
      </c>
      <c r="AD8" s="1335"/>
      <c r="AE8" s="1335"/>
      <c r="AF8" s="1334"/>
      <c r="AG8" s="1329">
        <v>2026</v>
      </c>
      <c r="AH8" s="1335"/>
      <c r="AI8" s="1335"/>
      <c r="AJ8" s="1334"/>
      <c r="AK8" s="1329">
        <v>2027</v>
      </c>
      <c r="AL8" s="1335"/>
      <c r="AM8" s="1335"/>
      <c r="AN8" s="1334"/>
    </row>
    <row r="9" spans="2:40" x14ac:dyDescent="0.35">
      <c r="B9" s="1327"/>
      <c r="C9" s="1328"/>
      <c r="D9" s="225" t="s">
        <v>281</v>
      </c>
      <c r="E9" s="225" t="s">
        <v>282</v>
      </c>
      <c r="F9" s="226" t="s">
        <v>283</v>
      </c>
      <c r="G9" s="226" t="s">
        <v>238</v>
      </c>
      <c r="H9" s="232" t="s">
        <v>281</v>
      </c>
      <c r="I9" s="226" t="s">
        <v>282</v>
      </c>
      <c r="J9" s="226" t="s">
        <v>283</v>
      </c>
      <c r="K9" s="226" t="s">
        <v>238</v>
      </c>
      <c r="L9" s="226" t="s">
        <v>281</v>
      </c>
      <c r="M9" s="225" t="s">
        <v>282</v>
      </c>
      <c r="N9" s="226" t="s">
        <v>283</v>
      </c>
      <c r="O9" s="226" t="s">
        <v>238</v>
      </c>
      <c r="P9" s="226" t="s">
        <v>281</v>
      </c>
      <c r="Q9" s="225" t="s">
        <v>282</v>
      </c>
      <c r="R9" s="226" t="s">
        <v>283</v>
      </c>
      <c r="S9" s="226" t="s">
        <v>238</v>
      </c>
      <c r="T9" s="226" t="s">
        <v>281</v>
      </c>
      <c r="U9" s="286" t="s">
        <v>282</v>
      </c>
      <c r="V9" s="287" t="s">
        <v>283</v>
      </c>
      <c r="W9" s="287" t="s">
        <v>238</v>
      </c>
      <c r="X9" s="285" t="s">
        <v>281</v>
      </c>
      <c r="Y9" s="287" t="s">
        <v>282</v>
      </c>
      <c r="Z9" s="292" t="s">
        <v>283</v>
      </c>
      <c r="AA9" s="287" t="s">
        <v>238</v>
      </c>
      <c r="AB9" s="287" t="s">
        <v>281</v>
      </c>
      <c r="AC9" s="286" t="s">
        <v>282</v>
      </c>
      <c r="AD9" s="292" t="s">
        <v>283</v>
      </c>
      <c r="AE9" s="273" t="s">
        <v>238</v>
      </c>
      <c r="AF9" s="273" t="s">
        <v>281</v>
      </c>
      <c r="AG9" s="299" t="s">
        <v>282</v>
      </c>
      <c r="AH9" s="271" t="s">
        <v>283</v>
      </c>
      <c r="AI9" s="273" t="s">
        <v>238</v>
      </c>
      <c r="AJ9" s="301" t="s">
        <v>281</v>
      </c>
      <c r="AK9" s="299" t="s">
        <v>282</v>
      </c>
      <c r="AL9" s="271" t="s">
        <v>283</v>
      </c>
      <c r="AM9" s="273" t="s">
        <v>238</v>
      </c>
      <c r="AN9" s="301" t="s">
        <v>281</v>
      </c>
    </row>
    <row r="10" spans="2:40" ht="14.9" customHeight="1" x14ac:dyDescent="0.35">
      <c r="B10" s="612" t="s">
        <v>452</v>
      </c>
      <c r="C10" s="56" t="s">
        <v>901</v>
      </c>
      <c r="D10" s="584">
        <f>'Haver Pivoted'!GO12</f>
        <v>755</v>
      </c>
      <c r="E10" s="585">
        <f>'Haver Pivoted'!GP12</f>
        <v>773.5</v>
      </c>
      <c r="F10" s="585">
        <f>'Haver Pivoted'!GQ12</f>
        <v>788.5</v>
      </c>
      <c r="G10" s="585">
        <f>'Haver Pivoted'!GR12</f>
        <v>798</v>
      </c>
      <c r="H10" s="585">
        <f>'Haver Pivoted'!GS12</f>
        <v>802</v>
      </c>
      <c r="I10" s="585">
        <f>'Haver Pivoted'!GT12</f>
        <v>801.9</v>
      </c>
      <c r="J10" s="585">
        <f>'Haver Pivoted'!GU12</f>
        <v>814.3</v>
      </c>
      <c r="K10" s="585">
        <f>'Haver Pivoted'!GV12</f>
        <v>826.6</v>
      </c>
      <c r="L10" s="585">
        <f>'Haver Pivoted'!GW12</f>
        <v>838.8</v>
      </c>
      <c r="M10" s="585">
        <f>'Haver Pivoted'!GX12</f>
        <v>854.9</v>
      </c>
      <c r="N10" s="585">
        <f>'Haver Pivoted'!GY12</f>
        <v>871.2</v>
      </c>
      <c r="O10" s="585">
        <f>'Haver Pivoted'!GZ12</f>
        <v>887.1</v>
      </c>
      <c r="P10" s="585">
        <f>'Haver Pivoted'!HA12</f>
        <v>902.4</v>
      </c>
      <c r="Q10" s="585">
        <f>'Haver Pivoted'!HB12</f>
        <v>917.6</v>
      </c>
      <c r="R10" s="585">
        <f>'Haver Pivoted'!HC12</f>
        <v>926.6</v>
      </c>
      <c r="S10" s="586">
        <f>'Haver Pivoted'!HD12</f>
        <v>937.4</v>
      </c>
      <c r="T10" s="577">
        <f>'Haver Pivoted'!HE12</f>
        <v>958.5</v>
      </c>
      <c r="U10" s="611">
        <f>'Haver Pivoted'!HF12</f>
        <v>981.1</v>
      </c>
      <c r="V10" s="586">
        <f>'Haver Pivoted'!HG12</f>
        <v>1001.8</v>
      </c>
      <c r="W10" s="586">
        <f>'Haver Pivoted'!HH12</f>
        <v>1019.9</v>
      </c>
      <c r="X10" s="586">
        <f>'Haver Pivoted'!HI12</f>
        <v>1035.3</v>
      </c>
      <c r="Y10" s="586">
        <f>'Haver Pivoted'!HJ12</f>
        <v>1049.2</v>
      </c>
      <c r="Z10" s="586">
        <f>'Haver Pivoted'!HK12</f>
        <v>1067.0999999999999</v>
      </c>
      <c r="AA10" s="586">
        <f>'Haver Pivoted'!HL12</f>
        <v>1090.2</v>
      </c>
      <c r="AB10" s="586">
        <f>'Haver Pivoted'!HM12</f>
        <v>1118.5</v>
      </c>
      <c r="AC10" s="586">
        <f>'Haver Pivoted'!HN12</f>
        <v>1150.3</v>
      </c>
      <c r="AD10" s="586">
        <f>'Haver Pivoted'!HO12</f>
        <v>1182.0999999999999</v>
      </c>
      <c r="AE10" s="596">
        <f t="shared" ref="AE10" si="0">AD10*(1+AE13)+AE12</f>
        <v>1197.1541359637888</v>
      </c>
      <c r="AF10" s="596">
        <f>AE10*(1+AF13)+AF12</f>
        <v>1215.0695436191259</v>
      </c>
      <c r="AG10" s="596">
        <f>AF10*(1+AG13)+AG12</f>
        <v>1233.2530552903243</v>
      </c>
      <c r="AH10" s="596">
        <f t="shared" ref="AH10:AI10" si="1">AG10*(1+AH13)+AH12</f>
        <v>1251.7086831530878</v>
      </c>
      <c r="AI10" s="596">
        <f t="shared" si="1"/>
        <v>1270.4404994253166</v>
      </c>
      <c r="AJ10" s="596">
        <f>AI10*(1+AJ13)+AJ12</f>
        <v>1289.616636754057</v>
      </c>
      <c r="AK10" s="596">
        <f>AJ10*(1+AK13)+AK12</f>
        <v>1309.0822203362954</v>
      </c>
      <c r="AL10" s="596">
        <f t="shared" ref="AL10:AN10" si="2">AK10*(1+AL13)+AL12</f>
        <v>1328.8416190984858</v>
      </c>
      <c r="AM10" s="596">
        <f t="shared" si="2"/>
        <v>1348.8992679120313</v>
      </c>
      <c r="AN10" s="596">
        <f t="shared" si="2"/>
        <v>1348.8992679120313</v>
      </c>
    </row>
    <row r="11" spans="2:40" ht="28.5" customHeight="1" x14ac:dyDescent="0.35">
      <c r="B11" s="632" t="s">
        <v>903</v>
      </c>
      <c r="C11" s="624" t="s">
        <v>518</v>
      </c>
      <c r="D11" s="633"/>
      <c r="E11" s="621"/>
      <c r="F11" s="621"/>
      <c r="G11" s="621"/>
      <c r="H11" s="621"/>
      <c r="I11" s="621"/>
      <c r="J11" s="622">
        <f>'Haver Pivoted'!GU46</f>
        <v>9.6</v>
      </c>
      <c r="K11" s="622">
        <f>'Haver Pivoted'!GV46</f>
        <v>14.4</v>
      </c>
      <c r="L11" s="622">
        <f>'Haver Pivoted'!GW46</f>
        <v>14.3</v>
      </c>
      <c r="M11" s="622">
        <f>'Haver Pivoted'!GX46</f>
        <v>15</v>
      </c>
      <c r="N11" s="622">
        <f>'Haver Pivoted'!GY46</f>
        <v>15.3</v>
      </c>
      <c r="O11" s="622">
        <f>'Haver Pivoted'!GZ46</f>
        <v>15.6</v>
      </c>
      <c r="P11" s="622">
        <f>'Haver Pivoted'!HA46</f>
        <v>15.7</v>
      </c>
      <c r="Q11" s="622">
        <f>'Haver Pivoted'!HB46</f>
        <v>15.8</v>
      </c>
      <c r="R11" s="622">
        <f>'Haver Pivoted'!HC46</f>
        <v>7.9</v>
      </c>
      <c r="S11" s="556">
        <f>'Haver Pivoted'!HD46</f>
        <v>0</v>
      </c>
      <c r="T11" s="556">
        <f>'Haver Pivoted'!HE46</f>
        <v>0</v>
      </c>
      <c r="U11" s="556">
        <f>'Haver Pivoted'!HF46</f>
        <v>0</v>
      </c>
      <c r="V11" s="556">
        <f>'Haver Pivoted'!HG46</f>
        <v>0</v>
      </c>
      <c r="W11" s="556">
        <f>'Haver Pivoted'!HH46</f>
        <v>0</v>
      </c>
      <c r="X11" s="556">
        <f>'Haver Pivoted'!HI46</f>
        <v>0</v>
      </c>
      <c r="Y11" s="556">
        <f>'Haver Pivoted'!HJ46</f>
        <v>0</v>
      </c>
      <c r="Z11" s="556">
        <f>'Haver Pivoted'!HK46</f>
        <v>0</v>
      </c>
      <c r="AA11" s="556">
        <f>'Haver Pivoted'!HL46</f>
        <v>0</v>
      </c>
      <c r="AB11" s="556">
        <f>'Haver Pivoted'!HM46</f>
        <v>0</v>
      </c>
      <c r="AC11" s="556">
        <f>'Haver Pivoted'!HN46</f>
        <v>0</v>
      </c>
      <c r="AD11" s="556">
        <f>'Haver Pivoted'!HO46</f>
        <v>0</v>
      </c>
      <c r="AE11" s="614"/>
      <c r="AF11" s="614"/>
      <c r="AG11" s="614"/>
      <c r="AH11" s="614"/>
      <c r="AI11" s="614"/>
      <c r="AJ11" s="614"/>
      <c r="AK11" s="614"/>
      <c r="AL11" s="614"/>
      <c r="AM11" s="614"/>
      <c r="AN11" s="614"/>
    </row>
    <row r="12" spans="2:40" x14ac:dyDescent="0.35">
      <c r="B12" s="632" t="s">
        <v>1831</v>
      </c>
      <c r="C12" s="624"/>
      <c r="D12" s="633"/>
      <c r="E12" s="621"/>
      <c r="F12" s="621"/>
      <c r="G12" s="621"/>
      <c r="H12" s="621"/>
      <c r="I12" s="621"/>
      <c r="J12" s="622"/>
      <c r="K12" s="622"/>
      <c r="L12" s="622"/>
      <c r="M12" s="622"/>
      <c r="N12" s="622"/>
      <c r="O12" s="622"/>
      <c r="P12" s="622"/>
      <c r="Q12" s="622"/>
      <c r="R12" s="622"/>
      <c r="S12" s="556"/>
      <c r="T12" s="556"/>
      <c r="U12" s="556"/>
      <c r="V12" s="556"/>
      <c r="W12" s="411">
        <v>-7</v>
      </c>
      <c r="X12" s="614"/>
      <c r="Y12" s="614">
        <v>-13.3</v>
      </c>
      <c r="Z12" s="614">
        <v>-8</v>
      </c>
      <c r="AA12" s="614">
        <v>-2</v>
      </c>
      <c r="AB12" s="614">
        <v>12</v>
      </c>
      <c r="AC12" s="614">
        <f>16</f>
        <v>16</v>
      </c>
      <c r="AD12" s="614">
        <v>15</v>
      </c>
      <c r="AE12" s="614"/>
      <c r="AF12" s="614"/>
      <c r="AG12" s="614"/>
      <c r="AH12" s="614"/>
      <c r="AI12" s="614"/>
      <c r="AJ12" s="614"/>
      <c r="AK12" s="614"/>
      <c r="AL12" s="614"/>
      <c r="AM12" s="614"/>
      <c r="AN12" s="614"/>
    </row>
    <row r="13" spans="2:40" x14ac:dyDescent="0.35">
      <c r="B13" s="627" t="s">
        <v>453</v>
      </c>
      <c r="C13" s="626"/>
      <c r="D13" s="600"/>
      <c r="E13" s="573"/>
      <c r="F13" s="573"/>
      <c r="G13" s="573"/>
      <c r="H13" s="573"/>
      <c r="I13" s="573"/>
      <c r="J13" s="587"/>
      <c r="K13" s="587"/>
      <c r="L13" s="587"/>
      <c r="M13" s="587"/>
      <c r="N13" s="587">
        <f>(1 + $E$26)^0.25-1</f>
        <v>0</v>
      </c>
      <c r="O13" s="587">
        <f>(1 + $E$26)^0.25-1</f>
        <v>0</v>
      </c>
      <c r="P13" s="587">
        <f>(1 + $F$26)^0.25-1</f>
        <v>3.0584654007782985E-2</v>
      </c>
      <c r="Q13" s="587">
        <f>(1 +$F$26)^0.25-1</f>
        <v>3.0584654007782985E-2</v>
      </c>
      <c r="R13" s="587">
        <f>(1 +$F$26)^0.25-1</f>
        <v>3.0584654007782985E-2</v>
      </c>
      <c r="S13" s="623">
        <f>(1 +$F$26)^0.25-1</f>
        <v>3.0584654007782985E-2</v>
      </c>
      <c r="T13" s="623">
        <f>(1 +$G$26)^0.25-1</f>
        <v>1.0343738735768992E-2</v>
      </c>
      <c r="U13" s="623">
        <f>(1 +$G$26)^0.25-1</f>
        <v>1.0343738735768992E-2</v>
      </c>
      <c r="V13" s="623">
        <f>(1 +$G$26)^0.25-1</f>
        <v>1.0343738735768992E-2</v>
      </c>
      <c r="W13" s="587">
        <f>(1 +$G$26)^0.25-1</f>
        <v>1.0343738735768992E-2</v>
      </c>
      <c r="X13" s="615">
        <f>(1 +$H$26)^0.25-1</f>
        <v>2.4149796973031323E-2</v>
      </c>
      <c r="Y13" s="603">
        <f t="shared" ref="Y13:AA13" si="3">(1 +$H$26)^0.25-1</f>
        <v>2.4149796973031323E-2</v>
      </c>
      <c r="Z13" s="603">
        <f t="shared" si="3"/>
        <v>2.4149796973031323E-2</v>
      </c>
      <c r="AA13" s="603">
        <f t="shared" si="3"/>
        <v>2.4149796973031323E-2</v>
      </c>
      <c r="AB13" s="615">
        <f>(1 +$I$26)^0.25-1</f>
        <v>1.2735078219938245E-2</v>
      </c>
      <c r="AC13" s="603">
        <f>(1 +$I$26)^0.25-1</f>
        <v>1.2735078219938245E-2</v>
      </c>
      <c r="AD13" s="603">
        <f t="shared" ref="AD13:AE13" si="4">(1 +$I$26)^0.25-1</f>
        <v>1.2735078219938245E-2</v>
      </c>
      <c r="AE13" s="603">
        <f t="shared" si="4"/>
        <v>1.2735078219938245E-2</v>
      </c>
      <c r="AF13" s="615">
        <f>(1 +$J$26)^0.25-1</f>
        <v>1.4964996667629515E-2</v>
      </c>
      <c r="AG13" s="603">
        <f>(1 +$J$26)^0.25-1</f>
        <v>1.4964996667629515E-2</v>
      </c>
      <c r="AH13" s="603">
        <f>(1 +$J$26)^0.25-1</f>
        <v>1.4964996667629515E-2</v>
      </c>
      <c r="AI13" s="603">
        <f>(1 +$J$26)^0.25-1</f>
        <v>1.4964996667629515E-2</v>
      </c>
      <c r="AJ13" s="615">
        <f>(1 +$K$26)^0.25-1</f>
        <v>1.5094085348676067E-2</v>
      </c>
      <c r="AK13" s="603">
        <f>(1 +$K$26)^0.25-1</f>
        <v>1.5094085348676067E-2</v>
      </c>
      <c r="AL13" s="603">
        <f t="shared" ref="AL13:AM13" si="5">(1 +$K$26)^0.25-1</f>
        <v>1.5094085348676067E-2</v>
      </c>
      <c r="AM13" s="603">
        <f t="shared" si="5"/>
        <v>1.5094085348676067E-2</v>
      </c>
      <c r="AN13" s="615">
        <f>(1 +$L$26)^0.25-1</f>
        <v>0</v>
      </c>
    </row>
    <row r="14" spans="2:40" ht="15.75" customHeight="1" x14ac:dyDescent="0.35">
      <c r="B14" s="625"/>
      <c r="C14" s="613"/>
      <c r="D14" s="509"/>
      <c r="E14" s="509"/>
      <c r="F14" s="509"/>
      <c r="G14" s="509"/>
      <c r="H14" s="509"/>
      <c r="I14" s="509"/>
      <c r="J14" s="576"/>
      <c r="K14" s="576"/>
      <c r="L14" s="576"/>
      <c r="M14" s="576"/>
    </row>
    <row r="15" spans="2:40" ht="15.75" customHeight="1" x14ac:dyDescent="0.35">
      <c r="B15" s="625"/>
      <c r="C15" s="613"/>
      <c r="D15" s="509"/>
    </row>
    <row r="16" spans="2:40" ht="15.75" customHeight="1" x14ac:dyDescent="0.35">
      <c r="B16" s="625"/>
      <c r="C16" s="613"/>
      <c r="D16" s="509"/>
      <c r="E16" s="509"/>
      <c r="F16" s="509"/>
      <c r="G16" s="509"/>
      <c r="H16" s="509"/>
      <c r="I16" s="509"/>
      <c r="J16" s="576"/>
      <c r="K16" s="576"/>
      <c r="L16" s="576"/>
    </row>
    <row r="17" spans="2:32" x14ac:dyDescent="0.35">
      <c r="B17" s="625"/>
      <c r="C17" s="613"/>
      <c r="D17" s="509"/>
      <c r="E17" s="509"/>
      <c r="F17" s="509"/>
      <c r="G17" s="509"/>
      <c r="H17" s="509"/>
      <c r="I17" s="509"/>
      <c r="J17" s="576"/>
      <c r="K17" s="576"/>
      <c r="L17" s="576"/>
    </row>
    <row r="18" spans="2:32" x14ac:dyDescent="0.35">
      <c r="B18" s="625"/>
      <c r="C18" s="613"/>
      <c r="D18" s="509"/>
      <c r="E18" s="509"/>
      <c r="F18" s="509"/>
      <c r="G18" s="509"/>
      <c r="H18" s="509"/>
      <c r="I18" s="509"/>
      <c r="J18" s="576"/>
      <c r="K18" s="576"/>
      <c r="L18" s="576"/>
      <c r="N18" s="532"/>
      <c r="R18" s="532"/>
      <c r="V18" s="532"/>
      <c r="Z18" s="532"/>
    </row>
    <row r="19" spans="2:32" ht="14.9" customHeight="1" x14ac:dyDescent="0.35">
      <c r="B19" s="529" t="s">
        <v>351</v>
      </c>
    </row>
    <row r="20" spans="2:32" x14ac:dyDescent="0.35">
      <c r="B20" s="630" t="s">
        <v>430</v>
      </c>
      <c r="C20" s="630">
        <v>2019</v>
      </c>
      <c r="D20" s="631">
        <v>2020</v>
      </c>
      <c r="E20" s="606">
        <v>2021</v>
      </c>
      <c r="F20" s="606">
        <v>2022</v>
      </c>
      <c r="G20" s="606">
        <v>2023</v>
      </c>
      <c r="H20" s="606">
        <v>2024</v>
      </c>
      <c r="I20" s="606">
        <v>2025</v>
      </c>
      <c r="J20" s="606">
        <v>2026</v>
      </c>
      <c r="K20" s="607">
        <v>2027</v>
      </c>
    </row>
    <row r="21" spans="2:32" ht="21" customHeight="1" x14ac:dyDescent="0.35">
      <c r="B21" s="617" t="s">
        <v>1965</v>
      </c>
      <c r="C21" s="609"/>
      <c r="D21" s="609"/>
      <c r="E21" s="246">
        <v>867.67600000000004</v>
      </c>
      <c r="F21" s="246">
        <v>974.649</v>
      </c>
      <c r="G21" s="246">
        <v>1008.504</v>
      </c>
      <c r="H21" s="246">
        <v>1088.9089999999999</v>
      </c>
      <c r="I21" s="246">
        <v>1145.4469999999999</v>
      </c>
      <c r="J21" s="246">
        <v>1215.568</v>
      </c>
      <c r="K21" s="636">
        <v>1290.6379999999999</v>
      </c>
      <c r="L21" s="616">
        <v>1371.894</v>
      </c>
      <c r="M21" s="616">
        <v>1460.277</v>
      </c>
      <c r="N21" s="616">
        <v>1554.6379999999999</v>
      </c>
      <c r="O21" s="616">
        <v>1658.7670000000001</v>
      </c>
      <c r="P21" s="411">
        <v>1770.1189999999999</v>
      </c>
      <c r="Q21" s="411">
        <v>1904.5160000000001</v>
      </c>
      <c r="R21" s="411">
        <v>2036.5410000000002</v>
      </c>
      <c r="S21" s="411">
        <v>2166.35</v>
      </c>
      <c r="T21" s="411"/>
      <c r="U21" s="411"/>
      <c r="V21" s="411"/>
      <c r="W21" s="411"/>
      <c r="X21" s="411"/>
      <c r="Y21" s="411"/>
      <c r="Z21" s="411"/>
      <c r="AA21" s="411"/>
      <c r="AB21" s="411"/>
      <c r="AC21" s="411"/>
    </row>
    <row r="22" spans="2:32" ht="21" customHeight="1" x14ac:dyDescent="0.35">
      <c r="B22" s="618"/>
      <c r="C22" s="635"/>
      <c r="D22" s="635"/>
      <c r="E22" s="246">
        <f>AVERAGE(L10:O10)</f>
        <v>862.99999999999989</v>
      </c>
      <c r="F22" s="246">
        <f>AVERAGE(P10:S10)</f>
        <v>921</v>
      </c>
      <c r="G22" s="246">
        <f>AVERAGE(T10:W10)</f>
        <v>990.32499999999993</v>
      </c>
      <c r="H22" s="246">
        <f>AVERAGE(X10:AA10)</f>
        <v>1060.45</v>
      </c>
      <c r="I22" s="246">
        <f>AVERAGE(AB10:AE10)</f>
        <v>1162.0135339909473</v>
      </c>
      <c r="J22" s="509">
        <f>AVERAGE(AF10:AI10)</f>
        <v>1242.6179453719635</v>
      </c>
      <c r="K22" s="341">
        <f>AVERAGE(AJ10:AM10)</f>
        <v>1319.1099360252174</v>
      </c>
      <c r="L22" s="616"/>
      <c r="M22" s="616"/>
      <c r="N22" s="616"/>
      <c r="O22" s="616"/>
      <c r="P22" s="411"/>
      <c r="Q22" s="411"/>
      <c r="R22" s="411"/>
      <c r="S22" s="411"/>
      <c r="T22" s="411"/>
      <c r="U22" s="411"/>
      <c r="V22" s="411"/>
      <c r="W22" s="411"/>
      <c r="X22" s="411"/>
      <c r="Y22" s="411"/>
      <c r="Z22" s="411"/>
      <c r="AA22" s="411"/>
      <c r="AB22" s="411"/>
      <c r="AC22" s="411"/>
    </row>
    <row r="23" spans="2:32" ht="21" customHeight="1" x14ac:dyDescent="0.35">
      <c r="B23" s="634" t="s">
        <v>454</v>
      </c>
      <c r="C23" s="233"/>
      <c r="D23" s="233">
        <v>47</v>
      </c>
      <c r="E23" s="233">
        <v>48</v>
      </c>
      <c r="F23" s="233">
        <v>-50</v>
      </c>
      <c r="G23" s="233">
        <v>-45</v>
      </c>
      <c r="H23" s="233"/>
      <c r="I23" s="233"/>
      <c r="J23" s="233">
        <f>SUM(D23:G23)</f>
        <v>0</v>
      </c>
      <c r="K23" s="569">
        <v>0</v>
      </c>
      <c r="M23" s="616"/>
      <c r="N23" s="616"/>
      <c r="O23" s="616"/>
      <c r="P23" s="411"/>
      <c r="Q23" s="411"/>
      <c r="R23" s="411"/>
      <c r="S23" s="411"/>
      <c r="T23" s="411"/>
      <c r="U23" s="411"/>
      <c r="V23" s="411"/>
      <c r="W23" s="411"/>
      <c r="X23" s="411"/>
      <c r="Y23" s="411"/>
      <c r="Z23" s="411"/>
      <c r="AA23" s="411"/>
      <c r="AB23" s="411"/>
      <c r="AC23" s="411"/>
    </row>
    <row r="24" spans="2:32" x14ac:dyDescent="0.35">
      <c r="B24" s="634" t="s">
        <v>1372</v>
      </c>
      <c r="C24" s="635"/>
      <c r="D24" s="635"/>
      <c r="E24" s="635">
        <f>E21-E23</f>
        <v>819.67600000000004</v>
      </c>
      <c r="F24" s="635">
        <f>F21+F23</f>
        <v>924.649</v>
      </c>
      <c r="G24" s="635">
        <f>G21+G23</f>
        <v>963.50400000000002</v>
      </c>
      <c r="H24" s="635">
        <f>H21+H23</f>
        <v>1088.9089999999999</v>
      </c>
      <c r="I24" s="635">
        <f>I21+I23</f>
        <v>1145.4469999999999</v>
      </c>
      <c r="J24" s="635">
        <f t="shared" ref="J24:K24" si="6">J21+J23</f>
        <v>1215.568</v>
      </c>
      <c r="K24" s="610">
        <f t="shared" si="6"/>
        <v>1290.6379999999999</v>
      </c>
      <c r="N24" s="629"/>
      <c r="O24" s="613"/>
      <c r="P24" s="411"/>
      <c r="Q24" s="411"/>
      <c r="R24" s="411"/>
      <c r="S24" s="411"/>
      <c r="T24" s="411"/>
      <c r="U24" s="411"/>
      <c r="V24" s="411"/>
      <c r="W24" s="411"/>
      <c r="X24" s="411"/>
      <c r="Y24" s="411"/>
      <c r="Z24" s="411"/>
      <c r="AA24" s="411"/>
      <c r="AB24" s="411"/>
      <c r="AC24" s="411"/>
    </row>
    <row r="25" spans="2:32" x14ac:dyDescent="0.35">
      <c r="B25" s="634" t="s">
        <v>456</v>
      </c>
      <c r="C25" s="509">
        <f>AVERAGE(D10:G10)</f>
        <v>778.75</v>
      </c>
      <c r="D25" s="509">
        <f>AVERAGE(H10:K10)</f>
        <v>811.19999999999993</v>
      </c>
      <c r="E25" s="635">
        <f>AVERAGE(L10:O10)</f>
        <v>862.99999999999989</v>
      </c>
      <c r="F25" s="233"/>
      <c r="G25" s="233"/>
      <c r="H25" s="233"/>
      <c r="I25" s="233"/>
      <c r="J25" s="233"/>
      <c r="K25" s="569"/>
      <c r="L25" s="249" t="s">
        <v>455</v>
      </c>
      <c r="P25" s="411"/>
      <c r="Q25" s="411"/>
      <c r="R25" s="411"/>
      <c r="S25" s="411"/>
      <c r="T25" s="411"/>
      <c r="U25" s="411"/>
      <c r="V25" s="411"/>
      <c r="W25" s="411"/>
      <c r="X25" s="411"/>
      <c r="Y25" s="411"/>
      <c r="Z25" s="411"/>
      <c r="AA25" s="411"/>
      <c r="AB25" s="411"/>
      <c r="AC25" s="411"/>
    </row>
    <row r="26" spans="2:32" x14ac:dyDescent="0.35">
      <c r="B26" s="619" t="s">
        <v>914</v>
      </c>
      <c r="C26" s="233"/>
      <c r="D26" s="233"/>
      <c r="E26" s="233"/>
      <c r="F26" s="233">
        <f>F24/E24-1</f>
        <v>0.12806645552632978</v>
      </c>
      <c r="G26" s="233">
        <f>G24/F24-1+G27</f>
        <v>4.2021350804467339E-2</v>
      </c>
      <c r="H26" s="233">
        <f>H24/G24-1+H27-0.03</f>
        <v>0.10015514206479662</v>
      </c>
      <c r="I26" s="233">
        <f>I24/H24-1</f>
        <v>5.1921694099323235E-2</v>
      </c>
      <c r="J26" s="233">
        <f>J24/I24-1</f>
        <v>6.1217149287570827E-2</v>
      </c>
      <c r="K26" s="569">
        <f>K24/J24-1</f>
        <v>6.1757137404077733E-2</v>
      </c>
      <c r="P26" s="249"/>
      <c r="Q26" s="249"/>
      <c r="R26" s="249"/>
      <c r="S26" s="249"/>
      <c r="T26" s="249"/>
      <c r="U26" s="249"/>
      <c r="V26" s="249"/>
      <c r="W26" s="249"/>
      <c r="X26" s="249"/>
      <c r="Y26" s="249"/>
      <c r="Z26" s="249"/>
      <c r="AA26" s="249"/>
      <c r="AB26" s="249"/>
      <c r="AC26" s="249"/>
    </row>
    <row r="27" spans="2:32" x14ac:dyDescent="0.35">
      <c r="B27" s="620" t="s">
        <v>887</v>
      </c>
      <c r="C27" s="568"/>
      <c r="D27" s="568"/>
      <c r="E27" s="568"/>
      <c r="F27" s="568"/>
      <c r="G27" s="568">
        <v>0</v>
      </c>
      <c r="H27" s="568"/>
      <c r="I27" s="568"/>
      <c r="J27" s="568"/>
      <c r="K27" s="581"/>
      <c r="P27" s="249"/>
      <c r="Q27" s="249"/>
      <c r="R27" s="249"/>
      <c r="S27" s="249"/>
      <c r="T27" s="249"/>
      <c r="U27" s="249"/>
      <c r="V27" s="249"/>
      <c r="W27" s="249"/>
      <c r="X27" s="249"/>
      <c r="Y27" s="249"/>
      <c r="Z27" s="249"/>
      <c r="AA27" s="249"/>
      <c r="AB27" s="249"/>
      <c r="AC27" s="249"/>
    </row>
    <row r="28" spans="2:32" x14ac:dyDescent="0.35">
      <c r="C28" s="628"/>
      <c r="D28" s="628"/>
      <c r="E28" s="628"/>
      <c r="F28" s="628"/>
      <c r="G28" s="628"/>
      <c r="H28" s="628"/>
      <c r="I28" s="628"/>
      <c r="J28" s="628"/>
      <c r="P28" s="249"/>
      <c r="Q28" s="249"/>
      <c r="R28" s="249"/>
      <c r="S28" s="249"/>
      <c r="T28" s="249"/>
      <c r="U28" s="249"/>
      <c r="V28" s="249"/>
      <c r="W28" s="249"/>
      <c r="X28" s="249"/>
      <c r="Y28" s="249"/>
      <c r="Z28" s="249"/>
      <c r="AA28" s="249"/>
      <c r="AB28" s="249"/>
      <c r="AC28" s="249"/>
    </row>
    <row r="29" spans="2:32" x14ac:dyDescent="0.35">
      <c r="P29" s="249"/>
      <c r="Q29" s="249"/>
      <c r="R29" s="249"/>
      <c r="S29" s="249"/>
      <c r="T29" s="249"/>
      <c r="U29" s="249"/>
      <c r="V29" s="249"/>
      <c r="W29" s="249"/>
      <c r="X29" s="249"/>
      <c r="Y29" s="249"/>
      <c r="Z29" s="249"/>
      <c r="AA29" s="249"/>
      <c r="AB29" s="249"/>
      <c r="AC29" s="249"/>
    </row>
    <row r="30" spans="2:32" x14ac:dyDescent="0.35">
      <c r="S30" s="249"/>
      <c r="T30" s="249"/>
      <c r="U30" s="249"/>
      <c r="V30" s="249"/>
      <c r="W30" s="249"/>
      <c r="X30" s="249"/>
      <c r="Y30" s="249"/>
      <c r="Z30" s="249"/>
      <c r="AA30" s="249"/>
      <c r="AB30" s="249"/>
      <c r="AC30" s="249"/>
      <c r="AD30" s="249"/>
      <c r="AE30" s="249"/>
      <c r="AF30" s="249"/>
    </row>
    <row r="31" spans="2:32" x14ac:dyDescent="0.35">
      <c r="P31" s="249"/>
      <c r="Q31" s="249"/>
      <c r="R31" s="249"/>
      <c r="S31" s="249"/>
      <c r="T31" s="249"/>
      <c r="U31" s="249"/>
      <c r="V31" s="249"/>
      <c r="W31" s="249"/>
      <c r="X31" s="249"/>
      <c r="Y31" s="249"/>
      <c r="Z31" s="249"/>
      <c r="AA31" s="249"/>
      <c r="AB31" s="249"/>
      <c r="AC31" s="249"/>
    </row>
    <row r="32" spans="2:32" x14ac:dyDescent="0.35">
      <c r="F32" s="56"/>
      <c r="G32" s="56"/>
      <c r="P32" s="249"/>
      <c r="Q32" s="249"/>
      <c r="R32" s="249"/>
      <c r="S32" s="249"/>
      <c r="T32" s="249"/>
      <c r="U32" s="249"/>
      <c r="V32" s="249"/>
      <c r="W32" s="249"/>
      <c r="X32" s="249"/>
      <c r="Y32" s="249"/>
      <c r="Z32" s="249"/>
      <c r="AA32" s="249"/>
      <c r="AB32" s="249"/>
      <c r="AC32" s="249"/>
    </row>
    <row r="33" spans="16:29" x14ac:dyDescent="0.35">
      <c r="P33" s="249"/>
      <c r="Q33" s="249"/>
      <c r="R33" s="249"/>
      <c r="S33" s="249"/>
      <c r="T33" s="249"/>
      <c r="U33" s="249"/>
      <c r="V33" s="249"/>
      <c r="W33" s="249"/>
      <c r="X33" s="249"/>
      <c r="Y33" s="249"/>
      <c r="Z33" s="249"/>
      <c r="AA33" s="249"/>
      <c r="AB33" s="249"/>
      <c r="AC33" s="249"/>
    </row>
    <row r="34" spans="16:29" x14ac:dyDescent="0.35">
      <c r="P34" s="249"/>
      <c r="Q34" s="249"/>
      <c r="R34" s="249"/>
      <c r="S34" s="249"/>
      <c r="T34" s="249"/>
      <c r="U34" s="249"/>
      <c r="V34" s="249"/>
      <c r="W34" s="249"/>
      <c r="X34" s="249"/>
      <c r="Y34" s="249"/>
      <c r="Z34" s="249"/>
      <c r="AA34" s="249"/>
      <c r="AB34" s="249"/>
      <c r="AC34" s="249"/>
    </row>
  </sheetData>
  <mergeCells count="14">
    <mergeCell ref="B1:AC1"/>
    <mergeCell ref="B7:C9"/>
    <mergeCell ref="E8:H8"/>
    <mergeCell ref="I8:L8"/>
    <mergeCell ref="M8:P8"/>
    <mergeCell ref="B2:R4"/>
    <mergeCell ref="T2:AC4"/>
    <mergeCell ref="Q8:T8"/>
    <mergeCell ref="AC8:AF8"/>
    <mergeCell ref="AC7:AN7"/>
    <mergeCell ref="AK8:AN8"/>
    <mergeCell ref="U8:X8"/>
    <mergeCell ref="D7:AA7"/>
    <mergeCell ref="AG8:AJ8"/>
  </mergeCells>
  <pageMargins left="0.7" right="0.7" top="0.75" bottom="0.75" header="0.3" footer="0.3"/>
  <pageSetup orientation="portrait"/>
  <drawing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AN26"/>
  <sheetViews>
    <sheetView zoomScaleNormal="100" workbookViewId="0">
      <pane xSplit="3" ySplit="8" topLeftCell="W9" activePane="bottomRight" state="frozen"/>
      <selection pane="topRight" activeCell="D1" sqref="D1"/>
      <selection pane="bottomLeft" activeCell="A9" sqref="A9"/>
      <selection pane="bottomRight" activeCell="AD32" sqref="AD32"/>
    </sheetView>
  </sheetViews>
  <sheetFormatPr defaultColWidth="10.90625" defaultRowHeight="14.5" x14ac:dyDescent="0.35"/>
  <cols>
    <col min="1" max="1" width="16.81640625" customWidth="1"/>
  </cols>
  <sheetData>
    <row r="1" spans="2:40" x14ac:dyDescent="0.35">
      <c r="B1" s="1318" t="s">
        <v>1374</v>
      </c>
      <c r="C1" s="1318"/>
      <c r="D1" s="1318"/>
      <c r="E1" s="1318"/>
      <c r="F1" s="1318"/>
      <c r="G1" s="1318"/>
      <c r="H1" s="1318"/>
      <c r="I1" s="1318"/>
      <c r="J1" s="1318"/>
      <c r="K1" s="1318"/>
      <c r="L1" s="1318"/>
      <c r="M1" s="1318"/>
      <c r="N1" s="1318"/>
      <c r="O1" s="1318"/>
      <c r="P1" s="1318"/>
      <c r="Q1" s="1318"/>
      <c r="R1" s="1318"/>
      <c r="S1" s="1318"/>
      <c r="T1" s="1318"/>
      <c r="U1" s="1318"/>
      <c r="V1" s="1318"/>
      <c r="W1" s="1318"/>
      <c r="X1" s="1318"/>
      <c r="Y1" s="1318"/>
      <c r="Z1" s="1318"/>
      <c r="AA1" s="1318"/>
      <c r="AB1" s="1318"/>
      <c r="AC1" s="1318"/>
    </row>
    <row r="2" spans="2:40" x14ac:dyDescent="0.35">
      <c r="B2" s="1319" t="s">
        <v>1377</v>
      </c>
      <c r="C2" s="1319"/>
      <c r="D2" s="1319"/>
      <c r="E2" s="1319"/>
      <c r="F2" s="1319"/>
      <c r="G2" s="1319"/>
      <c r="H2" s="1319"/>
      <c r="I2" s="1319"/>
      <c r="J2" s="1319"/>
      <c r="K2" s="1319"/>
      <c r="L2" s="1319"/>
      <c r="M2" s="1319"/>
      <c r="N2" s="1319"/>
      <c r="O2" s="1319"/>
      <c r="P2" s="1319"/>
      <c r="Q2" s="1319"/>
      <c r="R2" s="1319"/>
      <c r="S2" s="1319"/>
      <c r="T2" s="1319"/>
      <c r="U2" s="1319"/>
      <c r="V2" s="1319"/>
      <c r="W2" s="1319"/>
      <c r="X2" s="1319"/>
      <c r="Y2" s="1319"/>
      <c r="Z2" s="1319"/>
      <c r="AA2" s="1319"/>
      <c r="AB2" s="1319"/>
      <c r="AC2" s="1319"/>
    </row>
    <row r="3" spans="2:40" x14ac:dyDescent="0.35">
      <c r="B3" s="1319"/>
      <c r="C3" s="1319"/>
      <c r="D3" s="1319"/>
      <c r="E3" s="1319"/>
      <c r="F3" s="1319"/>
      <c r="G3" s="1319"/>
      <c r="H3" s="1319"/>
      <c r="I3" s="1319"/>
      <c r="J3" s="1319"/>
      <c r="K3" s="1319"/>
      <c r="L3" s="1319"/>
      <c r="M3" s="1319"/>
      <c r="N3" s="1319"/>
      <c r="O3" s="1319"/>
      <c r="P3" s="1319"/>
      <c r="Q3" s="1319"/>
      <c r="R3" s="1319"/>
      <c r="S3" s="1319"/>
      <c r="T3" s="1319"/>
      <c r="U3" s="1319"/>
      <c r="V3" s="1319"/>
      <c r="W3" s="1319"/>
      <c r="X3" s="1319"/>
      <c r="Y3" s="1319"/>
      <c r="Z3" s="1319"/>
      <c r="AA3" s="1319"/>
      <c r="AB3" s="1319"/>
      <c r="AC3" s="1319"/>
    </row>
    <row r="4" spans="2:40" x14ac:dyDescent="0.35">
      <c r="B4" s="1319"/>
      <c r="C4" s="1319"/>
      <c r="D4" s="1319"/>
      <c r="E4" s="1319"/>
      <c r="F4" s="1319"/>
      <c r="G4" s="1319"/>
      <c r="H4" s="1319"/>
      <c r="I4" s="1319"/>
      <c r="J4" s="1319"/>
      <c r="K4" s="1319"/>
      <c r="L4" s="1319"/>
      <c r="M4" s="1319"/>
      <c r="N4" s="1319"/>
      <c r="O4" s="1319"/>
      <c r="P4" s="1319"/>
      <c r="Q4" s="1319"/>
      <c r="R4" s="1319"/>
      <c r="S4" s="1319"/>
      <c r="T4" s="1319"/>
      <c r="U4" s="1319"/>
      <c r="V4" s="1319"/>
      <c r="W4" s="1319"/>
      <c r="X4" s="1319"/>
      <c r="Y4" s="1319"/>
      <c r="Z4" s="1319"/>
      <c r="AA4" s="1319"/>
      <c r="AB4" s="1319"/>
      <c r="AC4" s="1319"/>
    </row>
    <row r="5" spans="2:40" x14ac:dyDescent="0.35">
      <c r="B5" s="409"/>
      <c r="C5" s="249"/>
      <c r="D5" s="249"/>
      <c r="E5" s="249"/>
      <c r="F5" s="249"/>
      <c r="G5" s="249"/>
      <c r="H5" s="249"/>
      <c r="I5" s="249"/>
      <c r="J5" s="249"/>
      <c r="K5" s="249"/>
      <c r="L5" s="249"/>
      <c r="M5" s="249"/>
      <c r="N5" s="249"/>
      <c r="O5" s="249"/>
      <c r="P5" s="249"/>
      <c r="Q5" s="249"/>
      <c r="R5" s="249"/>
      <c r="S5" s="249"/>
      <c r="T5" s="249"/>
      <c r="U5" s="249"/>
      <c r="V5" s="249"/>
      <c r="W5" s="249"/>
      <c r="X5" s="249"/>
      <c r="Y5" s="249"/>
    </row>
    <row r="6" spans="2:40" x14ac:dyDescent="0.35">
      <c r="B6" s="1323" t="s">
        <v>1690</v>
      </c>
      <c r="C6" s="1367"/>
      <c r="D6" s="1327" t="s">
        <v>279</v>
      </c>
      <c r="E6" s="1369"/>
      <c r="F6" s="1369"/>
      <c r="G6" s="1369"/>
      <c r="H6" s="1369"/>
      <c r="I6" s="1369"/>
      <c r="J6" s="1369"/>
      <c r="K6" s="1369"/>
      <c r="L6" s="1369"/>
      <c r="M6" s="1369"/>
      <c r="N6" s="1369"/>
      <c r="O6" s="1369"/>
      <c r="P6" s="1369"/>
      <c r="Q6" s="1368"/>
      <c r="R6" s="1368"/>
      <c r="S6" s="1368"/>
      <c r="T6" s="1368"/>
      <c r="U6" s="1368"/>
      <c r="V6" s="1326"/>
      <c r="W6" s="1408" t="s">
        <v>280</v>
      </c>
      <c r="X6" s="1406"/>
      <c r="Y6" s="1406"/>
      <c r="Z6" s="1406"/>
      <c r="AA6" s="1406"/>
      <c r="AB6" s="1406"/>
      <c r="AC6" s="1406"/>
      <c r="AD6" s="1406"/>
      <c r="AE6" s="1406"/>
      <c r="AF6" s="1406"/>
      <c r="AG6" s="1407"/>
      <c r="AH6" s="637"/>
      <c r="AI6" s="637"/>
      <c r="AJ6" s="637"/>
    </row>
    <row r="7" spans="2:40" x14ac:dyDescent="0.35">
      <c r="B7" s="1325"/>
      <c r="C7" s="1326"/>
      <c r="D7" s="225">
        <v>2018</v>
      </c>
      <c r="E7" s="1320">
        <v>2019</v>
      </c>
      <c r="F7" s="1321"/>
      <c r="G7" s="1321"/>
      <c r="H7" s="1382"/>
      <c r="I7" s="1320">
        <v>2020</v>
      </c>
      <c r="J7" s="1321"/>
      <c r="K7" s="1321"/>
      <c r="L7" s="1321"/>
      <c r="M7" s="1320">
        <v>2021</v>
      </c>
      <c r="N7" s="1321"/>
      <c r="O7" s="1321"/>
      <c r="P7" s="1321"/>
      <c r="Q7" s="1345">
        <v>2022</v>
      </c>
      <c r="R7" s="1346"/>
      <c r="S7" s="302"/>
      <c r="T7" s="302"/>
      <c r="U7" s="460"/>
      <c r="V7" s="302">
        <v>2023</v>
      </c>
      <c r="W7" s="338"/>
      <c r="X7" s="335"/>
      <c r="Y7" s="1330">
        <v>2024</v>
      </c>
      <c r="Z7" s="1335"/>
      <c r="AA7" s="1335"/>
      <c r="AB7" s="1334"/>
      <c r="AC7" s="1329">
        <v>2025</v>
      </c>
      <c r="AD7" s="1335"/>
      <c r="AE7" s="1335"/>
      <c r="AF7" s="1334"/>
      <c r="AG7" s="1329">
        <v>2026</v>
      </c>
      <c r="AH7" s="1335"/>
      <c r="AI7" s="1335"/>
      <c r="AJ7" s="1334"/>
      <c r="AK7" s="1329">
        <v>2027</v>
      </c>
      <c r="AL7" s="1335"/>
      <c r="AM7" s="1335"/>
      <c r="AN7" s="1334"/>
    </row>
    <row r="8" spans="2:40" x14ac:dyDescent="0.35">
      <c r="B8" s="1327"/>
      <c r="C8" s="1328"/>
      <c r="D8" s="225" t="s">
        <v>281</v>
      </c>
      <c r="E8" s="225" t="s">
        <v>282</v>
      </c>
      <c r="F8" s="226" t="s">
        <v>283</v>
      </c>
      <c r="G8" s="226" t="s">
        <v>238</v>
      </c>
      <c r="H8" s="232" t="s">
        <v>281</v>
      </c>
      <c r="I8" s="226" t="s">
        <v>282</v>
      </c>
      <c r="J8" s="226" t="s">
        <v>283</v>
      </c>
      <c r="K8" s="226" t="s">
        <v>238</v>
      </c>
      <c r="L8" s="226" t="s">
        <v>281</v>
      </c>
      <c r="M8" s="225" t="s">
        <v>282</v>
      </c>
      <c r="N8" s="226" t="s">
        <v>283</v>
      </c>
      <c r="O8" s="226" t="s">
        <v>238</v>
      </c>
      <c r="P8" s="226" t="s">
        <v>281</v>
      </c>
      <c r="Q8" s="286" t="s">
        <v>282</v>
      </c>
      <c r="R8" s="287" t="s">
        <v>283</v>
      </c>
      <c r="S8" s="287" t="s">
        <v>238</v>
      </c>
      <c r="T8" s="287" t="s">
        <v>281</v>
      </c>
      <c r="U8" s="286" t="s">
        <v>282</v>
      </c>
      <c r="V8" s="287" t="s">
        <v>283</v>
      </c>
      <c r="W8" s="273" t="s">
        <v>238</v>
      </c>
      <c r="X8" s="301" t="s">
        <v>281</v>
      </c>
      <c r="Y8" s="273" t="s">
        <v>282</v>
      </c>
      <c r="Z8" s="271" t="s">
        <v>283</v>
      </c>
      <c r="AA8" s="273" t="s">
        <v>238</v>
      </c>
      <c r="AB8" s="273" t="s">
        <v>281</v>
      </c>
      <c r="AC8" s="299" t="s">
        <v>282</v>
      </c>
      <c r="AD8" s="271" t="s">
        <v>283</v>
      </c>
      <c r="AE8" s="273" t="s">
        <v>238</v>
      </c>
      <c r="AF8" s="273" t="s">
        <v>281</v>
      </c>
      <c r="AG8" s="299" t="s">
        <v>282</v>
      </c>
      <c r="AH8" s="271" t="s">
        <v>283</v>
      </c>
      <c r="AI8" s="273" t="s">
        <v>238</v>
      </c>
      <c r="AJ8" s="273" t="s">
        <v>281</v>
      </c>
      <c r="AK8" s="329" t="s">
        <v>240</v>
      </c>
      <c r="AL8" s="329" t="s">
        <v>283</v>
      </c>
    </row>
    <row r="9" spans="2:40" x14ac:dyDescent="0.35">
      <c r="B9" s="96" t="s">
        <v>1376</v>
      </c>
      <c r="C9" s="660"/>
      <c r="D9" s="661"/>
      <c r="E9" s="660"/>
      <c r="F9" s="660"/>
      <c r="G9" s="660"/>
      <c r="H9" s="660"/>
      <c r="I9" s="660"/>
      <c r="J9" s="662"/>
      <c r="K9" s="662"/>
      <c r="L9" s="662"/>
      <c r="M9" s="662"/>
      <c r="N9" s="662"/>
      <c r="O9" s="662"/>
      <c r="P9" s="662"/>
      <c r="Q9" s="640"/>
      <c r="R9" s="641">
        <v>0</v>
      </c>
      <c r="S9" s="642">
        <v>0</v>
      </c>
      <c r="T9" s="641">
        <v>0</v>
      </c>
      <c r="U9" s="641">
        <v>0</v>
      </c>
      <c r="V9" s="641">
        <v>0</v>
      </c>
      <c r="W9" s="641">
        <v>-7.7999999999999999E-4</v>
      </c>
      <c r="X9" s="641">
        <v>-7.7999999999999999E-4</v>
      </c>
      <c r="Y9" s="641">
        <v>-9.5E-4</v>
      </c>
      <c r="Z9" s="641">
        <v>-9.5E-4</v>
      </c>
      <c r="AA9" s="641">
        <v>-9.5E-4</v>
      </c>
      <c r="AB9" s="641">
        <v>-9.5E-4</v>
      </c>
      <c r="AC9" s="641">
        <v>-9.3999999999999997E-4</v>
      </c>
      <c r="AD9" s="641">
        <v>-9.3999999999999997E-4</v>
      </c>
      <c r="AE9" s="641">
        <v>-9.3999999999999997E-4</v>
      </c>
      <c r="AF9" s="641">
        <v>-9.3999999999999997E-4</v>
      </c>
      <c r="AG9" s="641">
        <v>-9.3999999999999997E-4</v>
      </c>
      <c r="AH9" s="641">
        <v>-9.3999999999999997E-4</v>
      </c>
      <c r="AI9" s="641">
        <v>0</v>
      </c>
      <c r="AJ9" s="641">
        <v>0</v>
      </c>
    </row>
    <row r="10" spans="2:40" x14ac:dyDescent="0.35">
      <c r="B10" s="56" t="s">
        <v>1375</v>
      </c>
      <c r="C10" s="267"/>
      <c r="D10" s="588"/>
      <c r="E10" s="267"/>
      <c r="F10" s="267"/>
      <c r="G10" s="267"/>
      <c r="H10" s="267"/>
      <c r="I10" s="267"/>
      <c r="J10" s="639"/>
      <c r="K10" s="639"/>
      <c r="L10" s="639"/>
      <c r="M10" s="639"/>
      <c r="N10" s="639"/>
      <c r="O10" s="639"/>
      <c r="P10" s="639"/>
      <c r="Q10" s="639"/>
      <c r="R10" s="214"/>
      <c r="S10" s="214"/>
      <c r="T10" s="214"/>
      <c r="U10" s="214">
        <v>26095</v>
      </c>
      <c r="V10" s="214">
        <v>26404</v>
      </c>
      <c r="W10" s="214">
        <v>26686</v>
      </c>
      <c r="X10" s="214">
        <v>26931</v>
      </c>
      <c r="Y10" s="214">
        <v>27174</v>
      </c>
      <c r="Z10" s="214">
        <v>27411</v>
      </c>
      <c r="AA10" s="214">
        <v>27647</v>
      </c>
      <c r="AB10" s="214">
        <v>27893</v>
      </c>
      <c r="AC10" s="214">
        <v>28143</v>
      </c>
      <c r="AD10" s="214">
        <v>28400</v>
      </c>
      <c r="AE10" s="214">
        <v>28649</v>
      </c>
      <c r="AF10" s="214">
        <v>28910</v>
      </c>
      <c r="AG10" s="214">
        <v>28910</v>
      </c>
      <c r="AH10" s="214">
        <v>28910</v>
      </c>
    </row>
    <row r="11" spans="2:40" x14ac:dyDescent="0.35">
      <c r="B11" s="1261" t="s">
        <v>2343</v>
      </c>
      <c r="C11" s="267"/>
      <c r="D11" s="588"/>
      <c r="E11" s="267"/>
      <c r="F11" s="267"/>
      <c r="G11" s="267"/>
      <c r="H11" s="267"/>
      <c r="I11" s="267"/>
      <c r="J11" s="639"/>
      <c r="K11" s="639"/>
      <c r="L11" s="639"/>
      <c r="M11" s="639"/>
      <c r="N11" s="639"/>
      <c r="O11" s="639"/>
      <c r="P11" s="639"/>
      <c r="Q11" s="639"/>
      <c r="R11" s="214"/>
      <c r="S11" s="214"/>
      <c r="T11" s="214"/>
      <c r="U11" s="214"/>
      <c r="V11" s="214"/>
      <c r="W11" s="214"/>
      <c r="X11" s="214"/>
      <c r="Y11" s="214"/>
      <c r="Z11" s="214"/>
      <c r="AA11" s="214"/>
      <c r="AB11" s="214"/>
      <c r="AC11" s="214"/>
      <c r="AD11" s="214"/>
      <c r="AE11" s="214">
        <v>-11</v>
      </c>
      <c r="AF11" s="214">
        <v>-11</v>
      </c>
      <c r="AG11" s="214">
        <v>-11</v>
      </c>
      <c r="AH11" s="214">
        <v>-11</v>
      </c>
      <c r="AI11" s="214">
        <v>-11</v>
      </c>
      <c r="AJ11" s="214">
        <v>-11</v>
      </c>
      <c r="AK11" s="214">
        <v>-11</v>
      </c>
      <c r="AL11" s="214">
        <v>-11</v>
      </c>
    </row>
    <row r="12" spans="2:40" x14ac:dyDescent="0.35">
      <c r="B12" s="56" t="s">
        <v>311</v>
      </c>
      <c r="C12" s="551"/>
      <c r="D12" s="550"/>
      <c r="E12" s="551"/>
      <c r="F12" s="551"/>
      <c r="G12" s="551"/>
      <c r="H12" s="551"/>
      <c r="I12" s="551"/>
      <c r="J12" s="659">
        <v>45</v>
      </c>
      <c r="K12" s="659">
        <v>45</v>
      </c>
      <c r="L12" s="659">
        <v>45</v>
      </c>
      <c r="M12" s="659">
        <v>45</v>
      </c>
      <c r="N12" s="659">
        <v>45</v>
      </c>
      <c r="O12" s="659">
        <v>45</v>
      </c>
      <c r="P12" s="659">
        <v>45</v>
      </c>
      <c r="Q12" s="659">
        <v>45</v>
      </c>
      <c r="R12" s="658">
        <v>45</v>
      </c>
      <c r="S12" s="658">
        <v>45</v>
      </c>
      <c r="T12" s="658">
        <v>45</v>
      </c>
      <c r="U12" s="663">
        <v>45</v>
      </c>
      <c r="V12" s="663">
        <v>45</v>
      </c>
      <c r="W12" s="663">
        <f>W9*W10*(-1)*0.1</f>
        <v>2.0815079999999999</v>
      </c>
      <c r="X12" s="663">
        <f t="shared" ref="X12:AD12" si="0">X9*X10*(-1)*0.1</f>
        <v>2.1006180000000003</v>
      </c>
      <c r="Y12" s="663">
        <f t="shared" si="0"/>
        <v>2.5815300000000003</v>
      </c>
      <c r="Z12" s="663">
        <f t="shared" si="0"/>
        <v>2.6040450000000002</v>
      </c>
      <c r="AA12" s="663">
        <f t="shared" si="0"/>
        <v>2.626465</v>
      </c>
      <c r="AB12" s="663">
        <f>AB9*AB10*(-1)*0.1</f>
        <v>2.6498349999999999</v>
      </c>
      <c r="AC12" s="663">
        <f>AC9*AC10*(-1)*0.1</f>
        <v>2.6454420000000001</v>
      </c>
      <c r="AD12" s="663">
        <f t="shared" si="0"/>
        <v>2.6696</v>
      </c>
      <c r="AE12" s="663">
        <f>AE9*AE10*(-1)*0.1+AE11</f>
        <v>-8.3069939999999995</v>
      </c>
      <c r="AF12" s="663">
        <f t="shared" ref="AF12:AL12" si="1">AF9*AF10*(-1)*0.1+AF11</f>
        <v>-8.2824600000000004</v>
      </c>
      <c r="AG12" s="663">
        <f t="shared" si="1"/>
        <v>-8.2824600000000004</v>
      </c>
      <c r="AH12" s="663">
        <f t="shared" si="1"/>
        <v>-8.2824600000000004</v>
      </c>
      <c r="AI12" s="663">
        <f t="shared" si="1"/>
        <v>-11</v>
      </c>
      <c r="AJ12" s="663">
        <f t="shared" si="1"/>
        <v>-11</v>
      </c>
      <c r="AK12" s="663">
        <f t="shared" si="1"/>
        <v>-11</v>
      </c>
      <c r="AL12" s="663">
        <f t="shared" si="1"/>
        <v>-11</v>
      </c>
    </row>
    <row r="13" spans="2:40" x14ac:dyDescent="0.35">
      <c r="B13" s="56"/>
      <c r="C13" s="267"/>
      <c r="D13" s="267"/>
      <c r="E13" s="267"/>
      <c r="F13" s="267"/>
      <c r="G13" s="267"/>
      <c r="H13" s="267"/>
      <c r="I13" s="267"/>
      <c r="J13" s="639"/>
      <c r="K13" s="639"/>
      <c r="L13" s="639"/>
      <c r="M13" s="639"/>
      <c r="N13" s="639"/>
      <c r="O13" s="639"/>
      <c r="P13" s="639"/>
      <c r="Q13" s="639"/>
      <c r="R13" s="214"/>
      <c r="S13" s="214"/>
      <c r="T13" s="214"/>
      <c r="U13" s="80"/>
      <c r="V13" s="80"/>
      <c r="W13" s="80"/>
      <c r="X13" s="80"/>
      <c r="Y13" s="80"/>
      <c r="Z13" s="80"/>
      <c r="AA13" s="80"/>
      <c r="AB13" s="80"/>
      <c r="AC13" s="80"/>
      <c r="AD13" s="80"/>
      <c r="AE13" s="80"/>
      <c r="AF13" s="80"/>
      <c r="AG13" s="80"/>
      <c r="AH13" s="80"/>
    </row>
    <row r="14" spans="2:40" x14ac:dyDescent="0.35">
      <c r="B14" s="249"/>
      <c r="C14" s="249"/>
      <c r="D14" s="249"/>
      <c r="E14" s="249"/>
      <c r="F14" s="249"/>
      <c r="G14" s="249"/>
      <c r="H14" s="249"/>
      <c r="I14" s="249"/>
      <c r="J14" s="249"/>
      <c r="K14" s="249"/>
      <c r="L14" s="249"/>
      <c r="M14" s="249"/>
      <c r="N14" s="249"/>
      <c r="O14" s="249"/>
      <c r="P14" s="249"/>
      <c r="Q14" s="249"/>
      <c r="R14" s="249"/>
      <c r="S14" s="249"/>
      <c r="T14" s="249"/>
      <c r="U14" s="249"/>
      <c r="V14" s="249"/>
      <c r="W14" s="249"/>
      <c r="X14" s="249"/>
      <c r="Y14" s="249"/>
      <c r="Z14" s="56"/>
      <c r="AA14" s="56"/>
      <c r="AB14" s="56"/>
      <c r="AC14" s="56"/>
    </row>
    <row r="15" spans="2:40" x14ac:dyDescent="0.35">
      <c r="B15" s="1273" t="s">
        <v>1744</v>
      </c>
      <c r="C15" s="1273"/>
      <c r="D15" s="1273"/>
      <c r="E15" s="1273"/>
      <c r="F15" s="1273"/>
      <c r="G15" s="1273"/>
      <c r="H15" s="1273"/>
      <c r="I15" s="1273"/>
      <c r="J15" s="1273"/>
      <c r="K15" s="1273"/>
      <c r="L15" s="1273"/>
      <c r="M15" s="1273"/>
      <c r="N15" s="1273"/>
      <c r="O15" s="1273"/>
      <c r="P15" s="1273"/>
      <c r="Q15" s="1273"/>
      <c r="R15" s="1273"/>
      <c r="S15" s="1273"/>
      <c r="T15" s="1273"/>
      <c r="U15" s="1273"/>
      <c r="V15" s="1273"/>
      <c r="W15" s="1273"/>
      <c r="X15" s="1273"/>
      <c r="Y15" s="1273"/>
      <c r="Z15" s="1273"/>
      <c r="AA15" s="1273"/>
      <c r="AB15" s="1273"/>
      <c r="AC15" s="1273"/>
      <c r="AD15" s="1273"/>
      <c r="AE15" s="1273"/>
      <c r="AF15" s="1273"/>
    </row>
    <row r="16" spans="2:40" x14ac:dyDescent="0.35">
      <c r="B16" s="1323" t="s">
        <v>1689</v>
      </c>
      <c r="C16" s="1367"/>
      <c r="D16" s="1347" t="s">
        <v>279</v>
      </c>
      <c r="E16" s="1348"/>
      <c r="F16" s="1348"/>
      <c r="G16" s="1348"/>
      <c r="H16" s="1348"/>
      <c r="I16" s="1348"/>
      <c r="J16" s="1348"/>
      <c r="K16" s="1348"/>
      <c r="L16" s="1348"/>
      <c r="M16" s="1348"/>
      <c r="N16" s="1348"/>
      <c r="O16" s="1348"/>
      <c r="P16" s="1348"/>
      <c r="Q16" s="1348"/>
      <c r="R16" s="1348"/>
      <c r="S16" s="1348"/>
      <c r="T16" s="1348"/>
      <c r="U16" s="1348"/>
      <c r="V16" s="1348"/>
      <c r="W16" s="1406" t="s">
        <v>280</v>
      </c>
      <c r="X16" s="1406"/>
      <c r="Y16" s="1406"/>
      <c r="Z16" s="1406"/>
      <c r="AA16" s="1406"/>
      <c r="AB16" s="1406"/>
      <c r="AC16" s="1406"/>
      <c r="AD16" s="1406"/>
      <c r="AE16" s="1406"/>
      <c r="AF16" s="1406"/>
      <c r="AG16" s="1407"/>
      <c r="AH16" s="637"/>
    </row>
    <row r="17" spans="2:35" x14ac:dyDescent="0.35">
      <c r="B17" s="1325"/>
      <c r="C17" s="1326"/>
      <c r="D17" s="225">
        <v>2018</v>
      </c>
      <c r="E17" s="1320">
        <v>2019</v>
      </c>
      <c r="F17" s="1321"/>
      <c r="G17" s="1321"/>
      <c r="H17" s="1382"/>
      <c r="I17" s="1320">
        <v>2020</v>
      </c>
      <c r="J17" s="1321"/>
      <c r="K17" s="1321"/>
      <c r="L17" s="1321"/>
      <c r="M17" s="1320">
        <v>2021</v>
      </c>
      <c r="N17" s="1321"/>
      <c r="O17" s="1321"/>
      <c r="P17" s="1321"/>
      <c r="Q17" s="1345">
        <v>2022</v>
      </c>
      <c r="R17" s="1405"/>
      <c r="S17" s="302"/>
      <c r="T17" s="309"/>
      <c r="U17" s="460"/>
      <c r="V17" s="302">
        <v>2023</v>
      </c>
      <c r="W17" s="638"/>
      <c r="X17" s="638"/>
      <c r="Y17" s="1329">
        <v>2024</v>
      </c>
      <c r="Z17" s="1335"/>
      <c r="AA17" s="1335"/>
      <c r="AB17" s="1334"/>
      <c r="AC17" s="1329">
        <v>2025</v>
      </c>
      <c r="AD17" s="1335"/>
      <c r="AE17" s="1335"/>
      <c r="AF17" s="1334"/>
      <c r="AG17" s="1329">
        <v>2026</v>
      </c>
      <c r="AH17" s="1334"/>
    </row>
    <row r="18" spans="2:35" x14ac:dyDescent="0.35">
      <c r="B18" s="1327"/>
      <c r="C18" s="1328"/>
      <c r="D18" s="225" t="s">
        <v>281</v>
      </c>
      <c r="E18" s="225" t="s">
        <v>282</v>
      </c>
      <c r="F18" s="226" t="s">
        <v>283</v>
      </c>
      <c r="G18" s="226" t="s">
        <v>238</v>
      </c>
      <c r="H18" s="232" t="s">
        <v>281</v>
      </c>
      <c r="I18" s="226" t="s">
        <v>282</v>
      </c>
      <c r="J18" s="226" t="s">
        <v>283</v>
      </c>
      <c r="K18" s="226" t="s">
        <v>238</v>
      </c>
      <c r="L18" s="226" t="s">
        <v>281</v>
      </c>
      <c r="M18" s="225" t="s">
        <v>282</v>
      </c>
      <c r="N18" s="226" t="s">
        <v>283</v>
      </c>
      <c r="O18" s="226" t="s">
        <v>238</v>
      </c>
      <c r="P18" s="226" t="s">
        <v>281</v>
      </c>
      <c r="Q18" s="286" t="s">
        <v>282</v>
      </c>
      <c r="R18" s="287" t="s">
        <v>283</v>
      </c>
      <c r="S18" s="287" t="s">
        <v>238</v>
      </c>
      <c r="T18" s="285" t="s">
        <v>281</v>
      </c>
      <c r="U18" s="286" t="s">
        <v>282</v>
      </c>
      <c r="V18" s="287" t="s">
        <v>283</v>
      </c>
      <c r="W18" s="273" t="s">
        <v>238</v>
      </c>
      <c r="X18" s="273" t="s">
        <v>281</v>
      </c>
      <c r="Y18" s="299" t="s">
        <v>282</v>
      </c>
      <c r="Z18" s="271" t="s">
        <v>283</v>
      </c>
      <c r="AA18" s="273" t="s">
        <v>238</v>
      </c>
      <c r="AB18" s="301" t="s">
        <v>281</v>
      </c>
      <c r="AC18" s="299" t="s">
        <v>282</v>
      </c>
      <c r="AD18" s="271" t="s">
        <v>283</v>
      </c>
      <c r="AE18" s="273" t="s">
        <v>238</v>
      </c>
      <c r="AF18" s="273" t="s">
        <v>281</v>
      </c>
      <c r="AG18" s="299" t="s">
        <v>282</v>
      </c>
      <c r="AH18" s="301" t="s">
        <v>283</v>
      </c>
    </row>
    <row r="19" spans="2:35" x14ac:dyDescent="0.35">
      <c r="B19" s="96" t="s">
        <v>1376</v>
      </c>
      <c r="C19" s="646"/>
      <c r="D19" s="647"/>
      <c r="E19" s="646"/>
      <c r="F19" s="646"/>
      <c r="G19" s="646"/>
      <c r="H19" s="646"/>
      <c r="I19" s="646"/>
      <c r="J19" s="648"/>
      <c r="K19" s="648"/>
      <c r="L19" s="648"/>
      <c r="M19" s="648"/>
      <c r="N19" s="648"/>
      <c r="O19" s="648"/>
      <c r="P19" s="648"/>
      <c r="Q19" s="648"/>
      <c r="R19" s="649">
        <v>0</v>
      </c>
      <c r="S19" s="643">
        <v>0</v>
      </c>
      <c r="T19" s="645">
        <v>0</v>
      </c>
      <c r="U19" s="645">
        <v>-7.7999999999999999E-4</v>
      </c>
      <c r="V19" s="645">
        <v>-7.7999999999999999E-4</v>
      </c>
      <c r="W19" s="645">
        <v>-7.7999999999999999E-4</v>
      </c>
      <c r="X19" s="645">
        <v>-7.7999999999999999E-4</v>
      </c>
      <c r="Y19" s="645">
        <v>-9.5E-4</v>
      </c>
      <c r="Z19" s="645">
        <v>-9.5E-4</v>
      </c>
      <c r="AA19" s="645">
        <v>-9.5E-4</v>
      </c>
      <c r="AB19" s="645">
        <v>-9.5E-4</v>
      </c>
      <c r="AC19" s="645">
        <v>-9.3999999999999997E-4</v>
      </c>
      <c r="AD19" s="645">
        <v>-9.3999999999999997E-4</v>
      </c>
      <c r="AE19" s="645">
        <v>-9.3999999999999997E-4</v>
      </c>
      <c r="AF19" s="645">
        <v>-9.3999999999999997E-4</v>
      </c>
      <c r="AG19" s="643">
        <v>-9.3999999999999997E-4</v>
      </c>
      <c r="AH19" s="643">
        <v>-9.3999999999999997E-4</v>
      </c>
    </row>
    <row r="20" spans="2:35" x14ac:dyDescent="0.35">
      <c r="B20" s="56" t="s">
        <v>1375</v>
      </c>
      <c r="C20" s="650"/>
      <c r="D20" s="651"/>
      <c r="E20" s="650"/>
      <c r="F20" s="650"/>
      <c r="G20" s="650"/>
      <c r="H20" s="650"/>
      <c r="I20" s="650"/>
      <c r="J20" s="652"/>
      <c r="K20" s="652"/>
      <c r="L20" s="652"/>
      <c r="M20" s="652"/>
      <c r="N20" s="652"/>
      <c r="O20" s="652"/>
      <c r="P20" s="652"/>
      <c r="Q20" s="652"/>
      <c r="R20" s="644"/>
      <c r="S20" s="644"/>
      <c r="T20" s="644"/>
      <c r="U20" s="644">
        <v>26095</v>
      </c>
      <c r="V20" s="644">
        <v>26404</v>
      </c>
      <c r="W20" s="644">
        <v>26686</v>
      </c>
      <c r="X20" s="644">
        <v>26931</v>
      </c>
      <c r="Y20" s="644">
        <v>27174</v>
      </c>
      <c r="Z20" s="644">
        <v>27411</v>
      </c>
      <c r="AA20" s="644">
        <v>27647</v>
      </c>
      <c r="AB20" s="644">
        <v>27893</v>
      </c>
      <c r="AC20" s="644">
        <v>28143</v>
      </c>
      <c r="AD20" s="644">
        <v>28400</v>
      </c>
      <c r="AE20" s="644">
        <v>28649</v>
      </c>
      <c r="AF20" s="644">
        <v>28910</v>
      </c>
      <c r="AG20" s="644">
        <v>28910</v>
      </c>
      <c r="AH20" s="644">
        <v>28910</v>
      </c>
    </row>
    <row r="21" spans="2:35" x14ac:dyDescent="0.35">
      <c r="B21" s="56" t="s">
        <v>311</v>
      </c>
      <c r="C21" s="653"/>
      <c r="D21" s="654"/>
      <c r="E21" s="653"/>
      <c r="F21" s="653"/>
      <c r="G21" s="653"/>
      <c r="H21" s="653"/>
      <c r="I21" s="653"/>
      <c r="J21" s="655"/>
      <c r="K21" s="655"/>
      <c r="L21" s="655"/>
      <c r="M21" s="655"/>
      <c r="N21" s="655"/>
      <c r="O21" s="655"/>
      <c r="P21" s="655"/>
      <c r="Q21" s="655"/>
      <c r="R21" s="656">
        <f>R19*R20</f>
        <v>0</v>
      </c>
      <c r="S21" s="656">
        <f t="shared" ref="S21:T21" si="2">S19*S20</f>
        <v>0</v>
      </c>
      <c r="T21" s="656">
        <f t="shared" si="2"/>
        <v>0</v>
      </c>
      <c r="U21" s="657">
        <f>U19*U20*-1</f>
        <v>20.354099999999999</v>
      </c>
      <c r="V21" s="657">
        <f t="shared" ref="V21:AF21" si="3">V19*V20*-1</f>
        <v>20.595119999999998</v>
      </c>
      <c r="W21" s="657">
        <f t="shared" si="3"/>
        <v>20.815079999999998</v>
      </c>
      <c r="X21" s="657">
        <f t="shared" si="3"/>
        <v>21.006180000000001</v>
      </c>
      <c r="Y21" s="657">
        <f t="shared" si="3"/>
        <v>25.815300000000001</v>
      </c>
      <c r="Z21" s="657">
        <f t="shared" si="3"/>
        <v>26.04045</v>
      </c>
      <c r="AA21" s="657">
        <f t="shared" si="3"/>
        <v>26.26465</v>
      </c>
      <c r="AB21" s="657">
        <f t="shared" si="3"/>
        <v>26.498349999999999</v>
      </c>
      <c r="AC21" s="657">
        <f t="shared" si="3"/>
        <v>26.454419999999999</v>
      </c>
      <c r="AD21" s="657">
        <f t="shared" si="3"/>
        <v>26.695999999999998</v>
      </c>
      <c r="AE21" s="657">
        <f t="shared" si="3"/>
        <v>26.930059999999997</v>
      </c>
      <c r="AF21" s="657">
        <f t="shared" si="3"/>
        <v>27.1754</v>
      </c>
      <c r="AG21" s="657">
        <f>AG19*AG20*-1</f>
        <v>27.1754</v>
      </c>
      <c r="AH21" s="657">
        <f>AH19*AH20*-1</f>
        <v>27.1754</v>
      </c>
    </row>
    <row r="24" spans="2:35" x14ac:dyDescent="0.35">
      <c r="C24" t="s">
        <v>1833</v>
      </c>
      <c r="F24" s="1257" t="s">
        <v>1832</v>
      </c>
    </row>
    <row r="26" spans="2:35" x14ac:dyDescent="0.35">
      <c r="AE26">
        <v>600</v>
      </c>
      <c r="AF26">
        <v>14.27</v>
      </c>
      <c r="AG26">
        <v>14.27</v>
      </c>
      <c r="AH26">
        <v>14.27</v>
      </c>
      <c r="AI26">
        <v>14.27</v>
      </c>
    </row>
  </sheetData>
  <mergeCells count="24">
    <mergeCell ref="B1:AC1"/>
    <mergeCell ref="B2:AC4"/>
    <mergeCell ref="B6:C8"/>
    <mergeCell ref="E7:H7"/>
    <mergeCell ref="I7:L7"/>
    <mergeCell ref="M7:P7"/>
    <mergeCell ref="Q7:R7"/>
    <mergeCell ref="D6:V6"/>
    <mergeCell ref="AC7:AF7"/>
    <mergeCell ref="W6:AG6"/>
    <mergeCell ref="AG7:AJ7"/>
    <mergeCell ref="AK7:AN7"/>
    <mergeCell ref="B15:AF15"/>
    <mergeCell ref="B16:C18"/>
    <mergeCell ref="E17:H17"/>
    <mergeCell ref="I17:L17"/>
    <mergeCell ref="M17:P17"/>
    <mergeCell ref="Q17:R17"/>
    <mergeCell ref="Y17:AB17"/>
    <mergeCell ref="AC17:AF17"/>
    <mergeCell ref="D16:V16"/>
    <mergeCell ref="W16:AG16"/>
    <mergeCell ref="AG17:AH17"/>
    <mergeCell ref="Y7:AB7"/>
  </mergeCells>
  <hyperlinks>
    <hyperlink ref="F24" r:id="rId1" xr:uid="{00000000-0004-0000-1300-000000000000}"/>
  </hyperlinks>
  <pageMargins left="0.7" right="0.7" top="0.75" bottom="0.75" header="0.3" footer="0.3"/>
  <pageSetup paperSize="9" orientation="portrait" horizontalDpi="300" verticalDpi="300"/>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3E6D5-C33D-4FF1-B6CD-43204394934E}">
  <dimension ref="B1:CX95"/>
  <sheetViews>
    <sheetView zoomScale="90" zoomScaleNormal="90" workbookViewId="0">
      <pane xSplit="3" ySplit="10" topLeftCell="AA34" activePane="bottomRight" state="frozen"/>
      <selection pane="topRight" activeCell="D1" sqref="D1"/>
      <selection pane="bottomLeft" activeCell="A11" sqref="A11"/>
      <selection pane="bottomRight" activeCell="B53" sqref="B53"/>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09" t="s">
        <v>463</v>
      </c>
      <c r="C1" s="1409"/>
      <c r="D1" s="1409"/>
      <c r="E1" s="1409"/>
      <c r="F1" s="1409"/>
      <c r="G1" s="1409"/>
      <c r="H1" s="1409"/>
      <c r="I1" s="1409"/>
      <c r="J1" s="1409"/>
      <c r="K1" s="1409"/>
      <c r="L1" s="1409"/>
      <c r="M1" s="1409"/>
      <c r="N1" s="1409"/>
      <c r="O1" s="1409"/>
      <c r="P1" s="1409"/>
      <c r="Q1" s="1409"/>
      <c r="R1" s="1409"/>
      <c r="S1" s="1409"/>
      <c r="T1" s="1409"/>
      <c r="U1" s="1409"/>
      <c r="V1" s="1409"/>
      <c r="W1" s="1409"/>
      <c r="X1" s="1409"/>
      <c r="Y1" s="1409"/>
      <c r="Z1" s="1409"/>
      <c r="AA1" s="1409"/>
      <c r="AB1" s="1409"/>
      <c r="AC1" s="1409"/>
    </row>
    <row r="2" spans="2:40" ht="34.5" hidden="1" customHeight="1" outlineLevel="1" x14ac:dyDescent="0.35">
      <c r="B2" s="1319" t="s">
        <v>858</v>
      </c>
      <c r="C2" s="1360"/>
      <c r="D2" s="1360"/>
      <c r="E2" s="1360"/>
      <c r="F2" s="1360"/>
      <c r="G2" s="1360"/>
      <c r="H2" s="1360"/>
      <c r="I2" s="1360"/>
      <c r="J2" s="1360"/>
      <c r="K2" s="1360"/>
      <c r="L2" s="1360"/>
      <c r="M2" s="1360"/>
      <c r="N2" s="1360"/>
      <c r="O2" s="1360"/>
      <c r="P2" s="1360"/>
      <c r="Q2" s="1360"/>
      <c r="R2" s="1360"/>
      <c r="S2" s="1360"/>
      <c r="T2" s="1360"/>
      <c r="U2" s="1360"/>
      <c r="V2" s="1360"/>
      <c r="W2" s="1360"/>
      <c r="X2" s="1360"/>
      <c r="Y2" s="1360"/>
      <c r="Z2" s="1360"/>
      <c r="AA2" s="1360"/>
      <c r="AB2" s="1360"/>
      <c r="AC2" s="1360"/>
    </row>
    <row r="3" spans="2:40" ht="3" hidden="1" customHeight="1" outlineLevel="1" x14ac:dyDescent="0.35">
      <c r="B3" s="1360"/>
      <c r="C3" s="1360"/>
      <c r="D3" s="1360"/>
      <c r="E3" s="1360"/>
      <c r="F3" s="1360"/>
      <c r="G3" s="1360"/>
      <c r="H3" s="1360"/>
      <c r="I3" s="1360"/>
      <c r="J3" s="1360"/>
      <c r="K3" s="1360"/>
      <c r="L3" s="1360"/>
      <c r="M3" s="1360"/>
      <c r="N3" s="1360"/>
      <c r="O3" s="1360"/>
      <c r="P3" s="1360"/>
      <c r="Q3" s="1360"/>
      <c r="R3" s="1360"/>
      <c r="S3" s="1360"/>
      <c r="T3" s="1360"/>
      <c r="U3" s="1360"/>
      <c r="V3" s="1360"/>
      <c r="W3" s="1360"/>
      <c r="X3" s="1360"/>
      <c r="Y3" s="1360"/>
      <c r="Z3" s="1360"/>
      <c r="AA3" s="1360"/>
      <c r="AB3" s="1360"/>
      <c r="AC3" s="1360"/>
    </row>
    <row r="4" spans="2:40" ht="10.4" hidden="1" customHeight="1" outlineLevel="1" x14ac:dyDescent="0.35">
      <c r="B4" s="1360"/>
      <c r="C4" s="1360"/>
      <c r="D4" s="1360"/>
      <c r="E4" s="1360"/>
      <c r="F4" s="1360"/>
      <c r="G4" s="1360"/>
      <c r="H4" s="1360"/>
      <c r="I4" s="1360"/>
      <c r="J4" s="1360"/>
      <c r="K4" s="1360"/>
      <c r="L4" s="1360"/>
      <c r="M4" s="1360"/>
      <c r="N4" s="1360"/>
      <c r="O4" s="1360"/>
      <c r="P4" s="1360"/>
      <c r="Q4" s="1360"/>
      <c r="R4" s="1360"/>
      <c r="S4" s="1360"/>
      <c r="T4" s="1360"/>
      <c r="U4" s="1360"/>
      <c r="V4" s="1360"/>
      <c r="W4" s="1360"/>
      <c r="X4" s="1360"/>
      <c r="Y4" s="1360"/>
      <c r="Z4" s="1360"/>
      <c r="AA4" s="1360"/>
      <c r="AB4" s="1360"/>
      <c r="AC4" s="1360"/>
    </row>
    <row r="5" spans="2:40" ht="14.25" hidden="1" customHeight="1" outlineLevel="1" x14ac:dyDescent="0.35">
      <c r="B5" s="1360"/>
      <c r="C5" s="1360"/>
      <c r="D5" s="1360"/>
      <c r="E5" s="1360"/>
      <c r="F5" s="1360"/>
      <c r="G5" s="1360"/>
      <c r="H5" s="1360"/>
      <c r="I5" s="1360"/>
      <c r="J5" s="1360"/>
      <c r="K5" s="1360"/>
      <c r="L5" s="1360"/>
      <c r="M5" s="1360"/>
      <c r="N5" s="1360"/>
      <c r="O5" s="1360"/>
      <c r="P5" s="1360"/>
      <c r="Q5" s="1360"/>
      <c r="R5" s="1360"/>
      <c r="S5" s="1360"/>
      <c r="T5" s="1360"/>
      <c r="U5" s="1360"/>
      <c r="V5" s="1360"/>
      <c r="W5" s="1360"/>
      <c r="X5" s="1360"/>
      <c r="Y5" s="1360"/>
      <c r="Z5" s="1360"/>
      <c r="AA5" s="1360"/>
      <c r="AB5" s="1360"/>
      <c r="AC5" s="1360"/>
    </row>
    <row r="6" spans="2:40" ht="14.25" hidden="1" customHeight="1" outlineLevel="1" x14ac:dyDescent="0.35">
      <c r="B6" s="1360"/>
      <c r="C6" s="1360"/>
      <c r="D6" s="1360"/>
      <c r="E6" s="1360"/>
      <c r="F6" s="1360"/>
      <c r="G6" s="1360"/>
      <c r="H6" s="1360"/>
      <c r="I6" s="1360"/>
      <c r="J6" s="1360"/>
      <c r="K6" s="1360"/>
      <c r="L6" s="1360"/>
      <c r="M6" s="1360"/>
      <c r="N6" s="1360"/>
      <c r="O6" s="1360"/>
      <c r="P6" s="1360"/>
      <c r="Q6" s="1360"/>
      <c r="R6" s="1360"/>
      <c r="S6" s="1360"/>
      <c r="T6" s="1360"/>
      <c r="U6" s="1360"/>
      <c r="V6" s="1360"/>
      <c r="W6" s="1360"/>
      <c r="X6" s="1360"/>
      <c r="Y6" s="1360"/>
      <c r="Z6" s="1360"/>
      <c r="AA6" s="1360"/>
      <c r="AB6" s="1360"/>
      <c r="AC6" s="1360"/>
    </row>
    <row r="7" spans="2:40" collapsed="1" x14ac:dyDescent="0.35">
      <c r="B7" s="723" t="s">
        <v>332</v>
      </c>
      <c r="C7" s="269"/>
      <c r="D7" s="269"/>
      <c r="E7" s="269"/>
      <c r="F7" s="269"/>
      <c r="G7" s="269"/>
      <c r="H7" s="270"/>
      <c r="I7" s="270"/>
      <c r="J7" s="270"/>
      <c r="K7" s="270"/>
      <c r="L7" s="270"/>
      <c r="M7" s="270"/>
      <c r="N7" s="270"/>
      <c r="O7" s="270"/>
      <c r="P7" s="270"/>
      <c r="Q7" s="270"/>
      <c r="R7" s="270"/>
      <c r="S7" s="270"/>
      <c r="T7" s="270"/>
      <c r="U7" s="270"/>
    </row>
    <row r="8" spans="2:40" ht="14.9" customHeight="1" x14ac:dyDescent="0.35">
      <c r="B8" s="695" t="s">
        <v>303</v>
      </c>
      <c r="C8" s="696"/>
      <c r="D8" s="1347" t="s">
        <v>279</v>
      </c>
      <c r="E8" s="1348"/>
      <c r="F8" s="1348"/>
      <c r="G8" s="1348"/>
      <c r="H8" s="1348"/>
      <c r="I8" s="1348"/>
      <c r="J8" s="1348"/>
      <c r="K8" s="1348"/>
      <c r="L8" s="1348"/>
      <c r="M8" s="1348"/>
      <c r="N8" s="1348"/>
      <c r="O8" s="1348"/>
      <c r="P8" s="1348"/>
      <c r="Q8" s="1348"/>
      <c r="R8" s="1348"/>
      <c r="S8" s="1348"/>
      <c r="T8" s="1348"/>
      <c r="U8" s="1348"/>
      <c r="V8" s="1348"/>
      <c r="W8" s="1348"/>
      <c r="X8" s="1348"/>
      <c r="Y8" s="1348"/>
      <c r="Z8" s="1348"/>
      <c r="AA8" s="1348"/>
      <c r="AB8" s="1349"/>
      <c r="AC8" s="1350" t="s">
        <v>280</v>
      </c>
      <c r="AD8" s="1331"/>
      <c r="AE8" s="1331"/>
      <c r="AF8" s="1331"/>
      <c r="AG8" s="1331"/>
      <c r="AH8" s="1331"/>
      <c r="AI8" s="1331"/>
      <c r="AJ8" s="1331"/>
      <c r="AK8" s="1331"/>
      <c r="AL8" s="1331"/>
      <c r="AM8" s="1331"/>
      <c r="AN8" s="1332"/>
    </row>
    <row r="9" spans="2:40" ht="14.9" customHeight="1" x14ac:dyDescent="0.35">
      <c r="B9" s="697"/>
      <c r="C9" s="698"/>
      <c r="D9" s="296">
        <v>2018</v>
      </c>
      <c r="E9" s="1342">
        <v>2019</v>
      </c>
      <c r="F9" s="1343"/>
      <c r="G9" s="1343"/>
      <c r="H9" s="1344"/>
      <c r="I9" s="1342">
        <v>2020</v>
      </c>
      <c r="J9" s="1343"/>
      <c r="K9" s="1343"/>
      <c r="L9" s="1343"/>
      <c r="M9" s="1342">
        <v>2021</v>
      </c>
      <c r="N9" s="1343"/>
      <c r="O9" s="1343"/>
      <c r="P9" s="1343"/>
      <c r="Q9" s="1342">
        <v>2022</v>
      </c>
      <c r="R9" s="1354"/>
      <c r="S9" s="1354"/>
      <c r="T9" s="1344"/>
      <c r="U9" s="1342">
        <v>2023</v>
      </c>
      <c r="V9" s="1354"/>
      <c r="W9" s="1354"/>
      <c r="X9" s="1344"/>
      <c r="Y9" s="71"/>
      <c r="Z9" s="302">
        <v>2024</v>
      </c>
      <c r="AA9" s="442"/>
      <c r="AB9" s="309"/>
      <c r="AC9" s="1329">
        <v>2025</v>
      </c>
      <c r="AD9" s="1335"/>
      <c r="AE9" s="1335"/>
      <c r="AF9" s="1330"/>
      <c r="AG9" s="1329">
        <v>2026</v>
      </c>
      <c r="AH9" s="1335"/>
      <c r="AI9" s="1335"/>
      <c r="AJ9" s="1334"/>
      <c r="AK9" s="1329">
        <v>2027</v>
      </c>
      <c r="AL9" s="1335"/>
      <c r="AM9" s="1335"/>
      <c r="AN9" s="1334"/>
    </row>
    <row r="10" spans="2:40" x14ac:dyDescent="0.35">
      <c r="B10" s="697"/>
      <c r="C10" s="698"/>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32" t="s">
        <v>281</v>
      </c>
      <c r="U10" s="226" t="s">
        <v>282</v>
      </c>
      <c r="V10" s="287" t="s">
        <v>283</v>
      </c>
      <c r="W10" s="287" t="s">
        <v>238</v>
      </c>
      <c r="X10" s="285" t="s">
        <v>281</v>
      </c>
      <c r="Y10" s="286" t="s">
        <v>282</v>
      </c>
      <c r="Z10" s="292" t="s">
        <v>283</v>
      </c>
      <c r="AA10" s="287" t="s">
        <v>238</v>
      </c>
      <c r="AB10" s="287" t="s">
        <v>281</v>
      </c>
      <c r="AC10" s="225" t="s">
        <v>282</v>
      </c>
      <c r="AD10" s="292" t="s">
        <v>283</v>
      </c>
      <c r="AE10" s="273" t="s">
        <v>238</v>
      </c>
      <c r="AF10" s="273" t="s">
        <v>281</v>
      </c>
      <c r="AG10" s="299" t="s">
        <v>282</v>
      </c>
      <c r="AH10" s="271" t="s">
        <v>283</v>
      </c>
      <c r="AI10" s="273" t="s">
        <v>238</v>
      </c>
      <c r="AJ10" s="301" t="s">
        <v>281</v>
      </c>
      <c r="AK10" s="299" t="s">
        <v>282</v>
      </c>
      <c r="AL10" s="271" t="s">
        <v>283</v>
      </c>
      <c r="AM10" s="273" t="s">
        <v>238</v>
      </c>
      <c r="AN10" s="301" t="s">
        <v>281</v>
      </c>
    </row>
    <row r="11" spans="2:40" x14ac:dyDescent="0.35">
      <c r="B11" s="1410" t="s">
        <v>464</v>
      </c>
      <c r="C11" s="1411"/>
      <c r="D11" s="666"/>
      <c r="E11" s="720"/>
      <c r="F11" s="720"/>
      <c r="G11" s="720"/>
      <c r="H11" s="320"/>
      <c r="I11" s="320"/>
      <c r="J11" s="320"/>
      <c r="K11" s="320"/>
      <c r="L11" s="320"/>
      <c r="M11" s="582"/>
      <c r="N11" s="582"/>
      <c r="O11" s="582"/>
      <c r="P11" s="320"/>
      <c r="Q11" s="320"/>
      <c r="R11" s="320"/>
      <c r="S11" s="320"/>
      <c r="T11" s="288"/>
      <c r="U11" s="320"/>
      <c r="V11" s="320"/>
      <c r="W11" s="227"/>
      <c r="X11" s="227"/>
      <c r="Y11" s="227"/>
      <c r="Z11" s="227"/>
      <c r="AA11" s="227"/>
      <c r="AB11" s="227"/>
      <c r="AC11" s="227"/>
      <c r="AD11" s="227"/>
      <c r="AE11" s="227"/>
      <c r="AF11" s="227"/>
      <c r="AG11" s="227"/>
      <c r="AH11" s="227"/>
      <c r="AI11" s="227"/>
      <c r="AJ11" s="227"/>
      <c r="AK11" s="227"/>
      <c r="AL11" s="227"/>
      <c r="AM11" s="227"/>
      <c r="AN11" s="227"/>
    </row>
    <row r="12" spans="2:40" ht="17.149999999999999" customHeight="1" x14ac:dyDescent="0.35">
      <c r="B12" s="685" t="s">
        <v>465</v>
      </c>
      <c r="C12" s="249" t="s">
        <v>466</v>
      </c>
      <c r="D12" s="599">
        <f>'Haver Pivoted'!GO31</f>
        <v>2223</v>
      </c>
      <c r="E12" s="509">
        <f>'Haver Pivoted'!GP31</f>
        <v>2303.8000000000002</v>
      </c>
      <c r="F12" s="509">
        <f>'Haver Pivoted'!GQ31</f>
        <v>2321.6999999999998</v>
      </c>
      <c r="G12" s="509">
        <f>'Haver Pivoted'!GR31</f>
        <v>2337.1</v>
      </c>
      <c r="H12" s="509">
        <f>'Haver Pivoted'!GS31</f>
        <v>2349.5</v>
      </c>
      <c r="I12" s="509">
        <f>'Haver Pivoted'!GT31</f>
        <v>2414.4</v>
      </c>
      <c r="J12" s="509">
        <f>'Haver Pivoted'!GU31</f>
        <v>4654.1000000000004</v>
      </c>
      <c r="K12" s="509">
        <f>'Haver Pivoted'!GV31</f>
        <v>3504.7</v>
      </c>
      <c r="L12" s="509">
        <f>'Haver Pivoted'!GW31</f>
        <v>2888.4</v>
      </c>
      <c r="M12" s="509">
        <f>'Haver Pivoted'!GX31</f>
        <v>5138.1000000000004</v>
      </c>
      <c r="N12" s="509">
        <f>'Haver Pivoted'!GY31</f>
        <v>3397.8</v>
      </c>
      <c r="O12" s="509">
        <f>'Haver Pivoted'!GZ31</f>
        <v>3124.9</v>
      </c>
      <c r="P12" s="509">
        <f>'Haver Pivoted'!HA31</f>
        <v>2952.6</v>
      </c>
      <c r="Q12" s="509">
        <f>'Haver Pivoted'!HB31</f>
        <v>2970.9</v>
      </c>
      <c r="R12" s="509">
        <f>'Haver Pivoted'!HC31</f>
        <v>2976.2</v>
      </c>
      <c r="S12" s="575">
        <f>'Haver Pivoted'!HD31</f>
        <v>2970.4</v>
      </c>
      <c r="T12" s="575">
        <f>'Haver Pivoted'!HE31</f>
        <v>3024.4</v>
      </c>
      <c r="U12" s="575">
        <f>'Haver Pivoted'!HF31</f>
        <v>3038.4</v>
      </c>
      <c r="V12" s="575">
        <f>'Haver Pivoted'!HG31</f>
        <v>3049.1</v>
      </c>
      <c r="W12" s="575">
        <f>'Haver Pivoted'!HH31</f>
        <v>3078</v>
      </c>
      <c r="X12" s="575">
        <f>'Haver Pivoted'!HI31</f>
        <v>3095.6</v>
      </c>
      <c r="Y12" s="575">
        <f>'Haver Pivoted'!HJ31</f>
        <v>3201.1</v>
      </c>
      <c r="Z12" s="575">
        <f>'Haver Pivoted'!HK31</f>
        <v>3243.1</v>
      </c>
      <c r="AA12" s="575">
        <f>'Haver Pivoted'!HL31</f>
        <v>3283.8</v>
      </c>
      <c r="AB12" s="575">
        <f>'Haver Pivoted'!HM31</f>
        <v>3328.6</v>
      </c>
      <c r="AC12" s="575">
        <f>'Haver Pivoted'!HN31</f>
        <v>3452.4</v>
      </c>
      <c r="AD12" s="575">
        <f>'Haver Pivoted'!HO31</f>
        <v>3574.9</v>
      </c>
      <c r="AE12" s="673">
        <f t="shared" ref="AE12:AN12" si="0">SUM(AE14:AE30)-AE28</f>
        <v>3596.2432909637887</v>
      </c>
      <c r="AF12" s="673">
        <f t="shared" si="0"/>
        <v>3604.4232993941255</v>
      </c>
      <c r="AG12" s="673">
        <f t="shared" si="0"/>
        <v>3674.0785858441996</v>
      </c>
      <c r="AH12" s="673">
        <f t="shared" si="0"/>
        <v>3708.1449531297321</v>
      </c>
      <c r="AI12" s="673">
        <f t="shared" si="0"/>
        <v>3744.2322025218436</v>
      </c>
      <c r="AJ12" s="673">
        <f t="shared" si="0"/>
        <v>3772.625550136067</v>
      </c>
      <c r="AK12" s="673">
        <f t="shared" si="0"/>
        <v>3849.8449959132154</v>
      </c>
      <c r="AL12" s="673">
        <f t="shared" si="0"/>
        <v>3888.0104113690004</v>
      </c>
      <c r="AM12" s="673">
        <f t="shared" si="0"/>
        <v>3926.4911069596083</v>
      </c>
      <c r="AN12" s="673">
        <f t="shared" si="0"/>
        <v>3923.2862689705562</v>
      </c>
    </row>
    <row r="13" spans="2:40" x14ac:dyDescent="0.35">
      <c r="B13" s="291"/>
      <c r="C13" s="249"/>
      <c r="D13" s="599"/>
      <c r="E13" s="509"/>
      <c r="F13" s="509"/>
      <c r="G13" s="509"/>
      <c r="H13" s="509"/>
      <c r="I13" s="509"/>
      <c r="J13" s="509"/>
      <c r="K13" s="509"/>
      <c r="L13" s="509"/>
      <c r="M13" s="509"/>
      <c r="N13" s="509"/>
      <c r="O13" s="509"/>
      <c r="P13" s="249"/>
      <c r="Q13" s="233"/>
      <c r="R13" s="233"/>
      <c r="S13" s="233"/>
      <c r="T13" s="673">
        <f t="shared" ref="T13:AC13" si="1">T12-S12</f>
        <v>54</v>
      </c>
      <c r="U13" s="673">
        <f t="shared" si="1"/>
        <v>14</v>
      </c>
      <c r="V13" s="673">
        <f t="shared" si="1"/>
        <v>10.699999999999818</v>
      </c>
      <c r="W13" s="673">
        <f t="shared" si="1"/>
        <v>28.900000000000091</v>
      </c>
      <c r="X13" s="673">
        <f t="shared" si="1"/>
        <v>17.599999999999909</v>
      </c>
      <c r="Y13" s="673">
        <f t="shared" si="1"/>
        <v>105.5</v>
      </c>
      <c r="Z13" s="673">
        <f t="shared" si="1"/>
        <v>42</v>
      </c>
      <c r="AA13" s="673">
        <f t="shared" si="1"/>
        <v>40.700000000000273</v>
      </c>
      <c r="AB13" s="673">
        <f t="shared" si="1"/>
        <v>44.799999999999727</v>
      </c>
      <c r="AC13" s="673">
        <f t="shared" si="1"/>
        <v>123.80000000000018</v>
      </c>
      <c r="AD13" s="673">
        <f>AD12-AC12</f>
        <v>122.5</v>
      </c>
      <c r="AE13" s="329"/>
      <c r="AF13" s="329"/>
      <c r="AG13" s="329"/>
      <c r="AH13" s="329"/>
      <c r="AI13" s="329"/>
      <c r="AJ13" s="329"/>
      <c r="AK13" s="329"/>
      <c r="AL13" s="329"/>
      <c r="AM13" s="329"/>
      <c r="AN13" s="329"/>
    </row>
    <row r="14" spans="2:40" x14ac:dyDescent="0.35">
      <c r="B14" s="681" t="s">
        <v>1834</v>
      </c>
      <c r="C14" s="249"/>
      <c r="D14" s="599">
        <f>'Unemployment Insurance'!D21+'Unemployment Insurance'!D20</f>
        <v>27.1</v>
      </c>
      <c r="E14" s="509">
        <f>'Unemployment Insurance'!E21+'Unemployment Insurance'!E20</f>
        <v>29.6</v>
      </c>
      <c r="F14" s="509">
        <f>'Unemployment Insurance'!F21+'Unemployment Insurance'!F20</f>
        <v>27.3</v>
      </c>
      <c r="G14" s="509">
        <f>'Unemployment Insurance'!G21+'Unemployment Insurance'!G20</f>
        <v>26.4</v>
      </c>
      <c r="H14" s="509">
        <f>'Unemployment Insurance'!H21+'Unemployment Insurance'!H20</f>
        <v>26.7</v>
      </c>
      <c r="I14" s="509">
        <f>'Unemployment Insurance'!I21+'Unemployment Insurance'!I20</f>
        <v>40.1</v>
      </c>
      <c r="J14" s="509">
        <f>'Unemployment Insurance'!J21+'Unemployment Insurance'!J20</f>
        <v>951.5</v>
      </c>
      <c r="K14" s="509">
        <f>'Unemployment Insurance'!K21+'Unemployment Insurance'!K20</f>
        <v>800</v>
      </c>
      <c r="L14" s="509">
        <f>'Unemployment Insurance'!L21+'Unemployment Insurance'!L20</f>
        <v>322.7</v>
      </c>
      <c r="M14" s="509">
        <f>'Unemployment Insurance'!M21+'Unemployment Insurance'!M20</f>
        <v>583.79999999999995</v>
      </c>
      <c r="N14" s="509">
        <f>'Unemployment Insurance'!N21+'Unemployment Insurance'!N20</f>
        <v>440.8</v>
      </c>
      <c r="O14" s="509">
        <f>'Unemployment Insurance'!O21+'Unemployment Insurance'!O20</f>
        <v>212.8</v>
      </c>
      <c r="P14" s="509">
        <f>'Unemployment Insurance'!P21+'Unemployment Insurance'!P20</f>
        <v>31.8</v>
      </c>
      <c r="Q14" s="509">
        <f>'Unemployment Insurance'!Q21+'Unemployment Insurance'!Q20</f>
        <v>24.5</v>
      </c>
      <c r="R14" s="509">
        <f>'Unemployment Insurance'!R21+'Unemployment Insurance'!R20</f>
        <v>21.7</v>
      </c>
      <c r="S14" s="509">
        <f>'Unemployment Insurance'!S21+'Unemployment Insurance'!S20</f>
        <v>23.1</v>
      </c>
      <c r="T14" s="509">
        <f>'Unemployment Insurance'!T21+'Unemployment Insurance'!T20</f>
        <v>25.9</v>
      </c>
      <c r="U14" s="509">
        <f>'Unemployment Insurance'!U21+'Unemployment Insurance'!U20</f>
        <v>30.1</v>
      </c>
      <c r="V14" s="575">
        <f t="shared" ref="V14:AC14" si="2">V15+V16</f>
        <v>30.960000000000004</v>
      </c>
      <c r="W14" s="575">
        <f t="shared" si="2"/>
        <v>30.960000000000004</v>
      </c>
      <c r="X14" s="575">
        <f t="shared" si="2"/>
        <v>35.299999999999997</v>
      </c>
      <c r="Y14" s="575">
        <f t="shared" si="2"/>
        <v>34.9</v>
      </c>
      <c r="Z14" s="575">
        <f t="shared" si="2"/>
        <v>34.9</v>
      </c>
      <c r="AA14" s="575">
        <f t="shared" si="2"/>
        <v>35.700000000000003</v>
      </c>
      <c r="AB14" s="575">
        <f t="shared" si="2"/>
        <v>36.1</v>
      </c>
      <c r="AC14" s="575">
        <f t="shared" si="2"/>
        <v>35.799999999999997</v>
      </c>
      <c r="AD14" s="575">
        <f>AD15+AD16</f>
        <v>36.700000000000003</v>
      </c>
      <c r="AE14" s="673">
        <f>'Unemployment Insurance'!AE21+'Unemployment Insurance'!AE20</f>
        <v>35.700000000000003</v>
      </c>
      <c r="AF14" s="673">
        <f>'Unemployment Insurance'!AF21+'Unemployment Insurance'!AF20</f>
        <v>35.700000000000003</v>
      </c>
      <c r="AG14" s="673">
        <f>'Unemployment Insurance'!AG21+'Unemployment Insurance'!AG20</f>
        <v>35.700000000000003</v>
      </c>
      <c r="AH14" s="673">
        <f>'Unemployment Insurance'!AH21+'Unemployment Insurance'!AH20</f>
        <v>35.700000000000003</v>
      </c>
      <c r="AI14" s="673">
        <f>'Unemployment Insurance'!AI21+'Unemployment Insurance'!AI20</f>
        <v>35.700000000000003</v>
      </c>
      <c r="AJ14" s="673">
        <f>'Unemployment Insurance'!AJ21+'Unemployment Insurance'!AJ20</f>
        <v>35.700000000000003</v>
      </c>
      <c r="AK14" s="673">
        <f>'Unemployment Insurance'!AK21+'Unemployment Insurance'!AK20</f>
        <v>36.700000000000003</v>
      </c>
      <c r="AL14" s="673">
        <f>'Unemployment Insurance'!AL21+'Unemployment Insurance'!AL20</f>
        <v>37.700000000000003</v>
      </c>
      <c r="AM14" s="673">
        <f>'Unemployment Insurance'!AM21+'Unemployment Insurance'!AM20</f>
        <v>38.700000000000003</v>
      </c>
      <c r="AN14" s="673">
        <f>'Unemployment Insurance'!AN21+'Unemployment Insurance'!AN20</f>
        <v>39.700000000000003</v>
      </c>
    </row>
    <row r="15" spans="2:40" x14ac:dyDescent="0.35">
      <c r="B15" s="424" t="s">
        <v>203</v>
      </c>
      <c r="C15" s="249"/>
      <c r="D15" s="599"/>
      <c r="E15" s="509"/>
      <c r="F15" s="509"/>
      <c r="G15" s="509"/>
      <c r="H15" s="509"/>
      <c r="I15" s="509"/>
      <c r="J15" s="509"/>
      <c r="K15" s="509"/>
      <c r="L15" s="509"/>
      <c r="M15" s="509"/>
      <c r="N15" s="509"/>
      <c r="O15" s="509"/>
      <c r="P15" s="509"/>
      <c r="Q15" s="509"/>
      <c r="R15" s="509"/>
      <c r="S15" s="509"/>
      <c r="T15" s="509"/>
      <c r="U15" s="509"/>
      <c r="V15" s="575">
        <f>'Unemployment Insurance'!V20</f>
        <v>0</v>
      </c>
      <c r="W15" s="575">
        <f>'Unemployment Insurance'!W20</f>
        <v>0</v>
      </c>
      <c r="X15" s="575">
        <f>'Unemployment Insurance'!X20</f>
        <v>4.632399999999997</v>
      </c>
      <c r="Y15" s="575">
        <f>'Unemployment Insurance'!Y20</f>
        <v>3.0799999999999947</v>
      </c>
      <c r="Z15" s="575">
        <f>'Unemployment Insurance'!Z20</f>
        <v>0</v>
      </c>
      <c r="AA15" s="575">
        <f>'Unemployment Insurance'!AA20</f>
        <v>0</v>
      </c>
      <c r="AB15" s="575">
        <f>'Unemployment Insurance'!AB20</f>
        <v>0.39999999999999858</v>
      </c>
      <c r="AC15" s="575">
        <f>'Unemployment Insurance'!AC20</f>
        <v>9.9999999999994316E-2</v>
      </c>
      <c r="AD15" s="575">
        <f>'Unemployment Insurance'!AD20</f>
        <v>1</v>
      </c>
      <c r="AE15" s="673"/>
      <c r="AF15" s="673"/>
      <c r="AG15" s="673"/>
      <c r="AH15" s="673"/>
      <c r="AI15" s="673"/>
      <c r="AJ15" s="673"/>
      <c r="AK15" s="673"/>
      <c r="AL15" s="673"/>
      <c r="AM15" s="673"/>
      <c r="AN15" s="673"/>
    </row>
    <row r="16" spans="2:40" x14ac:dyDescent="0.35">
      <c r="B16" s="424" t="s">
        <v>205</v>
      </c>
      <c r="C16" s="249"/>
      <c r="D16" s="599"/>
      <c r="E16" s="509"/>
      <c r="F16" s="509"/>
      <c r="G16" s="509"/>
      <c r="H16" s="509"/>
      <c r="I16" s="509"/>
      <c r="J16" s="509"/>
      <c r="K16" s="509"/>
      <c r="L16" s="509"/>
      <c r="M16" s="509"/>
      <c r="N16" s="509"/>
      <c r="O16" s="509"/>
      <c r="P16" s="509"/>
      <c r="Q16" s="509"/>
      <c r="R16" s="509"/>
      <c r="S16" s="509"/>
      <c r="T16" s="509"/>
      <c r="U16" s="509"/>
      <c r="V16" s="575">
        <f>'Unemployment Insurance'!V21</f>
        <v>30.960000000000004</v>
      </c>
      <c r="W16" s="575">
        <f>'Unemployment Insurance'!W21</f>
        <v>30.960000000000004</v>
      </c>
      <c r="X16" s="575">
        <f>'Unemployment Insurance'!X21</f>
        <v>30.6676</v>
      </c>
      <c r="Y16" s="575">
        <f>'Unemployment Insurance'!Y21</f>
        <v>31.820000000000004</v>
      </c>
      <c r="Z16" s="575">
        <f>'Unemployment Insurance'!Z21</f>
        <v>34.9</v>
      </c>
      <c r="AA16" s="575">
        <f>'Unemployment Insurance'!AA21</f>
        <v>35.700000000000003</v>
      </c>
      <c r="AB16" s="575">
        <f>'Unemployment Insurance'!AB21</f>
        <v>35.700000000000003</v>
      </c>
      <c r="AC16" s="575">
        <f>'Unemployment Insurance'!AC21</f>
        <v>35.700000000000003</v>
      </c>
      <c r="AD16" s="575">
        <f>'Unemployment Insurance'!AD21</f>
        <v>35.700000000000003</v>
      </c>
      <c r="AE16" s="673"/>
      <c r="AF16" s="673"/>
      <c r="AG16" s="673"/>
      <c r="AH16" s="673"/>
      <c r="AI16" s="673"/>
      <c r="AJ16" s="673"/>
      <c r="AK16" s="673"/>
      <c r="AL16" s="673"/>
      <c r="AM16" s="673"/>
      <c r="AN16" s="673"/>
    </row>
    <row r="17" spans="2:102" ht="17.899999999999999" customHeight="1" x14ac:dyDescent="0.35">
      <c r="B17" s="681" t="s">
        <v>55</v>
      </c>
      <c r="C17" s="249"/>
      <c r="D17" s="599">
        <f>Medicare!D10</f>
        <v>755</v>
      </c>
      <c r="E17" s="509">
        <f>Medicare!E10</f>
        <v>773.5</v>
      </c>
      <c r="F17" s="509">
        <f>Medicare!F10</f>
        <v>788.5</v>
      </c>
      <c r="G17" s="509">
        <f>Medicare!G10</f>
        <v>798</v>
      </c>
      <c r="H17" s="509">
        <f>Medicare!H10</f>
        <v>802</v>
      </c>
      <c r="I17" s="509">
        <f>Medicare!I10</f>
        <v>801.9</v>
      </c>
      <c r="J17" s="509">
        <f>Medicare!J10</f>
        <v>814.3</v>
      </c>
      <c r="K17" s="509">
        <f>Medicare!K10</f>
        <v>826.6</v>
      </c>
      <c r="L17" s="509">
        <f>Medicare!L10</f>
        <v>838.8</v>
      </c>
      <c r="M17" s="509">
        <f>Medicare!M10</f>
        <v>854.9</v>
      </c>
      <c r="N17" s="509">
        <f>Medicare!N10</f>
        <v>871.2</v>
      </c>
      <c r="O17" s="509">
        <f>Medicare!O10</f>
        <v>887.1</v>
      </c>
      <c r="P17" s="509">
        <f>Medicare!P10</f>
        <v>902.4</v>
      </c>
      <c r="Q17" s="509">
        <f>Medicare!Q10</f>
        <v>917.6</v>
      </c>
      <c r="R17" s="509">
        <f>Medicare!R10</f>
        <v>926.6</v>
      </c>
      <c r="S17" s="509">
        <f>Medicare!S10</f>
        <v>937.4</v>
      </c>
      <c r="T17" s="509">
        <f>Medicare!T10</f>
        <v>958.5</v>
      </c>
      <c r="U17" s="509">
        <f>Medicare!U10</f>
        <v>981.1</v>
      </c>
      <c r="V17" s="509">
        <f>Medicare!V10</f>
        <v>1001.8</v>
      </c>
      <c r="W17" s="509">
        <f>Medicare!W10</f>
        <v>1019.9</v>
      </c>
      <c r="X17" s="673">
        <f>Medicare!X10</f>
        <v>1035.3</v>
      </c>
      <c r="Y17" s="673">
        <f>Medicare!Y10</f>
        <v>1049.2</v>
      </c>
      <c r="Z17" s="673">
        <f>Medicare!Z10</f>
        <v>1067.0999999999999</v>
      </c>
      <c r="AA17" s="673">
        <f>Medicare!AA10</f>
        <v>1090.2</v>
      </c>
      <c r="AB17" s="673">
        <f>Medicare!AB10</f>
        <v>1118.5</v>
      </c>
      <c r="AC17" s="673">
        <f>Medicare!AC10</f>
        <v>1150.3</v>
      </c>
      <c r="AD17" s="673">
        <f>Medicare!AD10</f>
        <v>1182.0999999999999</v>
      </c>
      <c r="AE17" s="673">
        <f>Medicare!AE10</f>
        <v>1197.1541359637888</v>
      </c>
      <c r="AF17" s="673">
        <f>Medicare!AF10</f>
        <v>1215.0695436191259</v>
      </c>
      <c r="AG17" s="673">
        <f>Medicare!AG10</f>
        <v>1233.2530552903243</v>
      </c>
      <c r="AH17" s="673">
        <f>Medicare!AH10</f>
        <v>1251.7086831530878</v>
      </c>
      <c r="AI17" s="673">
        <f>Medicare!AI10</f>
        <v>1270.4404994253166</v>
      </c>
      <c r="AJ17" s="673">
        <f>Medicare!AJ10</f>
        <v>1289.616636754057</v>
      </c>
      <c r="AK17" s="673">
        <f>Medicare!AK10</f>
        <v>1309.0822203362954</v>
      </c>
      <c r="AL17" s="673">
        <f>Medicare!AL10</f>
        <v>1328.8416190984858</v>
      </c>
      <c r="AM17" s="673">
        <f>Medicare!AM10</f>
        <v>1348.8992679120313</v>
      </c>
      <c r="AN17" s="673">
        <f>Medicare!AN10</f>
        <v>1348.8992679120313</v>
      </c>
    </row>
    <row r="18" spans="2:102" ht="17.899999999999999" customHeight="1" x14ac:dyDescent="0.35">
      <c r="B18" s="571" t="s">
        <v>473</v>
      </c>
      <c r="C18" s="249" t="s">
        <v>474</v>
      </c>
      <c r="D18" s="599">
        <f>D68</f>
        <v>983.86099999999999</v>
      </c>
      <c r="E18" s="599">
        <f t="shared" ref="E18:AN18" si="3">E68</f>
        <v>1019.19</v>
      </c>
      <c r="F18" s="599">
        <f t="shared" si="3"/>
        <v>1026.704</v>
      </c>
      <c r="G18" s="599">
        <f t="shared" si="3"/>
        <v>1034.4169999999999</v>
      </c>
      <c r="H18" s="599">
        <f t="shared" si="3"/>
        <v>1042.6610000000001</v>
      </c>
      <c r="I18" s="599">
        <f t="shared" si="3"/>
        <v>1068.201</v>
      </c>
      <c r="J18" s="599">
        <f t="shared" si="3"/>
        <v>1075.075</v>
      </c>
      <c r="K18" s="599">
        <f t="shared" si="3"/>
        <v>1080.441</v>
      </c>
      <c r="L18" s="599">
        <f t="shared" si="3"/>
        <v>1087.9949999999999</v>
      </c>
      <c r="M18" s="599">
        <f t="shared" si="3"/>
        <v>1105.6379999999999</v>
      </c>
      <c r="N18" s="599">
        <f t="shared" si="3"/>
        <v>1109.6400000000001</v>
      </c>
      <c r="O18" s="599">
        <f t="shared" si="3"/>
        <v>1116.9480000000001</v>
      </c>
      <c r="P18" s="599">
        <f t="shared" si="3"/>
        <v>1126.174</v>
      </c>
      <c r="Q18" s="599">
        <f t="shared" si="3"/>
        <v>1198.452</v>
      </c>
      <c r="R18" s="599">
        <f t="shared" si="3"/>
        <v>1207.163</v>
      </c>
      <c r="S18" s="599">
        <f t="shared" si="3"/>
        <v>1214.7809999999999</v>
      </c>
      <c r="T18" s="599">
        <f t="shared" si="3"/>
        <v>1225.6189999999999</v>
      </c>
      <c r="U18" s="599">
        <f t="shared" si="3"/>
        <v>1339.904</v>
      </c>
      <c r="V18" s="599">
        <f t="shared" si="3"/>
        <v>1353.2829999999999</v>
      </c>
      <c r="W18" s="599">
        <f t="shared" si="3"/>
        <v>1360.723</v>
      </c>
      <c r="X18" s="599">
        <f t="shared" si="3"/>
        <v>1373.982</v>
      </c>
      <c r="Y18" s="599">
        <f t="shared" si="3"/>
        <v>1426.547</v>
      </c>
      <c r="Z18" s="599">
        <f t="shared" si="3"/>
        <v>1439.73</v>
      </c>
      <c r="AA18" s="599">
        <f t="shared" si="3"/>
        <v>1453.1369999999999</v>
      </c>
      <c r="AB18" s="599">
        <f t="shared" si="3"/>
        <v>1467.9159999999999</v>
      </c>
      <c r="AC18" s="599">
        <f t="shared" si="3"/>
        <v>1528.789</v>
      </c>
      <c r="AD18" s="599">
        <f t="shared" si="3"/>
        <v>1605.202</v>
      </c>
      <c r="AE18" s="599">
        <f t="shared" si="3"/>
        <v>1609.202</v>
      </c>
      <c r="AF18" s="599">
        <f t="shared" si="3"/>
        <v>1622.202</v>
      </c>
      <c r="AG18" s="599">
        <f t="shared" si="3"/>
        <v>1672.5126459999999</v>
      </c>
      <c r="AH18" s="599">
        <f t="shared" si="3"/>
        <v>1685.5126459999999</v>
      </c>
      <c r="AI18" s="599">
        <f t="shared" si="3"/>
        <v>1698.5126459999999</v>
      </c>
      <c r="AJ18" s="599">
        <f t="shared" si="3"/>
        <v>1711.5126459999999</v>
      </c>
      <c r="AK18" s="599">
        <f t="shared" si="3"/>
        <v>1763.877436858</v>
      </c>
      <c r="AL18" s="599">
        <f t="shared" si="3"/>
        <v>1776.877436858</v>
      </c>
      <c r="AM18" s="599">
        <f t="shared" si="3"/>
        <v>1789.877436858</v>
      </c>
      <c r="AN18" s="599">
        <f t="shared" si="3"/>
        <v>1802.877436858</v>
      </c>
    </row>
    <row r="19" spans="2:102" ht="18" customHeight="1" x14ac:dyDescent="0.35">
      <c r="B19" s="682" t="s">
        <v>467</v>
      </c>
      <c r="C19" s="249"/>
      <c r="D19" s="276"/>
      <c r="E19" s="233"/>
      <c r="F19" s="233"/>
      <c r="G19" s="233"/>
      <c r="H19" s="509">
        <f>'Rebate Checks (expired)'!H10 +'Rebate Checks (expired)'!H11</f>
        <v>0</v>
      </c>
      <c r="I19" s="509">
        <f>'Rebate Checks (expired)'!I10 +'Rebate Checks (expired)'!I11</f>
        <v>0</v>
      </c>
      <c r="J19" s="509">
        <f>'Rebate Checks (expired)'!J10 +'Rebate Checks (expired)'!J11</f>
        <v>1078.0999999999999</v>
      </c>
      <c r="K19" s="509">
        <f>'Rebate Checks (expired)'!K10 +'Rebate Checks (expired)'!K11</f>
        <v>15.6</v>
      </c>
      <c r="L19" s="509">
        <f>'Rebate Checks (expired)'!L10 +'Rebate Checks (expired)'!L11</f>
        <v>5</v>
      </c>
      <c r="M19" s="509">
        <f>'Rebate Checks (expired)'!M10 +'Rebate Checks (expired)'!M11</f>
        <v>1933.6999999999998</v>
      </c>
      <c r="N19" s="509">
        <f>'Rebate Checks (expired)'!N10 +'Rebate Checks (expired)'!N11</f>
        <v>290.10000000000002</v>
      </c>
      <c r="O19" s="509">
        <f>'Rebate Checks (expired)'!O10 +'Rebate Checks (expired)'!O11</f>
        <v>38.9</v>
      </c>
      <c r="P19" s="509">
        <f>'Rebate Checks (expired)'!P10 +'Rebate Checks (expired)'!P11</f>
        <v>14.2</v>
      </c>
      <c r="Q19" s="509">
        <f>'Rebate Checks (expired)'!Q10 +'Rebate Checks (expired)'!Q11</f>
        <v>0</v>
      </c>
      <c r="R19" s="509">
        <f>'Rebate Checks (expired)'!Q10 +'Rebate Checks (expired)'!R11</f>
        <v>0</v>
      </c>
      <c r="S19" s="509">
        <f>'Rebate Checks (expired)'!S10 +'Rebate Checks (expired)'!S11</f>
        <v>0</v>
      </c>
      <c r="T19" s="509">
        <f>'Rebate Checks (expired)'!T10 +'Rebate Checks (expired)'!T11</f>
        <v>0</v>
      </c>
      <c r="U19" s="509">
        <f>'Rebate Checks (expired)'!U10 +'Rebate Checks (expired)'!U11</f>
        <v>0</v>
      </c>
      <c r="V19" s="575">
        <f>V20+V21</f>
        <v>0</v>
      </c>
      <c r="W19" s="575">
        <f t="shared" ref="W19:AA19" si="4">W20+W21</f>
        <v>0</v>
      </c>
      <c r="X19" s="575">
        <f t="shared" si="4"/>
        <v>0</v>
      </c>
      <c r="Y19" s="575">
        <f t="shared" si="4"/>
        <v>0</v>
      </c>
      <c r="Z19" s="575">
        <f t="shared" si="4"/>
        <v>0</v>
      </c>
      <c r="AA19" s="575">
        <f t="shared" si="4"/>
        <v>0</v>
      </c>
      <c r="AB19" s="575">
        <f>AB20+AB21</f>
        <v>0</v>
      </c>
      <c r="AC19" s="575">
        <f>AC20+AC21</f>
        <v>0</v>
      </c>
      <c r="AD19" s="575">
        <f>AD20+AD21</f>
        <v>0</v>
      </c>
      <c r="AE19" s="673">
        <f>'Rebate Checks (expired)'!AE10 +'Rebate Checks (expired)'!AE11</f>
        <v>0</v>
      </c>
      <c r="AF19" s="673">
        <f>'Rebate Checks (expired)'!AF10 +'Rebate Checks (expired)'!AF11</f>
        <v>0</v>
      </c>
      <c r="AG19" s="673">
        <f>'Rebate Checks (expired)'!AG10 +'Rebate Checks (expired)'!AG11</f>
        <v>0</v>
      </c>
      <c r="AH19" s="673">
        <f>'Rebate Checks (expired)'!AH10 +'Rebate Checks (expired)'!AH11</f>
        <v>0</v>
      </c>
      <c r="AI19" s="673">
        <f>'Rebate Checks (expired)'!AI10 +'Rebate Checks (expired)'!AI11</f>
        <v>0</v>
      </c>
      <c r="AJ19" s="673">
        <f>'Rebate Checks (expired)'!AJ10 +'Rebate Checks (expired)'!AJ11</f>
        <v>0</v>
      </c>
      <c r="AK19" s="673">
        <f>'Rebate Checks (expired)'!AK10 +'Rebate Checks (expired)'!AK11</f>
        <v>0</v>
      </c>
      <c r="AL19" s="673">
        <f>'Rebate Checks (expired)'!AL10 +'Rebate Checks (expired)'!AL11</f>
        <v>0</v>
      </c>
      <c r="AM19" s="673">
        <f>'Rebate Checks (expired)'!AM10 +'Rebate Checks (expired)'!AM11</f>
        <v>0</v>
      </c>
      <c r="AN19" s="673">
        <f>'Rebate Checks (expired)'!AN10 +'Rebate Checks (expired)'!AN11</f>
        <v>0</v>
      </c>
    </row>
    <row r="20" spans="2:102" ht="18" customHeight="1" x14ac:dyDescent="0.35">
      <c r="B20" s="683" t="s">
        <v>1835</v>
      </c>
      <c r="C20" s="249"/>
      <c r="D20" s="276"/>
      <c r="E20" s="233"/>
      <c r="F20" s="233"/>
      <c r="G20" s="233"/>
      <c r="H20" s="509"/>
      <c r="I20" s="509"/>
      <c r="J20" s="509"/>
      <c r="K20" s="509"/>
      <c r="L20" s="509"/>
      <c r="M20" s="509"/>
      <c r="N20" s="509"/>
      <c r="O20" s="509"/>
      <c r="P20" s="509"/>
      <c r="Q20" s="509"/>
      <c r="R20" s="509"/>
      <c r="S20" s="509"/>
      <c r="T20" s="509"/>
      <c r="U20" s="509"/>
      <c r="V20" s="509">
        <v>0</v>
      </c>
      <c r="W20" s="509"/>
      <c r="X20" s="673"/>
      <c r="Y20" s="673"/>
      <c r="Z20" s="673"/>
      <c r="AA20" s="673"/>
      <c r="AB20" s="673"/>
      <c r="AC20" s="673"/>
      <c r="AD20" s="673"/>
      <c r="AE20" s="673"/>
      <c r="AF20" s="673"/>
      <c r="AG20" s="673"/>
      <c r="AH20" s="673"/>
      <c r="AI20" s="673"/>
      <c r="AJ20" s="673"/>
      <c r="AK20" s="673"/>
      <c r="AL20" s="673"/>
      <c r="AM20" s="673"/>
      <c r="AN20" s="673"/>
    </row>
    <row r="21" spans="2:102" ht="18" customHeight="1" x14ac:dyDescent="0.35">
      <c r="B21" s="683" t="s">
        <v>1836</v>
      </c>
      <c r="C21" s="249"/>
      <c r="D21" s="276"/>
      <c r="E21" s="233"/>
      <c r="F21" s="233"/>
      <c r="G21" s="233"/>
      <c r="H21" s="509"/>
      <c r="I21" s="509"/>
      <c r="J21" s="509"/>
      <c r="K21" s="509"/>
      <c r="L21" s="509"/>
      <c r="M21" s="509"/>
      <c r="N21" s="509"/>
      <c r="O21" s="509"/>
      <c r="P21" s="509"/>
      <c r="Q21" s="509"/>
      <c r="R21" s="509"/>
      <c r="S21" s="509"/>
      <c r="T21" s="509"/>
      <c r="U21" s="509"/>
      <c r="V21" s="509">
        <v>0</v>
      </c>
      <c r="W21" s="509"/>
      <c r="X21" s="673"/>
      <c r="Y21" s="673"/>
      <c r="Z21" s="673"/>
      <c r="AA21" s="673"/>
      <c r="AB21" s="673"/>
      <c r="AC21" s="673"/>
      <c r="AD21" s="673"/>
      <c r="AE21" s="673"/>
      <c r="AF21" s="673"/>
      <c r="AG21" s="673"/>
      <c r="AH21" s="673"/>
      <c r="AI21" s="673"/>
      <c r="AJ21" s="673"/>
      <c r="AK21" s="673"/>
      <c r="AL21" s="673"/>
      <c r="AM21" s="673"/>
      <c r="AN21" s="673"/>
    </row>
    <row r="22" spans="2:102" ht="18" customHeight="1" x14ac:dyDescent="0.35">
      <c r="B22" s="684" t="s">
        <v>49</v>
      </c>
      <c r="C22" s="249"/>
      <c r="D22" s="275">
        <f>'Provider Relief (expired)'!D11</f>
        <v>0</v>
      </c>
      <c r="E22" s="245">
        <f>'Provider Relief (expired)'!E11</f>
        <v>0</v>
      </c>
      <c r="F22" s="245">
        <f>'Provider Relief (expired)'!F11</f>
        <v>0</v>
      </c>
      <c r="G22" s="245">
        <f>'Provider Relief (expired)'!G11</f>
        <v>0</v>
      </c>
      <c r="H22" s="245">
        <f>'Provider Relief (expired)'!H11</f>
        <v>0</v>
      </c>
      <c r="I22" s="245">
        <f>'Provider Relief (expired)'!I11</f>
        <v>0</v>
      </c>
      <c r="J22" s="245">
        <f>'Provider Relief (expired)'!J11</f>
        <v>160.9</v>
      </c>
      <c r="K22" s="245">
        <f>'Provider Relief (expired)'!K11</f>
        <v>58.4</v>
      </c>
      <c r="L22" s="245">
        <f>'Provider Relief (expired)'!L11</f>
        <v>34.5</v>
      </c>
      <c r="M22" s="245">
        <f>'Provider Relief (expired)'!M11</f>
        <v>21.4</v>
      </c>
      <c r="N22" s="245">
        <f>'Provider Relief (expired)'!N11</f>
        <v>13.3</v>
      </c>
      <c r="O22" s="245">
        <f>'Provider Relief (expired)'!O11</f>
        <v>18.7</v>
      </c>
      <c r="P22" s="245">
        <f>'Provider Relief (expired)'!P11</f>
        <v>32.200000000000003</v>
      </c>
      <c r="Q22" s="245">
        <f>'Provider Relief (expired)'!Q11</f>
        <v>26.9</v>
      </c>
      <c r="R22" s="245">
        <f>'Provider Relief (expired)'!R11</f>
        <v>20</v>
      </c>
      <c r="S22" s="245">
        <f>'Provider Relief (expired)'!S11</f>
        <v>8.1</v>
      </c>
      <c r="T22" s="245">
        <f>'Provider Relief (expired)'!T11</f>
        <v>4.9000000000000004</v>
      </c>
      <c r="U22" s="245">
        <v>0</v>
      </c>
      <c r="V22" s="509">
        <v>0</v>
      </c>
      <c r="W22" s="509">
        <v>0</v>
      </c>
      <c r="X22" s="673">
        <v>0</v>
      </c>
      <c r="Y22" s="673">
        <v>0</v>
      </c>
      <c r="Z22" s="673">
        <v>0</v>
      </c>
      <c r="AA22" s="673">
        <v>0</v>
      </c>
      <c r="AB22" s="673">
        <v>0</v>
      </c>
      <c r="AC22" s="673">
        <v>0</v>
      </c>
      <c r="AD22" s="673">
        <v>0</v>
      </c>
      <c r="AE22" s="673">
        <v>0</v>
      </c>
      <c r="AF22" s="673">
        <v>0</v>
      </c>
      <c r="AG22" s="673">
        <v>0</v>
      </c>
      <c r="AH22" s="673">
        <v>0</v>
      </c>
      <c r="AI22" s="673">
        <v>0</v>
      </c>
      <c r="AJ22" s="673">
        <v>0</v>
      </c>
      <c r="AK22" s="673">
        <v>0</v>
      </c>
      <c r="AL22" s="673">
        <v>0</v>
      </c>
      <c r="AM22" s="673">
        <v>0</v>
      </c>
      <c r="AN22" s="673">
        <v>0</v>
      </c>
    </row>
    <row r="23" spans="2:102" ht="20.149999999999999" customHeight="1" x14ac:dyDescent="0.35">
      <c r="B23" s="272" t="s">
        <v>470</v>
      </c>
      <c r="C23" s="267"/>
      <c r="D23" s="721"/>
      <c r="E23" s="639"/>
      <c r="F23" s="639"/>
      <c r="G23" s="639"/>
      <c r="H23" s="572"/>
      <c r="I23" s="572"/>
      <c r="J23" s="572"/>
      <c r="K23" s="572"/>
      <c r="L23" s="572"/>
      <c r="M23" s="572">
        <f>'ARP Quarterly'!C5</f>
        <v>0</v>
      </c>
      <c r="N23" s="572">
        <f>'ARP Quarterly'!D5</f>
        <v>33.921840000000024</v>
      </c>
      <c r="O23" s="572">
        <f>'ARP Quarterly'!E5</f>
        <v>44.966160000000031</v>
      </c>
      <c r="P23" s="572">
        <f>'ARP Quarterly'!F5</f>
        <v>52.756999999999998</v>
      </c>
      <c r="Q23" s="572">
        <f>'ARP Quarterly'!G5</f>
        <v>52.756999999999998</v>
      </c>
      <c r="R23" s="572">
        <f>'ARP Quarterly'!H5</f>
        <v>52.756999999999998</v>
      </c>
      <c r="S23" s="572">
        <f>'ARP Quarterly'!I5</f>
        <v>52.756999999999998</v>
      </c>
      <c r="T23" s="572">
        <v>30</v>
      </c>
      <c r="U23" s="572">
        <f>'ARP Quarterly'!K5</f>
        <v>12</v>
      </c>
      <c r="V23" s="572">
        <f>'ARP Quarterly'!L5</f>
        <v>12</v>
      </c>
      <c r="W23" s="572">
        <f>'ARP Quarterly'!M5</f>
        <v>12</v>
      </c>
      <c r="X23" s="574">
        <f>'ARP Quarterly'!N5</f>
        <v>4.2219999999999995</v>
      </c>
      <c r="Y23" s="574">
        <f>'ARP Quarterly'!O5</f>
        <v>4.2219999999999995</v>
      </c>
      <c r="Z23" s="574">
        <f>'ARP Quarterly'!P5</f>
        <v>4.2219999999999995</v>
      </c>
      <c r="AA23" s="574">
        <f>'ARP Quarterly'!Q5</f>
        <v>4.2219999999999995</v>
      </c>
      <c r="AB23" s="574">
        <f>'ARP Quarterly'!R5</f>
        <v>2.3719999999999999</v>
      </c>
      <c r="AC23" s="574">
        <f>'ARP Quarterly'!S5</f>
        <v>2.3719999999999999</v>
      </c>
      <c r="AD23" s="574">
        <f>'ARP Quarterly'!T5</f>
        <v>2.3719999999999999</v>
      </c>
      <c r="AE23" s="574">
        <f>'ARP Quarterly'!U5</f>
        <v>2.3719999999999999</v>
      </c>
      <c r="AF23" s="574">
        <f>'ARP Quarterly'!V5</f>
        <v>0.49</v>
      </c>
      <c r="AG23" s="229">
        <v>0</v>
      </c>
      <c r="AH23" s="229">
        <v>0</v>
      </c>
      <c r="AI23" s="229">
        <v>0</v>
      </c>
      <c r="AJ23" s="229">
        <v>0</v>
      </c>
      <c r="AK23" s="229">
        <v>0</v>
      </c>
      <c r="AL23" s="229">
        <v>0</v>
      </c>
      <c r="AM23" s="229">
        <v>0</v>
      </c>
      <c r="AN23" s="229">
        <v>0</v>
      </c>
    </row>
    <row r="24" spans="2:102" ht="22.4" customHeight="1" x14ac:dyDescent="0.35">
      <c r="B24" s="256" t="s">
        <v>218</v>
      </c>
      <c r="C24" s="689"/>
      <c r="D24" s="275"/>
      <c r="E24" s="245"/>
      <c r="F24" s="245"/>
      <c r="G24" s="245"/>
      <c r="H24" s="245"/>
      <c r="I24" s="245"/>
      <c r="J24" s="245"/>
      <c r="K24" s="245"/>
      <c r="L24" s="245"/>
      <c r="M24" s="509">
        <f>'ARP Quarterly'!C4</f>
        <v>0</v>
      </c>
      <c r="N24" s="509">
        <f>'ARP Quarterly'!D4</f>
        <v>0</v>
      </c>
      <c r="O24" s="509">
        <f>'ARP Quarterly'!E4</f>
        <v>3.1040000000000418</v>
      </c>
      <c r="P24" s="509">
        <f>'ARP Quarterly'!F4</f>
        <v>19.719000000000005</v>
      </c>
      <c r="Q24" s="509">
        <f>'ARP Quarterly'!G4</f>
        <v>19.719000000000005</v>
      </c>
      <c r="R24" s="509">
        <f>'ARP Quarterly'!H4</f>
        <v>19.719000000000005</v>
      </c>
      <c r="S24" s="509">
        <f>'ARP Quarterly'!I4</f>
        <v>19.719000000000005</v>
      </c>
      <c r="T24" s="509">
        <f>'ARP Quarterly'!J4</f>
        <v>1.4159999999999999</v>
      </c>
      <c r="U24" s="509">
        <f>'ARP Quarterly'!K4</f>
        <v>1.4159999999999999</v>
      </c>
      <c r="V24" s="509">
        <f>'ARP Quarterly'!L4</f>
        <v>1.4159999999999999</v>
      </c>
      <c r="W24" s="509">
        <f>'ARP Quarterly'!M4</f>
        <v>1.4159999999999999</v>
      </c>
      <c r="X24" s="673">
        <f>'ARP Quarterly'!N4</f>
        <v>1.4790000000000001</v>
      </c>
      <c r="Y24" s="673">
        <f>'ARP Quarterly'!O4</f>
        <v>1.4790000000000001</v>
      </c>
      <c r="Z24" s="673">
        <f>'ARP Quarterly'!P4</f>
        <v>1.4790000000000001</v>
      </c>
      <c r="AA24" s="673">
        <f>'ARP Quarterly'!Q4</f>
        <v>1.4790000000000001</v>
      </c>
      <c r="AB24" s="673">
        <f>'ARP Quarterly'!R4</f>
        <v>1.63</v>
      </c>
      <c r="AC24" s="673">
        <f>'ARP Quarterly'!S4</f>
        <v>1.63</v>
      </c>
      <c r="AD24" s="673">
        <f>'ARP Quarterly'!T4</f>
        <v>1.63</v>
      </c>
      <c r="AE24" s="673">
        <f>'ARP Quarterly'!U4</f>
        <v>1.63</v>
      </c>
      <c r="AF24" s="673">
        <f>'ARP Quarterly'!V4</f>
        <v>1.671</v>
      </c>
      <c r="AG24" s="1258">
        <v>0</v>
      </c>
      <c r="AH24" s="1258">
        <v>0</v>
      </c>
      <c r="AI24" s="1258">
        <v>0</v>
      </c>
      <c r="AJ24" s="1258">
        <v>0</v>
      </c>
      <c r="AK24" s="1258">
        <v>0</v>
      </c>
      <c r="AL24" s="1258">
        <v>0</v>
      </c>
      <c r="AM24" s="1258">
        <v>0</v>
      </c>
      <c r="AN24" s="1258">
        <v>0</v>
      </c>
      <c r="AO24" s="689"/>
      <c r="AP24" s="689"/>
      <c r="AQ24" s="689"/>
      <c r="AR24" s="689"/>
      <c r="AS24" s="689"/>
      <c r="AT24" s="689"/>
      <c r="AU24" s="689"/>
      <c r="AV24" s="689"/>
      <c r="AW24" s="689"/>
      <c r="AX24" s="689"/>
      <c r="AY24" s="689"/>
      <c r="AZ24" s="689"/>
      <c r="BA24" s="689"/>
      <c r="BB24" s="689"/>
      <c r="BC24" s="689"/>
      <c r="BD24" s="689"/>
      <c r="BE24" s="689"/>
      <c r="BF24" s="689"/>
      <c r="BG24" s="689"/>
      <c r="BH24" s="689"/>
      <c r="BI24" s="689"/>
      <c r="BJ24" s="689"/>
      <c r="BK24" s="689"/>
      <c r="BL24" s="689"/>
      <c r="BM24" s="689"/>
      <c r="BN24" s="689"/>
      <c r="BO24" s="689"/>
      <c r="BP24" s="689"/>
      <c r="BQ24" s="689"/>
      <c r="BR24" s="689"/>
      <c r="BS24" s="689"/>
      <c r="BT24" s="689"/>
      <c r="BU24" s="689"/>
      <c r="BV24" s="689"/>
      <c r="BW24" s="689"/>
      <c r="BX24" s="689"/>
      <c r="BY24" s="689"/>
      <c r="BZ24" s="689"/>
      <c r="CA24" s="689"/>
      <c r="CB24" s="689"/>
      <c r="CC24" s="689"/>
      <c r="CD24" s="689"/>
      <c r="CE24" s="689"/>
      <c r="CF24" s="689"/>
      <c r="CG24" s="689"/>
      <c r="CH24" s="689"/>
      <c r="CI24" s="689"/>
      <c r="CJ24" s="689"/>
      <c r="CK24" s="689"/>
      <c r="CL24" s="689"/>
      <c r="CM24" s="689"/>
      <c r="CN24" s="689"/>
      <c r="CO24" s="689"/>
      <c r="CP24" s="689"/>
      <c r="CQ24" s="689"/>
      <c r="CR24" s="689"/>
      <c r="CS24" s="689"/>
      <c r="CT24" s="689"/>
      <c r="CU24" s="689"/>
      <c r="CV24" s="689"/>
      <c r="CW24" s="689"/>
      <c r="CX24" s="689"/>
    </row>
    <row r="25" spans="2:102" ht="36.65" customHeight="1" x14ac:dyDescent="0.35">
      <c r="B25" s="256" t="s">
        <v>1427</v>
      </c>
      <c r="C25" s="249"/>
      <c r="D25" s="276">
        <f>D51</f>
        <v>0</v>
      </c>
      <c r="E25" s="233">
        <f t="shared" ref="E25:AE25" si="5">E51</f>
        <v>0</v>
      </c>
      <c r="F25" s="233">
        <f t="shared" si="5"/>
        <v>0</v>
      </c>
      <c r="G25" s="233">
        <f t="shared" si="5"/>
        <v>0</v>
      </c>
      <c r="H25" s="233">
        <f t="shared" si="5"/>
        <v>0</v>
      </c>
      <c r="I25" s="509">
        <f t="shared" si="5"/>
        <v>6.9120000000000061</v>
      </c>
      <c r="J25" s="509">
        <f t="shared" si="5"/>
        <v>50.955000000000005</v>
      </c>
      <c r="K25" s="509">
        <f t="shared" si="5"/>
        <v>51.173999999999999</v>
      </c>
      <c r="L25" s="509">
        <f t="shared" si="5"/>
        <v>51.893999999999998</v>
      </c>
      <c r="M25" s="509">
        <f t="shared" si="5"/>
        <v>91.075000000000017</v>
      </c>
      <c r="N25" s="509">
        <f t="shared" si="5"/>
        <v>100.63400000000001</v>
      </c>
      <c r="O25" s="509">
        <f t="shared" si="5"/>
        <v>93.89100000000002</v>
      </c>
      <c r="P25" s="509">
        <f t="shared" si="5"/>
        <v>100.22800000000001</v>
      </c>
      <c r="Q25" s="509">
        <f t="shared" si="5"/>
        <v>76.838999999999999</v>
      </c>
      <c r="R25" s="509">
        <f t="shared" si="5"/>
        <v>73.637</v>
      </c>
      <c r="S25" s="509">
        <f t="shared" si="5"/>
        <v>70.649000000000001</v>
      </c>
      <c r="T25" s="509">
        <f t="shared" si="5"/>
        <v>91.718000000000018</v>
      </c>
      <c r="U25" s="509">
        <f t="shared" si="5"/>
        <v>83.695999999999998</v>
      </c>
      <c r="V25" s="509">
        <f>V51</f>
        <v>51.979000000000006</v>
      </c>
      <c r="W25" s="509">
        <f>W51</f>
        <v>51.58400000000001</v>
      </c>
      <c r="X25" s="673">
        <f t="shared" si="5"/>
        <v>38.777999999999999</v>
      </c>
      <c r="Y25" s="673">
        <f t="shared" si="5"/>
        <v>37.295999999999999</v>
      </c>
      <c r="Z25" s="673">
        <f t="shared" si="5"/>
        <v>41.408000000000008</v>
      </c>
      <c r="AA25" s="673">
        <f t="shared" si="5"/>
        <v>48.07800000000001</v>
      </c>
      <c r="AB25" s="673">
        <f t="shared" si="5"/>
        <v>43.804000000000009</v>
      </c>
      <c r="AC25" s="673">
        <f t="shared" si="5"/>
        <v>40.554000000000009</v>
      </c>
      <c r="AD25" s="673">
        <f t="shared" si="5"/>
        <v>38.098000000000006</v>
      </c>
      <c r="AE25" s="673">
        <f t="shared" si="5"/>
        <v>38.098000000000006</v>
      </c>
      <c r="AF25" s="673">
        <f>AF51</f>
        <v>30.137000000000008</v>
      </c>
      <c r="AG25" s="673">
        <f>AG51</f>
        <v>30.137000000000008</v>
      </c>
      <c r="AH25" s="673">
        <f>AH51</f>
        <v>30.137000000000008</v>
      </c>
      <c r="AI25" s="673">
        <f>AI51</f>
        <v>30.137000000000008</v>
      </c>
      <c r="AJ25" s="673">
        <f>AJ51</f>
        <v>21.982000000000006</v>
      </c>
      <c r="AK25" s="673">
        <f t="shared" ref="AK25:AN25" si="6">AK51</f>
        <v>21.982000000000006</v>
      </c>
      <c r="AL25" s="673">
        <f t="shared" si="6"/>
        <v>21.982000000000006</v>
      </c>
      <c r="AM25" s="673">
        <f t="shared" si="6"/>
        <v>21.982000000000006</v>
      </c>
      <c r="AN25" s="673">
        <f t="shared" si="6"/>
        <v>0.33700000000000685</v>
      </c>
      <c r="AO25" s="249"/>
      <c r="AP25" s="249"/>
      <c r="AQ25" s="249"/>
      <c r="AR25" s="249"/>
      <c r="AS25" s="249"/>
      <c r="AT25" s="249"/>
      <c r="AU25" s="249"/>
      <c r="AV25" s="249"/>
      <c r="AW25" s="249"/>
      <c r="AX25" s="249"/>
      <c r="AY25" s="249"/>
      <c r="AZ25" s="249"/>
      <c r="BA25" s="249"/>
      <c r="BB25" s="249"/>
      <c r="BC25" s="249"/>
      <c r="BD25" s="249"/>
      <c r="BE25" s="249"/>
      <c r="BF25" s="249"/>
      <c r="BG25" s="249"/>
      <c r="BH25" s="249"/>
      <c r="BI25" s="249"/>
      <c r="BJ25" s="249"/>
      <c r="BK25" s="249"/>
      <c r="BL25" s="249"/>
      <c r="BM25" s="249"/>
      <c r="BN25" s="249"/>
      <c r="BO25" s="249"/>
      <c r="BP25" s="249"/>
      <c r="BQ25" s="249"/>
      <c r="BR25" s="249"/>
      <c r="BS25" s="249"/>
      <c r="BT25" s="249"/>
      <c r="BU25" s="249"/>
      <c r="BV25" s="249"/>
      <c r="BW25" s="249"/>
      <c r="BX25" s="249"/>
      <c r="BY25" s="249"/>
      <c r="BZ25" s="249"/>
      <c r="CA25" s="249"/>
      <c r="CB25" s="249"/>
      <c r="CC25" s="249"/>
      <c r="CD25" s="249"/>
      <c r="CE25" s="249"/>
      <c r="CF25" s="249"/>
      <c r="CG25" s="249"/>
      <c r="CH25" s="249"/>
      <c r="CI25" s="249"/>
      <c r="CJ25" s="249"/>
      <c r="CK25" s="249"/>
      <c r="CL25" s="249"/>
      <c r="CM25" s="249"/>
      <c r="CN25" s="249"/>
      <c r="CO25" s="249"/>
      <c r="CP25" s="249"/>
      <c r="CQ25" s="249"/>
      <c r="CR25" s="249"/>
      <c r="CS25" s="249"/>
      <c r="CT25" s="249"/>
      <c r="CU25" s="249"/>
      <c r="CV25" s="249"/>
      <c r="CW25" s="249"/>
    </row>
    <row r="26" spans="2:102" ht="15.65" customHeight="1" x14ac:dyDescent="0.35">
      <c r="B26" s="256" t="s">
        <v>796</v>
      </c>
      <c r="C26" s="249" t="s">
        <v>823</v>
      </c>
      <c r="D26" s="275">
        <v>30</v>
      </c>
      <c r="E26" s="245">
        <v>30</v>
      </c>
      <c r="F26" s="245">
        <v>30</v>
      </c>
      <c r="G26" s="245">
        <v>30</v>
      </c>
      <c r="H26" s="245">
        <v>30</v>
      </c>
      <c r="I26" s="245">
        <v>30</v>
      </c>
      <c r="J26" s="245">
        <v>30</v>
      </c>
      <c r="K26" s="241">
        <v>30.2</v>
      </c>
      <c r="L26" s="241">
        <v>30.2</v>
      </c>
      <c r="M26" s="241">
        <f>'Haver Pivoted'!GX89</f>
        <v>34.4</v>
      </c>
      <c r="N26" s="241">
        <f>'Haver Pivoted'!GY89</f>
        <v>34.4</v>
      </c>
      <c r="O26" s="241">
        <f>'Haver Pivoted'!GZ89</f>
        <v>218.933333333333</v>
      </c>
      <c r="P26" s="241">
        <f>'Haver Pivoted'!HA89</f>
        <v>223.13333333333301</v>
      </c>
      <c r="Q26" s="241">
        <f>'Haver Pivoted'!HB89</f>
        <v>94.3</v>
      </c>
      <c r="R26" s="241">
        <f>'Haver Pivoted'!HC89</f>
        <v>94.3</v>
      </c>
      <c r="S26" s="467">
        <f>'Haver Pivoted'!HD89</f>
        <v>94.3</v>
      </c>
      <c r="T26" s="467">
        <f>'Haver Pivoted'!HE89</f>
        <v>94.3</v>
      </c>
      <c r="U26" s="673">
        <v>34</v>
      </c>
      <c r="V26" s="509">
        <v>34</v>
      </c>
      <c r="W26" s="509">
        <v>34</v>
      </c>
      <c r="X26" s="673">
        <v>34</v>
      </c>
      <c r="Y26" s="673">
        <v>34</v>
      </c>
      <c r="Z26" s="673">
        <v>34</v>
      </c>
      <c r="AA26" s="673">
        <v>34</v>
      </c>
      <c r="AB26" s="673">
        <v>34</v>
      </c>
      <c r="AC26" s="673">
        <v>34</v>
      </c>
      <c r="AD26" s="673">
        <v>34</v>
      </c>
      <c r="AE26" s="673">
        <v>34</v>
      </c>
      <c r="AF26" s="673">
        <v>34</v>
      </c>
      <c r="AG26" s="673">
        <v>34</v>
      </c>
      <c r="AH26" s="673">
        <v>34</v>
      </c>
      <c r="AI26" s="673">
        <v>35</v>
      </c>
      <c r="AJ26" s="673">
        <v>36</v>
      </c>
      <c r="AK26" s="673">
        <v>37</v>
      </c>
      <c r="AL26" s="673">
        <v>38</v>
      </c>
      <c r="AM26" s="673">
        <v>39</v>
      </c>
      <c r="AN26" s="673">
        <v>40</v>
      </c>
    </row>
    <row r="27" spans="2:102" ht="21.65" customHeight="1" x14ac:dyDescent="0.35">
      <c r="B27" s="256" t="s">
        <v>468</v>
      </c>
      <c r="C27" s="249"/>
      <c r="D27" s="276"/>
      <c r="E27" s="233"/>
      <c r="F27" s="233"/>
      <c r="G27" s="233"/>
      <c r="H27" s="509"/>
      <c r="I27" s="509"/>
      <c r="J27" s="509">
        <f>'PPP (expired)'!J53</f>
        <v>57.2</v>
      </c>
      <c r="K27" s="509">
        <f>'PPP (expired)'!K53</f>
        <v>81.2</v>
      </c>
      <c r="L27" s="509">
        <f>'PPP (expired)'!L53</f>
        <v>24.4</v>
      </c>
      <c r="M27" s="509">
        <f>'PPP (expired)'!M53</f>
        <v>11.7</v>
      </c>
      <c r="N27" s="509">
        <f>'PPP (expired)'!N53</f>
        <v>28.5</v>
      </c>
      <c r="O27" s="509">
        <f>'PPP (expired)'!O53</f>
        <v>18.8</v>
      </c>
      <c r="P27" s="509">
        <f>'PPP (expired)'!P53</f>
        <v>1.6</v>
      </c>
      <c r="Q27" s="509">
        <f>'PPP (expired)'!Q53</f>
        <v>0</v>
      </c>
      <c r="R27" s="509">
        <f>'PPP (expired)'!Q61</f>
        <v>0</v>
      </c>
      <c r="S27" s="509">
        <f>'PPP (expired)'!S53</f>
        <v>0</v>
      </c>
      <c r="T27" s="509">
        <f>'PPP (expired)'!T53</f>
        <v>0</v>
      </c>
      <c r="U27" s="509">
        <f>'PPP (expired)'!U53</f>
        <v>0</v>
      </c>
      <c r="V27" s="509">
        <f>'PPP (expired)'!V53</f>
        <v>0</v>
      </c>
      <c r="W27" s="509">
        <f>'PPP (expired)'!W53</f>
        <v>0</v>
      </c>
      <c r="X27" s="673">
        <f>'PPP (expired)'!X53</f>
        <v>0</v>
      </c>
      <c r="Y27" s="673">
        <f>'PPP (expired)'!Y53</f>
        <v>0</v>
      </c>
      <c r="Z27" s="673">
        <f>'PPP (expired)'!Z53</f>
        <v>0</v>
      </c>
      <c r="AA27" s="673">
        <f>'PPP (expired)'!AA53</f>
        <v>0</v>
      </c>
      <c r="AB27" s="673">
        <f>'PPP (expired)'!AB53</f>
        <v>0</v>
      </c>
      <c r="AC27" s="673">
        <f>'PPP (expired)'!AC53</f>
        <v>0</v>
      </c>
      <c r="AD27" s="673">
        <f>'PPP (expired)'!AD53</f>
        <v>0</v>
      </c>
      <c r="AE27" s="673">
        <f>'PPP (expired)'!AE53</f>
        <v>0</v>
      </c>
      <c r="AF27" s="673">
        <f>'PPP (expired)'!AF53</f>
        <v>0</v>
      </c>
      <c r="AG27" s="673">
        <f>'PPP (expired)'!AG53</f>
        <v>0</v>
      </c>
      <c r="AH27" s="673">
        <f>'PPP (expired)'!AH53</f>
        <v>0</v>
      </c>
      <c r="AI27" s="673">
        <f>'PPP (expired)'!AI53</f>
        <v>0</v>
      </c>
      <c r="AJ27" s="673">
        <f>'PPP (expired)'!AJ53</f>
        <v>0</v>
      </c>
      <c r="AK27" s="673">
        <f>'PPP (expired)'!AK53</f>
        <v>0</v>
      </c>
      <c r="AL27" s="673">
        <f>'PPP (expired)'!AL53</f>
        <v>0</v>
      </c>
      <c r="AM27" s="673">
        <f>'PPP (expired)'!AM53</f>
        <v>0</v>
      </c>
      <c r="AN27" s="673">
        <f>'PPP (expired)'!AN53</f>
        <v>0</v>
      </c>
    </row>
    <row r="28" spans="2:102" ht="21" customHeight="1" x14ac:dyDescent="0.35">
      <c r="B28" s="272" t="s">
        <v>794</v>
      </c>
      <c r="C28" s="267"/>
      <c r="D28" s="721">
        <f t="shared" ref="D28:AN28" si="7">D24+D22</f>
        <v>0</v>
      </c>
      <c r="E28" s="639">
        <f t="shared" si="7"/>
        <v>0</v>
      </c>
      <c r="F28" s="639">
        <f t="shared" si="7"/>
        <v>0</v>
      </c>
      <c r="G28" s="639">
        <f t="shared" si="7"/>
        <v>0</v>
      </c>
      <c r="H28" s="639">
        <f t="shared" si="7"/>
        <v>0</v>
      </c>
      <c r="I28" s="639">
        <f t="shared" si="7"/>
        <v>0</v>
      </c>
      <c r="J28" s="639">
        <f t="shared" si="7"/>
        <v>160.9</v>
      </c>
      <c r="K28" s="639">
        <f t="shared" si="7"/>
        <v>58.4</v>
      </c>
      <c r="L28" s="639">
        <f t="shared" si="7"/>
        <v>34.5</v>
      </c>
      <c r="M28" s="639">
        <f t="shared" si="7"/>
        <v>21.4</v>
      </c>
      <c r="N28" s="639">
        <f t="shared" si="7"/>
        <v>13.3</v>
      </c>
      <c r="O28" s="639">
        <f t="shared" si="7"/>
        <v>21.804000000000041</v>
      </c>
      <c r="P28" s="572">
        <f t="shared" si="7"/>
        <v>51.919000000000011</v>
      </c>
      <c r="Q28" s="639">
        <f t="shared" si="7"/>
        <v>46.619</v>
      </c>
      <c r="R28" s="639">
        <f t="shared" si="7"/>
        <v>39.719000000000008</v>
      </c>
      <c r="S28" s="639">
        <f t="shared" si="7"/>
        <v>27.819000000000003</v>
      </c>
      <c r="T28" s="572">
        <f t="shared" si="7"/>
        <v>6.3160000000000007</v>
      </c>
      <c r="U28" s="572">
        <f t="shared" si="7"/>
        <v>1.4159999999999999</v>
      </c>
      <c r="V28" s="572">
        <f t="shared" si="7"/>
        <v>1.4159999999999999</v>
      </c>
      <c r="W28" s="572">
        <f t="shared" si="7"/>
        <v>1.4159999999999999</v>
      </c>
      <c r="X28" s="574">
        <f t="shared" si="7"/>
        <v>1.4790000000000001</v>
      </c>
      <c r="Y28" s="574">
        <f t="shared" si="7"/>
        <v>1.4790000000000001</v>
      </c>
      <c r="Z28" s="574">
        <f t="shared" si="7"/>
        <v>1.4790000000000001</v>
      </c>
      <c r="AA28" s="574">
        <f t="shared" si="7"/>
        <v>1.4790000000000001</v>
      </c>
      <c r="AB28" s="574">
        <f t="shared" si="7"/>
        <v>1.63</v>
      </c>
      <c r="AC28" s="574">
        <f t="shared" si="7"/>
        <v>1.63</v>
      </c>
      <c r="AD28" s="574">
        <f t="shared" si="7"/>
        <v>1.63</v>
      </c>
      <c r="AE28" s="574">
        <f t="shared" si="7"/>
        <v>1.63</v>
      </c>
      <c r="AF28" s="574">
        <f t="shared" si="7"/>
        <v>1.671</v>
      </c>
      <c r="AG28" s="574">
        <f t="shared" si="7"/>
        <v>0</v>
      </c>
      <c r="AH28" s="574">
        <f t="shared" si="7"/>
        <v>0</v>
      </c>
      <c r="AI28" s="574">
        <f t="shared" si="7"/>
        <v>0</v>
      </c>
      <c r="AJ28" s="574">
        <f t="shared" si="7"/>
        <v>0</v>
      </c>
      <c r="AK28" s="574">
        <f t="shared" si="7"/>
        <v>0</v>
      </c>
      <c r="AL28" s="574">
        <f t="shared" si="7"/>
        <v>0</v>
      </c>
      <c r="AM28" s="574">
        <f t="shared" si="7"/>
        <v>0</v>
      </c>
      <c r="AN28" s="574">
        <f t="shared" si="7"/>
        <v>0</v>
      </c>
    </row>
    <row r="29" spans="2:102" ht="44.9" customHeight="1" x14ac:dyDescent="0.35">
      <c r="B29" s="433" t="s">
        <v>1179</v>
      </c>
      <c r="D29" s="599"/>
      <c r="E29" s="509"/>
      <c r="F29" s="509"/>
      <c r="G29" s="509"/>
      <c r="H29" s="509"/>
      <c r="I29" s="509"/>
      <c r="J29" s="509"/>
      <c r="K29" s="509"/>
      <c r="L29" s="509"/>
      <c r="M29" s="509"/>
      <c r="N29" s="509"/>
      <c r="O29" s="509"/>
      <c r="P29" s="509"/>
      <c r="Q29" s="509"/>
      <c r="R29" s="509"/>
      <c r="S29" s="677">
        <f>'IRA and CHIPS'!E191</f>
        <v>-0.622</v>
      </c>
      <c r="T29" s="677">
        <f>'IRA and CHIPS'!F191</f>
        <v>21.89</v>
      </c>
      <c r="U29" s="677">
        <f>'IRA and CHIPS'!G191</f>
        <v>21.89</v>
      </c>
      <c r="V29" s="677">
        <f>'IRA and CHIPS'!H191</f>
        <v>21.89</v>
      </c>
      <c r="W29" s="677">
        <f>'IRA and CHIPS'!I191</f>
        <v>21.89</v>
      </c>
      <c r="X29" s="688">
        <f>'IRA and CHIPS'!J191</f>
        <v>15.439</v>
      </c>
      <c r="Y29" s="688">
        <f>'IRA and CHIPS'!K191</f>
        <v>15.439</v>
      </c>
      <c r="Z29" s="688">
        <f>'IRA and CHIPS'!L191</f>
        <v>15.439</v>
      </c>
      <c r="AA29" s="688">
        <f>'IRA and CHIPS'!M191</f>
        <v>15.439</v>
      </c>
      <c r="AB29" s="688">
        <f>'IRA and CHIPS'!N191</f>
        <v>16.966999999999999</v>
      </c>
      <c r="AC29" s="688">
        <f>'IRA and CHIPS'!O191</f>
        <v>16.966999999999999</v>
      </c>
      <c r="AD29" s="688">
        <f>'IRA and CHIPS'!P191</f>
        <v>16.966999999999999</v>
      </c>
      <c r="AE29" s="688">
        <f>'IRA and CHIPS'!Q191</f>
        <v>16.966999999999999</v>
      </c>
      <c r="AF29" s="688">
        <f>'IRA and CHIPS'!R191</f>
        <v>0.72799999999999998</v>
      </c>
      <c r="AG29" s="688">
        <f>'IRA and CHIPS'!S191</f>
        <v>0.72799999999999998</v>
      </c>
      <c r="AH29" s="688">
        <f>0</f>
        <v>0</v>
      </c>
      <c r="AI29" s="688">
        <f>0</f>
        <v>0</v>
      </c>
      <c r="AJ29" s="688">
        <f>0</f>
        <v>0</v>
      </c>
      <c r="AK29" s="688">
        <f>0</f>
        <v>0</v>
      </c>
      <c r="AL29" s="688">
        <f>0</f>
        <v>0</v>
      </c>
      <c r="AM29" s="688">
        <f>0</f>
        <v>0</v>
      </c>
      <c r="AN29" s="688">
        <f>0</f>
        <v>0</v>
      </c>
    </row>
    <row r="30" spans="2:102" ht="44.9" customHeight="1" x14ac:dyDescent="0.35">
      <c r="B30" s="256" t="s">
        <v>801</v>
      </c>
      <c r="C30" s="249"/>
      <c r="D30" s="599">
        <f t="shared" ref="D30:AN30" si="8">D67</f>
        <v>427.03899999999999</v>
      </c>
      <c r="E30" s="599">
        <f t="shared" si="8"/>
        <v>451.51000000000022</v>
      </c>
      <c r="F30" s="599">
        <f t="shared" si="8"/>
        <v>449.19599999999991</v>
      </c>
      <c r="G30" s="599">
        <f t="shared" si="8"/>
        <v>448.2829999999999</v>
      </c>
      <c r="H30" s="599">
        <f t="shared" si="8"/>
        <v>448.1389999999999</v>
      </c>
      <c r="I30" s="599">
        <f t="shared" si="8"/>
        <v>467.28700000000003</v>
      </c>
      <c r="J30" s="599">
        <f t="shared" si="8"/>
        <v>436.07000000000062</v>
      </c>
      <c r="K30" s="599">
        <f t="shared" si="8"/>
        <v>561.08500000000004</v>
      </c>
      <c r="L30" s="599">
        <f t="shared" si="8"/>
        <v>492.91100000000006</v>
      </c>
      <c r="M30" s="599">
        <f t="shared" si="8"/>
        <v>501.48700000000099</v>
      </c>
      <c r="N30" s="599">
        <f t="shared" si="8"/>
        <v>475.30415999999968</v>
      </c>
      <c r="O30" s="599">
        <f t="shared" si="8"/>
        <v>470.75750666666681</v>
      </c>
      <c r="P30" s="599">
        <f t="shared" si="8"/>
        <v>448.38866666666718</v>
      </c>
      <c r="Q30" s="599">
        <f t="shared" si="8"/>
        <v>559.83300000000008</v>
      </c>
      <c r="R30" s="599">
        <f t="shared" si="8"/>
        <v>560.32399999999961</v>
      </c>
      <c r="S30" s="599">
        <f t="shared" si="8"/>
        <v>550.21599999999989</v>
      </c>
      <c r="T30" s="599">
        <f t="shared" si="8"/>
        <v>570.15700000000015</v>
      </c>
      <c r="U30" s="599">
        <f t="shared" si="8"/>
        <v>534.29400000000032</v>
      </c>
      <c r="V30" s="599">
        <f t="shared" si="8"/>
        <v>541.77199999999993</v>
      </c>
      <c r="W30" s="599">
        <f t="shared" si="8"/>
        <v>545.52700000000004</v>
      </c>
      <c r="X30" s="599">
        <f t="shared" si="8"/>
        <v>557.09999999999991</v>
      </c>
      <c r="Y30" s="599">
        <f t="shared" si="8"/>
        <v>598.01699999999983</v>
      </c>
      <c r="Z30" s="599">
        <f t="shared" si="8"/>
        <v>604.82199999999966</v>
      </c>
      <c r="AA30" s="599">
        <f t="shared" si="8"/>
        <v>601.54500000000007</v>
      </c>
      <c r="AB30" s="599">
        <f t="shared" si="8"/>
        <v>607.31100000000015</v>
      </c>
      <c r="AC30" s="599">
        <f t="shared" si="8"/>
        <v>641.98800000000028</v>
      </c>
      <c r="AD30" s="599">
        <f t="shared" si="8"/>
        <v>657.83100000000013</v>
      </c>
      <c r="AE30" s="599">
        <f t="shared" si="8"/>
        <v>661.12015500000007</v>
      </c>
      <c r="AF30" s="599">
        <f t="shared" si="8"/>
        <v>664.42575577499997</v>
      </c>
      <c r="AG30" s="599">
        <f t="shared" si="8"/>
        <v>667.74788455387488</v>
      </c>
      <c r="AH30" s="599">
        <f t="shared" si="8"/>
        <v>671.0866239766442</v>
      </c>
      <c r="AI30" s="599">
        <f t="shared" si="8"/>
        <v>674.44205709652738</v>
      </c>
      <c r="AJ30" s="599">
        <f t="shared" si="8"/>
        <v>677.81426738200992</v>
      </c>
      <c r="AK30" s="599">
        <f t="shared" si="8"/>
        <v>681.20333871891989</v>
      </c>
      <c r="AL30" s="599">
        <f t="shared" si="8"/>
        <v>684.60935541251445</v>
      </c>
      <c r="AM30" s="599">
        <f t="shared" si="8"/>
        <v>688.03240218957694</v>
      </c>
      <c r="AN30" s="599">
        <f t="shared" si="8"/>
        <v>691.47256420052474</v>
      </c>
    </row>
    <row r="31" spans="2:102" ht="44.9" customHeight="1" x14ac:dyDescent="0.35">
      <c r="B31" s="256" t="s">
        <v>2331</v>
      </c>
      <c r="C31" s="249"/>
      <c r="D31" s="509"/>
      <c r="E31" s="509"/>
      <c r="F31" s="509"/>
      <c r="G31" s="509"/>
      <c r="H31" s="509"/>
      <c r="I31" s="509"/>
      <c r="J31" s="509"/>
      <c r="K31" s="509"/>
      <c r="L31" s="509"/>
      <c r="M31" s="509"/>
      <c r="N31" s="509"/>
      <c r="O31" s="509"/>
      <c r="P31" s="509"/>
      <c r="Q31" s="509"/>
      <c r="R31" s="509"/>
      <c r="S31" s="509"/>
      <c r="T31" s="509"/>
      <c r="U31" s="509"/>
      <c r="V31" s="509"/>
      <c r="W31" s="509"/>
      <c r="X31" s="509"/>
      <c r="Y31" s="509"/>
      <c r="Z31" s="509"/>
      <c r="AA31" s="509"/>
      <c r="AB31" s="509"/>
      <c r="AC31" s="509"/>
      <c r="AD31" s="509">
        <v>580.4079999999999</v>
      </c>
      <c r="AE31" s="509">
        <v>577.10799999999995</v>
      </c>
      <c r="AF31" s="509">
        <v>567.80800000000045</v>
      </c>
      <c r="AG31" s="509">
        <v>559.73460350100049</v>
      </c>
      <c r="AH31" s="509">
        <v>550.43460350100031</v>
      </c>
      <c r="AI31" s="509">
        <v>541.13460350100013</v>
      </c>
      <c r="AJ31" s="509">
        <v>532.8346035010004</v>
      </c>
      <c r="AK31" s="509">
        <v>526.76828188252352</v>
      </c>
      <c r="AL31" s="509">
        <v>520.46828188252334</v>
      </c>
      <c r="AM31" s="509">
        <v>515.16828188252316</v>
      </c>
      <c r="AN31" s="509">
        <v>510.86828188252298</v>
      </c>
    </row>
    <row r="32" spans="2:102" ht="44.9" customHeight="1" x14ac:dyDescent="0.35">
      <c r="B32" s="256"/>
      <c r="C32" s="249"/>
      <c r="D32" s="509"/>
      <c r="E32" s="509"/>
      <c r="F32" s="509"/>
      <c r="G32" s="509"/>
      <c r="H32" s="509"/>
      <c r="I32" s="509"/>
      <c r="J32" s="509"/>
      <c r="K32" s="509"/>
      <c r="L32" s="509"/>
      <c r="M32" s="509"/>
      <c r="N32" s="509"/>
      <c r="O32" s="509"/>
      <c r="P32" s="509"/>
      <c r="Q32" s="509"/>
      <c r="R32" s="509"/>
      <c r="S32" s="509"/>
      <c r="T32" s="509"/>
      <c r="U32" s="509"/>
      <c r="V32" s="509"/>
      <c r="W32" s="509"/>
      <c r="X32" s="509"/>
      <c r="Y32" s="509"/>
      <c r="Z32" s="509"/>
      <c r="AA32" s="509"/>
      <c r="AB32" s="509"/>
      <c r="AC32" s="509"/>
      <c r="AD32" s="509">
        <f>AD30-AD31</f>
        <v>77.423000000000229</v>
      </c>
      <c r="AE32" s="509">
        <f t="shared" ref="AE32:AN32" si="9">AE30-AE31</f>
        <v>84.012155000000121</v>
      </c>
      <c r="AF32" s="509">
        <f t="shared" si="9"/>
        <v>96.617755774999523</v>
      </c>
      <c r="AG32" s="509">
        <f t="shared" si="9"/>
        <v>108.01328105287439</v>
      </c>
      <c r="AH32" s="509">
        <f t="shared" si="9"/>
        <v>120.65202047564389</v>
      </c>
      <c r="AI32" s="509">
        <f t="shared" si="9"/>
        <v>133.30745359552725</v>
      </c>
      <c r="AJ32" s="509">
        <f t="shared" si="9"/>
        <v>144.97966388100951</v>
      </c>
      <c r="AK32" s="509">
        <f t="shared" si="9"/>
        <v>154.43505683639637</v>
      </c>
      <c r="AL32" s="509">
        <f t="shared" si="9"/>
        <v>164.1410735299911</v>
      </c>
      <c r="AM32" s="509">
        <f t="shared" si="9"/>
        <v>172.86412030705378</v>
      </c>
      <c r="AN32" s="509">
        <f t="shared" si="9"/>
        <v>180.60428231800176</v>
      </c>
    </row>
    <row r="33" spans="2:40" ht="31.4" customHeight="1" x14ac:dyDescent="0.35">
      <c r="B33" s="588" t="s">
        <v>798</v>
      </c>
      <c r="C33" s="267"/>
      <c r="D33" s="572">
        <f t="shared" ref="D33:AC33" si="10">D12-D14-D17-D19-D23-D24</f>
        <v>1440.9</v>
      </c>
      <c r="E33" s="572">
        <f t="shared" si="10"/>
        <v>1500.7000000000003</v>
      </c>
      <c r="F33" s="572">
        <f t="shared" si="10"/>
        <v>1505.8999999999996</v>
      </c>
      <c r="G33" s="572">
        <f t="shared" si="10"/>
        <v>1512.6999999999998</v>
      </c>
      <c r="H33" s="572">
        <f t="shared" si="10"/>
        <v>1520.8000000000002</v>
      </c>
      <c r="I33" s="572">
        <f t="shared" si="10"/>
        <v>1572.4</v>
      </c>
      <c r="J33" s="572">
        <f t="shared" si="10"/>
        <v>1810.2000000000003</v>
      </c>
      <c r="K33" s="572">
        <f t="shared" si="10"/>
        <v>1862.5</v>
      </c>
      <c r="L33" s="572">
        <f t="shared" si="10"/>
        <v>1721.9000000000003</v>
      </c>
      <c r="M33" s="572">
        <f t="shared" si="10"/>
        <v>1765.7000000000003</v>
      </c>
      <c r="N33" s="572">
        <f t="shared" si="10"/>
        <v>1761.7781600000003</v>
      </c>
      <c r="O33" s="572">
        <f t="shared" si="10"/>
        <v>1938.0298399999999</v>
      </c>
      <c r="P33" s="572">
        <f t="shared" si="10"/>
        <v>1931.7239999999995</v>
      </c>
      <c r="Q33" s="572">
        <f t="shared" si="10"/>
        <v>1956.3240000000001</v>
      </c>
      <c r="R33" s="572">
        <f t="shared" si="10"/>
        <v>1955.424</v>
      </c>
      <c r="S33" s="572">
        <f t="shared" si="10"/>
        <v>1937.424</v>
      </c>
      <c r="T33" s="572">
        <f t="shared" si="10"/>
        <v>2008.5840000000001</v>
      </c>
      <c r="U33" s="572">
        <f t="shared" si="10"/>
        <v>2013.7840000000003</v>
      </c>
      <c r="V33" s="572">
        <f t="shared" si="10"/>
        <v>2002.924</v>
      </c>
      <c r="W33" s="572">
        <f t="shared" si="10"/>
        <v>2013.7239999999999</v>
      </c>
      <c r="X33" s="572">
        <f t="shared" si="10"/>
        <v>2019.2989999999998</v>
      </c>
      <c r="Y33" s="572">
        <f t="shared" si="10"/>
        <v>2111.299</v>
      </c>
      <c r="Z33" s="572">
        <f t="shared" si="10"/>
        <v>2135.3989999999999</v>
      </c>
      <c r="AA33" s="572">
        <f t="shared" si="10"/>
        <v>2152.1990000000005</v>
      </c>
      <c r="AB33" s="572">
        <f t="shared" si="10"/>
        <v>2169.998</v>
      </c>
      <c r="AC33" s="572">
        <f t="shared" si="10"/>
        <v>2262.2980000000002</v>
      </c>
      <c r="AD33" s="572">
        <f>AD12-AD14-AD17-AD19-AD23-AD24</f>
        <v>2352.0980000000004</v>
      </c>
      <c r="AE33" s="572">
        <f t="shared" ref="AE33:AN33" si="11">AE12-AE14-AE17-AE19-AE23-AE24</f>
        <v>2359.3871549999999</v>
      </c>
      <c r="AF33" s="572">
        <f t="shared" si="11"/>
        <v>2351.4927557750002</v>
      </c>
      <c r="AG33" s="572">
        <f t="shared" si="11"/>
        <v>2405.1255305538753</v>
      </c>
      <c r="AH33" s="572">
        <f t="shared" si="11"/>
        <v>2420.7362699766445</v>
      </c>
      <c r="AI33" s="572">
        <f t="shared" si="11"/>
        <v>2438.0917030965275</v>
      </c>
      <c r="AJ33" s="572">
        <f t="shared" si="11"/>
        <v>2447.3089133820104</v>
      </c>
      <c r="AK33" s="572">
        <f t="shared" si="11"/>
        <v>2504.0627755769201</v>
      </c>
      <c r="AL33" s="572">
        <f t="shared" si="11"/>
        <v>2521.4687922705148</v>
      </c>
      <c r="AM33" s="572">
        <f t="shared" si="11"/>
        <v>2538.8918390475774</v>
      </c>
      <c r="AN33" s="572">
        <f t="shared" si="11"/>
        <v>2534.6870010585253</v>
      </c>
    </row>
    <row r="34" spans="2:40" ht="31.4" customHeight="1" x14ac:dyDescent="0.35">
      <c r="B34" s="588" t="s">
        <v>2342</v>
      </c>
      <c r="C34" s="267"/>
      <c r="D34" s="572"/>
      <c r="E34" s="572"/>
      <c r="F34" s="572"/>
      <c r="G34" s="572"/>
      <c r="H34" s="572"/>
      <c r="I34" s="572"/>
      <c r="J34" s="572"/>
      <c r="K34" s="572"/>
      <c r="L34" s="572"/>
      <c r="M34" s="572"/>
      <c r="N34" s="572"/>
      <c r="O34" s="572"/>
      <c r="P34" s="572"/>
      <c r="Q34" s="572"/>
      <c r="R34" s="572"/>
      <c r="S34" s="572"/>
      <c r="T34" s="572"/>
      <c r="U34" s="572"/>
      <c r="V34" s="572"/>
      <c r="W34" s="572"/>
      <c r="X34" s="572"/>
      <c r="Y34" s="572"/>
      <c r="Z34" s="572"/>
      <c r="AA34" s="572"/>
      <c r="AB34" s="572"/>
      <c r="AC34" s="572"/>
      <c r="AD34" s="572">
        <f>AD30+AD68+SUM(AD25:AD29)</f>
        <v>2353.7280000000005</v>
      </c>
      <c r="AE34" s="572">
        <f t="shared" ref="AE34:AL34" si="12">AE30+AE68+SUM(AE25:AE29)</f>
        <v>2361.017155</v>
      </c>
      <c r="AF34" s="572">
        <f t="shared" si="12"/>
        <v>2353.163755775</v>
      </c>
      <c r="AG34" s="572">
        <f t="shared" si="12"/>
        <v>2405.1255305538743</v>
      </c>
      <c r="AH34" s="572">
        <f t="shared" si="12"/>
        <v>2420.7362699766441</v>
      </c>
      <c r="AI34" s="572">
        <f t="shared" si="12"/>
        <v>2438.0917030965275</v>
      </c>
      <c r="AJ34" s="572">
        <f t="shared" si="12"/>
        <v>2447.3089133820099</v>
      </c>
      <c r="AK34" s="572">
        <f t="shared" si="12"/>
        <v>2504.0627755769201</v>
      </c>
      <c r="AL34" s="572">
        <f t="shared" si="12"/>
        <v>2521.4687922705143</v>
      </c>
      <c r="AM34" s="572"/>
      <c r="AN34" s="572"/>
    </row>
    <row r="35" spans="2:40" ht="31.4" customHeight="1" x14ac:dyDescent="0.35">
      <c r="B35" s="588"/>
      <c r="C35" s="267"/>
      <c r="D35" s="572"/>
      <c r="E35" s="572"/>
      <c r="F35" s="572"/>
      <c r="G35" s="572"/>
      <c r="H35" s="572"/>
      <c r="I35" s="572"/>
      <c r="J35" s="572"/>
      <c r="K35" s="572"/>
      <c r="L35" s="572"/>
      <c r="M35" s="572"/>
      <c r="N35" s="572"/>
      <c r="O35" s="572"/>
      <c r="P35" s="572"/>
      <c r="Q35" s="572"/>
      <c r="R35" s="572"/>
      <c r="S35" s="572"/>
      <c r="T35" s="572"/>
      <c r="U35" s="572"/>
      <c r="V35" s="572"/>
      <c r="W35" s="572"/>
      <c r="X35" s="572"/>
      <c r="Y35" s="572"/>
      <c r="Z35" s="572"/>
      <c r="AA35" s="572"/>
      <c r="AB35" s="572"/>
      <c r="AC35" s="572"/>
      <c r="AD35" s="572">
        <f>AD33-AD34</f>
        <v>-1.6300000000001091</v>
      </c>
      <c r="AE35" s="572">
        <f t="shared" ref="AE35:AL35" si="13">AE33-AE34</f>
        <v>-1.6300000000001091</v>
      </c>
      <c r="AF35" s="572">
        <f t="shared" si="13"/>
        <v>-1.6709999999998217</v>
      </c>
      <c r="AG35" s="572">
        <f t="shared" si="13"/>
        <v>0</v>
      </c>
      <c r="AH35" s="572">
        <f t="shared" si="13"/>
        <v>0</v>
      </c>
      <c r="AI35" s="572">
        <f t="shared" si="13"/>
        <v>0</v>
      </c>
      <c r="AJ35" s="572">
        <f t="shared" si="13"/>
        <v>0</v>
      </c>
      <c r="AK35" s="572">
        <f t="shared" si="13"/>
        <v>0</v>
      </c>
      <c r="AL35" s="572">
        <f t="shared" si="13"/>
        <v>0</v>
      </c>
      <c r="AM35" s="572"/>
      <c r="AN35" s="572"/>
    </row>
    <row r="36" spans="2:40" ht="31.4" customHeight="1" x14ac:dyDescent="0.35">
      <c r="B36" s="1410" t="s">
        <v>471</v>
      </c>
      <c r="C36" s="1411"/>
      <c r="D36" s="584"/>
      <c r="E36" s="585"/>
      <c r="F36" s="585"/>
      <c r="G36" s="585"/>
      <c r="H36" s="585"/>
      <c r="I36" s="585"/>
      <c r="J36" s="585"/>
      <c r="K36" s="585"/>
      <c r="L36" s="585"/>
      <c r="M36" s="585"/>
      <c r="N36" s="585"/>
      <c r="O36" s="585"/>
      <c r="P36" s="585"/>
      <c r="Q36" s="585"/>
      <c r="R36" s="585"/>
      <c r="S36" s="585"/>
      <c r="T36" s="572"/>
      <c r="U36" s="585"/>
      <c r="V36" s="572"/>
      <c r="W36" s="572"/>
      <c r="X36" s="574"/>
      <c r="Y36" s="574"/>
      <c r="Z36" s="574"/>
      <c r="AA36" s="574"/>
      <c r="AB36" s="574"/>
      <c r="AC36" s="574"/>
      <c r="AD36" s="574">
        <f t="shared" ref="AD36:AL36" si="14">AD12-AD16</f>
        <v>3539.2000000000003</v>
      </c>
      <c r="AE36" s="574">
        <f t="shared" si="14"/>
        <v>3596.2432909637887</v>
      </c>
      <c r="AF36" s="574">
        <f t="shared" si="14"/>
        <v>3604.4232993941255</v>
      </c>
      <c r="AG36" s="574">
        <f t="shared" si="14"/>
        <v>3674.0785858441996</v>
      </c>
      <c r="AH36" s="574">
        <f t="shared" si="14"/>
        <v>3708.1449531297321</v>
      </c>
      <c r="AI36" s="574">
        <f t="shared" si="14"/>
        <v>3744.2322025218436</v>
      </c>
      <c r="AJ36" s="574">
        <f t="shared" si="14"/>
        <v>3772.625550136067</v>
      </c>
      <c r="AK36" s="574">
        <f t="shared" si="14"/>
        <v>3849.8449959132154</v>
      </c>
      <c r="AL36" s="574">
        <f t="shared" si="14"/>
        <v>3888.0104113690004</v>
      </c>
      <c r="AM36" s="574"/>
      <c r="AN36" s="574"/>
    </row>
    <row r="37" spans="2:40" x14ac:dyDescent="0.35">
      <c r="B37" s="291" t="s">
        <v>803</v>
      </c>
      <c r="C37" s="249" t="s">
        <v>472</v>
      </c>
      <c r="D37" s="276">
        <f>'Haver Pivoted'!GO37</f>
        <v>733.6</v>
      </c>
      <c r="E37" s="233">
        <f>'Haver Pivoted'!GP37</f>
        <v>744.3</v>
      </c>
      <c r="F37" s="233">
        <f>'Haver Pivoted'!GQ37</f>
        <v>762.3</v>
      </c>
      <c r="G37" s="233">
        <f>'Haver Pivoted'!GR37</f>
        <v>772.2</v>
      </c>
      <c r="H37" s="233">
        <f>'Haver Pivoted'!GS37</f>
        <v>772.1</v>
      </c>
      <c r="I37" s="233">
        <f>'Haver Pivoted'!GT37</f>
        <v>760.8</v>
      </c>
      <c r="J37" s="233">
        <f>'Haver Pivoted'!GU37</f>
        <v>811.3</v>
      </c>
      <c r="K37" s="233">
        <f>'Haver Pivoted'!GV37</f>
        <v>850.3</v>
      </c>
      <c r="L37" s="233">
        <f>'Haver Pivoted'!GW37</f>
        <v>840.3</v>
      </c>
      <c r="M37" s="233">
        <f>'Haver Pivoted'!GX37</f>
        <v>869.7</v>
      </c>
      <c r="N37" s="233">
        <f>'Haver Pivoted'!GY37</f>
        <v>913.8</v>
      </c>
      <c r="O37" s="233">
        <f>'Haver Pivoted'!GZ37</f>
        <v>923.8</v>
      </c>
      <c r="P37" s="233">
        <f>'Haver Pivoted'!HA37</f>
        <v>923.5</v>
      </c>
      <c r="Q37" s="233">
        <f>'Haver Pivoted'!HB37</f>
        <v>973.6</v>
      </c>
      <c r="R37" s="233">
        <f>'Haver Pivoted'!HC37</f>
        <v>1010.5</v>
      </c>
      <c r="S37" s="214">
        <f>'Haver Pivoted'!HD37</f>
        <v>1032.5999999999999</v>
      </c>
      <c r="T37" s="214">
        <f>'Haver Pivoted'!HE37</f>
        <v>1096.5999999999999</v>
      </c>
      <c r="U37" s="214">
        <f>'Haver Pivoted'!HF37</f>
        <v>1083.2</v>
      </c>
      <c r="V37" s="676">
        <f>'Haver Pivoted'!HG37</f>
        <v>1111.0999999999999</v>
      </c>
      <c r="W37" s="676">
        <f>'Haver Pivoted'!HH37</f>
        <v>1069.4000000000001</v>
      </c>
      <c r="X37" s="676">
        <f>'Haver Pivoted'!HI37</f>
        <v>1061</v>
      </c>
      <c r="Y37" s="676">
        <f>'Haver Pivoted'!HJ37</f>
        <v>1113.5</v>
      </c>
      <c r="Z37" s="676">
        <f>'Haver Pivoted'!HK37</f>
        <v>1136.9000000000001</v>
      </c>
      <c r="AA37" s="676">
        <f>'Haver Pivoted'!HL37</f>
        <v>1154</v>
      </c>
      <c r="AB37" s="676">
        <f>'Haver Pivoted'!HM37</f>
        <v>1162.5</v>
      </c>
      <c r="AC37" s="676">
        <f>'Haver Pivoted'!HN37</f>
        <v>1176.2</v>
      </c>
      <c r="AD37" s="676">
        <f>'Haver Pivoted'!HO37</f>
        <v>1202</v>
      </c>
      <c r="AE37" s="294"/>
      <c r="AF37" s="294"/>
      <c r="AG37" s="294"/>
      <c r="AH37" s="294"/>
      <c r="AI37" s="294"/>
      <c r="AJ37" s="294"/>
      <c r="AK37" s="294"/>
      <c r="AL37" s="294"/>
      <c r="AM37" s="294"/>
      <c r="AN37" s="294"/>
    </row>
    <row r="38" spans="2:40" x14ac:dyDescent="0.35">
      <c r="B38" s="571" t="s">
        <v>209</v>
      </c>
      <c r="C38" s="249"/>
      <c r="D38" s="599">
        <f>Medicaid!D26</f>
        <v>589.5</v>
      </c>
      <c r="E38" s="509">
        <f>Medicaid!E26</f>
        <v>598.70000000000005</v>
      </c>
      <c r="F38" s="509">
        <f>Medicaid!F26</f>
        <v>614.4</v>
      </c>
      <c r="G38" s="509">
        <f>Medicaid!G26</f>
        <v>622.4</v>
      </c>
      <c r="H38" s="509">
        <f>Medicaid!H26</f>
        <v>620.6</v>
      </c>
      <c r="I38" s="509">
        <f>Medicaid!I26</f>
        <v>606.5</v>
      </c>
      <c r="J38" s="509">
        <f>Medicaid!J26</f>
        <v>654.6</v>
      </c>
      <c r="K38" s="509">
        <f>Medicaid!K26</f>
        <v>690.8</v>
      </c>
      <c r="L38" s="509">
        <f>Medicaid!L26</f>
        <v>678.6</v>
      </c>
      <c r="M38" s="509">
        <f>Medicaid!M26</f>
        <v>704.9</v>
      </c>
      <c r="N38" s="509">
        <f>Medicaid!N26</f>
        <v>745.6</v>
      </c>
      <c r="O38" s="509">
        <f>Medicaid!O26</f>
        <v>749.2</v>
      </c>
      <c r="P38" s="509">
        <f>Medicaid!P26</f>
        <v>746.3</v>
      </c>
      <c r="Q38" s="509">
        <f>Medicaid!Q26</f>
        <v>791.9</v>
      </c>
      <c r="R38" s="509">
        <f>Medicaid!R26</f>
        <v>819.2</v>
      </c>
      <c r="S38" s="214">
        <f>Medicaid!S26</f>
        <v>819</v>
      </c>
      <c r="T38" s="509">
        <f>Medicaid!T26</f>
        <v>827.5</v>
      </c>
      <c r="U38" s="509">
        <f>Medicaid!U26</f>
        <v>877.6</v>
      </c>
      <c r="V38" s="509">
        <f>Medicaid!V26</f>
        <v>911.6</v>
      </c>
      <c r="W38" s="509">
        <f>Medicaid!W26</f>
        <v>867.2</v>
      </c>
      <c r="X38" s="673">
        <f>Medicaid!X26</f>
        <v>856.2</v>
      </c>
      <c r="Y38" s="673">
        <f>Medicaid!Y26</f>
        <v>904.8</v>
      </c>
      <c r="Z38" s="673">
        <f>Medicaid!Z26</f>
        <v>924.7</v>
      </c>
      <c r="AA38" s="673">
        <f>Medicaid!AA26</f>
        <v>932.4</v>
      </c>
      <c r="AB38" s="673">
        <f>Medicaid!AB26</f>
        <v>944.8</v>
      </c>
      <c r="AC38" s="673">
        <f>Medicaid!AC26</f>
        <v>957.6</v>
      </c>
      <c r="AD38" s="673">
        <f>Medicaid!AD26</f>
        <v>983.1</v>
      </c>
      <c r="AE38" s="673">
        <f>Medicaid!AE26</f>
        <v>999.95898678189383</v>
      </c>
      <c r="AF38" s="673">
        <f>Medicaid!AF26</f>
        <v>1014.1688795114242</v>
      </c>
      <c r="AG38" s="673">
        <f>Medicaid!AG26</f>
        <v>1028.6263410455106</v>
      </c>
      <c r="AH38" s="673">
        <f>Medicaid!AH26</f>
        <v>1043.2899005956497</v>
      </c>
      <c r="AI38" s="673">
        <f>Medicaid!AI26</f>
        <v>1058.1624961874497</v>
      </c>
      <c r="AJ38" s="673">
        <f>Medicaid!AJ26</f>
        <v>1055.5046787071888</v>
      </c>
      <c r="AK38" s="673">
        <f>Medicaid!AK26</f>
        <v>1071.2571955433457</v>
      </c>
      <c r="AL38" s="673">
        <f>Medicaid!AL26</f>
        <v>1087.2448054034173</v>
      </c>
      <c r="AM38" s="673">
        <f>Medicaid!AM26</f>
        <v>1103.4710168524455</v>
      </c>
      <c r="AN38" s="673" t="e">
        <f>Medicaid!AN26</f>
        <v>#DIV/0!</v>
      </c>
    </row>
    <row r="39" spans="2:40" ht="14.9" customHeight="1" x14ac:dyDescent="0.35">
      <c r="B39" s="588" t="s">
        <v>804</v>
      </c>
      <c r="C39" s="267"/>
      <c r="D39" s="598">
        <f>D37-D38</f>
        <v>144.10000000000002</v>
      </c>
      <c r="E39" s="572">
        <f t="shared" ref="E39:O39" si="15">E37-E38</f>
        <v>145.59999999999991</v>
      </c>
      <c r="F39" s="572">
        <f t="shared" si="15"/>
        <v>147.89999999999998</v>
      </c>
      <c r="G39" s="572">
        <f>G37-G38</f>
        <v>149.80000000000007</v>
      </c>
      <c r="H39" s="572">
        <f t="shared" si="15"/>
        <v>151.5</v>
      </c>
      <c r="I39" s="572">
        <f t="shared" si="15"/>
        <v>154.29999999999995</v>
      </c>
      <c r="J39" s="572">
        <f t="shared" si="15"/>
        <v>156.69999999999993</v>
      </c>
      <c r="K39" s="572">
        <f t="shared" si="15"/>
        <v>159.5</v>
      </c>
      <c r="L39" s="572">
        <f t="shared" si="15"/>
        <v>161.69999999999993</v>
      </c>
      <c r="M39" s="572">
        <f t="shared" si="15"/>
        <v>164.80000000000007</v>
      </c>
      <c r="N39" s="572">
        <f t="shared" si="15"/>
        <v>168.19999999999993</v>
      </c>
      <c r="O39" s="572">
        <f t="shared" si="15"/>
        <v>174.59999999999991</v>
      </c>
      <c r="P39" s="572">
        <f>P37-P38</f>
        <v>177.20000000000005</v>
      </c>
      <c r="Q39" s="572">
        <f>Q37-Q38</f>
        <v>181.70000000000005</v>
      </c>
      <c r="R39" s="572">
        <f>R37-R38</f>
        <v>191.29999999999995</v>
      </c>
      <c r="S39" s="214">
        <f>S37-S38</f>
        <v>213.59999999999991</v>
      </c>
      <c r="T39" s="214">
        <f>T37-T38</f>
        <v>269.09999999999991</v>
      </c>
      <c r="U39" s="572">
        <f>T39*(1+AVERAGE($F$41:$I$41))+U40</f>
        <v>203.03380700109631</v>
      </c>
      <c r="V39" s="572">
        <f>U39*(1+AVERAGE($F$41:$I$41))+V40</f>
        <v>206.0018330562437</v>
      </c>
      <c r="W39" s="572">
        <f t="shared" ref="W39:AA39" si="16">V39*(1+AVERAGE($F$41:$I$41))</f>
        <v>209.01324685451698</v>
      </c>
      <c r="X39" s="574">
        <f>W39*(1+AVERAGE($F$41:$I$41))</f>
        <v>212.06868265458453</v>
      </c>
      <c r="Y39" s="574">
        <f t="shared" si="16"/>
        <v>215.16878398695127</v>
      </c>
      <c r="Z39" s="574">
        <f t="shared" si="16"/>
        <v>218.31420378949775</v>
      </c>
      <c r="AA39" s="574">
        <f t="shared" si="16"/>
        <v>221.50560454500092</v>
      </c>
      <c r="AB39" s="574">
        <f>AA39*(1+AVERAGE($F$41:$I$41))</f>
        <v>224.74365842066501</v>
      </c>
      <c r="AC39" s="574">
        <f>AB39*(1+AVERAGE($F$41:$I$41))</f>
        <v>228.02904740969223</v>
      </c>
      <c r="AD39" s="574">
        <f>AC39*(1+AVERAGE($F$41:$I$41))</f>
        <v>231.36246347492295</v>
      </c>
      <c r="AE39" s="574">
        <f>AD39*(1+AVERAGE($F$41:$I$41))</f>
        <v>234.7446086945757</v>
      </c>
      <c r="AF39" s="574">
        <f t="shared" ref="AF39:AI39" si="17">AE39*(1+AVERAGE($F$41:$I$41))</f>
        <v>238.17619541011769</v>
      </c>
      <c r="AG39" s="574">
        <f>AF39*(1+AVERAGE($F$41:$I$41))</f>
        <v>241.65794637629688</v>
      </c>
      <c r="AH39" s="574">
        <f t="shared" si="17"/>
        <v>245.19059491336728</v>
      </c>
      <c r="AI39" s="574">
        <f t="shared" si="17"/>
        <v>248.77488506153966</v>
      </c>
      <c r="AJ39" s="574">
        <f>AI39*(1+AVERAGE($F$41:$I$41))</f>
        <v>252.41157173768991</v>
      </c>
      <c r="AK39" s="574">
        <f t="shared" ref="AK39:AN39" si="18">AJ39*(1+AVERAGE($F$41:$I$41))</f>
        <v>256.10142089435828</v>
      </c>
      <c r="AL39" s="574">
        <f t="shared" si="18"/>
        <v>259.84520968107307</v>
      </c>
      <c r="AM39" s="574">
        <f t="shared" si="18"/>
        <v>263.64372660803241</v>
      </c>
      <c r="AN39" s="574">
        <f t="shared" si="18"/>
        <v>267.49777171217886</v>
      </c>
    </row>
    <row r="40" spans="2:40" ht="14.9" customHeight="1" x14ac:dyDescent="0.35">
      <c r="B40" s="588" t="s">
        <v>1688</v>
      </c>
      <c r="C40" s="267"/>
      <c r="D40" s="598"/>
      <c r="E40" s="572"/>
      <c r="F40" s="572"/>
      <c r="G40" s="572"/>
      <c r="H40" s="572"/>
      <c r="I40" s="572"/>
      <c r="J40" s="572"/>
      <c r="K40" s="572"/>
      <c r="L40" s="572"/>
      <c r="M40" s="572"/>
      <c r="N40" s="572"/>
      <c r="O40" s="572"/>
      <c r="P40" s="572"/>
      <c r="Q40" s="572"/>
      <c r="R40" s="572"/>
      <c r="S40" s="214"/>
      <c r="T40" s="572"/>
      <c r="U40" s="572">
        <v>-70</v>
      </c>
      <c r="V40" s="572"/>
      <c r="W40" s="572"/>
      <c r="X40" s="574"/>
      <c r="Y40" s="574"/>
      <c r="Z40" s="574"/>
      <c r="AA40" s="574"/>
      <c r="AB40" s="574"/>
      <c r="AC40" s="574"/>
      <c r="AD40" s="574"/>
      <c r="AE40" s="574"/>
      <c r="AF40" s="574"/>
      <c r="AG40" s="574"/>
      <c r="AH40" s="574"/>
      <c r="AI40" s="574"/>
      <c r="AJ40" s="574"/>
      <c r="AK40" s="574"/>
      <c r="AL40" s="574"/>
      <c r="AM40" s="574"/>
      <c r="AN40" s="574"/>
    </row>
    <row r="41" spans="2:40" x14ac:dyDescent="0.35">
      <c r="B41" s="718" t="s">
        <v>805</v>
      </c>
      <c r="C41" s="370"/>
      <c r="D41" s="600"/>
      <c r="E41" s="587">
        <f>E39/D39-1</f>
        <v>1.0409437890353201E-2</v>
      </c>
      <c r="F41" s="587">
        <f t="shared" ref="F41:N41" si="19">F39/E39-1</f>
        <v>1.5796703296703685E-2</v>
      </c>
      <c r="G41" s="587">
        <f>G39/F39-1</f>
        <v>1.2846517917512346E-2</v>
      </c>
      <c r="H41" s="587">
        <f t="shared" si="19"/>
        <v>1.1348464619492127E-2</v>
      </c>
      <c r="I41" s="587">
        <f t="shared" si="19"/>
        <v>1.8481848184818128E-2</v>
      </c>
      <c r="J41" s="587">
        <f t="shared" si="19"/>
        <v>1.5554115359688758E-2</v>
      </c>
      <c r="K41" s="587">
        <f t="shared" si="19"/>
        <v>1.7868538608807105E-2</v>
      </c>
      <c r="L41" s="587">
        <f t="shared" si="19"/>
        <v>1.3793103448275446E-2</v>
      </c>
      <c r="M41" s="587">
        <f t="shared" si="19"/>
        <v>1.9171304885591489E-2</v>
      </c>
      <c r="N41" s="587">
        <f t="shared" si="19"/>
        <v>2.0631067961164318E-2</v>
      </c>
      <c r="O41" s="587">
        <f>O39/N39-1</f>
        <v>3.8049940546967864E-2</v>
      </c>
      <c r="P41" s="587">
        <f t="shared" ref="P41:S41" si="20">P39/O39-1</f>
        <v>1.4891179839634283E-2</v>
      </c>
      <c r="Q41" s="587">
        <f t="shared" si="20"/>
        <v>2.5395033860045046E-2</v>
      </c>
      <c r="R41" s="587">
        <f t="shared" si="20"/>
        <v>5.2834342322509054E-2</v>
      </c>
      <c r="S41" s="658">
        <f t="shared" si="20"/>
        <v>0.11657083115525335</v>
      </c>
      <c r="T41" s="573"/>
      <c r="U41" s="573"/>
      <c r="V41" s="573"/>
      <c r="W41" s="573"/>
      <c r="X41" s="595"/>
      <c r="Y41" s="595"/>
      <c r="Z41" s="595"/>
      <c r="AA41" s="595"/>
      <c r="AB41" s="595"/>
      <c r="AC41" s="595"/>
      <c r="AD41" s="595"/>
      <c r="AE41" s="595"/>
      <c r="AF41" s="595"/>
      <c r="AG41" s="595"/>
      <c r="AH41" s="595"/>
      <c r="AI41" s="595"/>
      <c r="AJ41" s="595"/>
      <c r="AK41" s="595"/>
      <c r="AL41" s="595"/>
      <c r="AM41" s="595"/>
      <c r="AN41" s="595"/>
    </row>
    <row r="43" spans="2:40" x14ac:dyDescent="0.35">
      <c r="D43">
        <v>427.0390000000001</v>
      </c>
      <c r="E43">
        <v>1470.7000000000003</v>
      </c>
      <c r="F43">
        <v>1475.8999999999996</v>
      </c>
      <c r="G43">
        <v>1482.6999999999998</v>
      </c>
      <c r="H43">
        <v>1490.8000000000002</v>
      </c>
      <c r="I43">
        <v>1535.4880000000001</v>
      </c>
      <c r="J43">
        <v>1511.1450000000004</v>
      </c>
      <c r="K43">
        <v>1641.5259999999998</v>
      </c>
      <c r="L43">
        <v>1580.9059999999999</v>
      </c>
      <c r="M43">
        <v>1607.1250000000005</v>
      </c>
      <c r="N43">
        <v>1584.94416</v>
      </c>
      <c r="O43">
        <v>1587.7055066666669</v>
      </c>
      <c r="P43">
        <v>1574.5626666666669</v>
      </c>
      <c r="Q43">
        <v>1758.2850000000001</v>
      </c>
      <c r="R43">
        <v>1767.4869999999996</v>
      </c>
      <c r="S43">
        <v>1764.9970000000001</v>
      </c>
      <c r="T43">
        <v>1795.7760000000001</v>
      </c>
      <c r="U43">
        <v>1874.1980000000001</v>
      </c>
      <c r="V43">
        <v>1895.0549999999998</v>
      </c>
      <c r="W43">
        <v>1906.25</v>
      </c>
      <c r="X43">
        <v>1931.0820000000001</v>
      </c>
      <c r="Y43">
        <v>2024.5639999999999</v>
      </c>
      <c r="Z43">
        <v>2044.5519999999999</v>
      </c>
      <c r="AA43">
        <v>2054.6819999999998</v>
      </c>
      <c r="AB43">
        <v>2075.2269999999999</v>
      </c>
      <c r="AC43">
        <v>2170.777</v>
      </c>
      <c r="AD43">
        <v>2263.0330000000004</v>
      </c>
      <c r="AE43">
        <v>2269.7330000000002</v>
      </c>
      <c r="AF43">
        <v>2276.4330000000004</v>
      </c>
      <c r="AG43">
        <v>2321.8815518580004</v>
      </c>
      <c r="AH43">
        <v>2328.5815518580002</v>
      </c>
      <c r="AI43">
        <v>2335.2815518580005</v>
      </c>
      <c r="AJ43">
        <v>2341.9815518580008</v>
      </c>
      <c r="AK43">
        <v>2389.7491834087341</v>
      </c>
      <c r="AL43">
        <v>2396.4491834087339</v>
      </c>
      <c r="AM43">
        <v>2403.1491834087337</v>
      </c>
      <c r="AN43">
        <v>2409.8491834087336</v>
      </c>
    </row>
    <row r="45" spans="2:40" x14ac:dyDescent="0.35">
      <c r="P45" s="499"/>
      <c r="Q45" s="499"/>
    </row>
    <row r="46" spans="2:40" x14ac:dyDescent="0.35">
      <c r="B46" s="529" t="s">
        <v>351</v>
      </c>
      <c r="D46" s="509"/>
      <c r="E46" s="509"/>
      <c r="F46" s="509"/>
      <c r="G46" s="509"/>
      <c r="H46" s="509"/>
      <c r="I46" s="509"/>
      <c r="J46" s="509"/>
      <c r="K46" s="509"/>
      <c r="L46" s="509"/>
      <c r="M46" s="509"/>
      <c r="N46" s="509"/>
      <c r="O46" s="509"/>
      <c r="P46" s="509"/>
      <c r="Q46" s="509"/>
      <c r="R46" s="509"/>
      <c r="S46" s="509"/>
      <c r="T46" s="509"/>
      <c r="U46" s="509"/>
      <c r="V46" s="509"/>
      <c r="W46" s="509"/>
      <c r="X46" s="509"/>
      <c r="Y46" s="509"/>
      <c r="Z46" s="509"/>
      <c r="AA46" s="509"/>
      <c r="AB46" s="509"/>
      <c r="AC46" s="509"/>
    </row>
    <row r="47" spans="2:40" ht="45.75" customHeight="1" x14ac:dyDescent="0.35">
      <c r="B47" s="1412" t="s">
        <v>475</v>
      </c>
      <c r="C47" s="1412"/>
      <c r="D47" s="1360"/>
      <c r="E47" s="1360"/>
      <c r="F47" s="1360"/>
      <c r="G47" s="1360"/>
      <c r="H47" s="1360"/>
      <c r="I47" s="1360"/>
      <c r="J47" s="1360"/>
      <c r="K47" s="1360"/>
      <c r="L47" s="1360"/>
      <c r="M47" s="1360"/>
      <c r="N47" s="1360"/>
      <c r="O47" s="1360"/>
      <c r="P47" s="1360"/>
      <c r="Q47" s="1360"/>
      <c r="R47" s="1360"/>
      <c r="S47" s="1360"/>
      <c r="T47" s="1360"/>
      <c r="U47" s="1360"/>
      <c r="V47" s="1360"/>
      <c r="W47" s="1360"/>
      <c r="X47" s="1360"/>
      <c r="Y47" s="1360"/>
      <c r="Z47" s="1360"/>
      <c r="AA47" s="1360"/>
      <c r="AB47" s="1360"/>
      <c r="AC47" s="1360"/>
    </row>
    <row r="48" spans="2:40" ht="14.9" customHeight="1" x14ac:dyDescent="0.35">
      <c r="B48" s="1325" t="s">
        <v>476</v>
      </c>
      <c r="C48" s="1326"/>
      <c r="D48" s="1333" t="s">
        <v>279</v>
      </c>
      <c r="E48" s="1333"/>
      <c r="F48" s="1333"/>
      <c r="G48" s="1333"/>
      <c r="H48" s="1333"/>
      <c r="I48" s="1333"/>
      <c r="J48" s="1333"/>
      <c r="K48" s="1333"/>
      <c r="L48" s="1333"/>
      <c r="M48" s="1333"/>
      <c r="N48" s="1333"/>
      <c r="O48" s="1333"/>
      <c r="P48" s="1333"/>
      <c r="Q48" s="1333"/>
      <c r="R48" s="1333"/>
      <c r="S48" s="1333"/>
      <c r="T48" s="1333"/>
      <c r="U48" s="1333"/>
      <c r="V48" s="1333"/>
      <c r="W48" s="1333"/>
      <c r="X48" s="1333"/>
      <c r="Y48" s="1333"/>
      <c r="Z48" s="1333"/>
      <c r="AA48" s="1333"/>
      <c r="AB48" s="1333"/>
      <c r="AC48" s="1350" t="s">
        <v>280</v>
      </c>
      <c r="AD48" s="1331"/>
      <c r="AE48" s="1331"/>
      <c r="AF48" s="1331"/>
      <c r="AG48" s="1331"/>
      <c r="AH48" s="1331"/>
      <c r="AI48" s="1331"/>
      <c r="AJ48" s="1331"/>
      <c r="AK48" s="1331"/>
      <c r="AL48" s="1331"/>
      <c r="AM48" s="1331"/>
      <c r="AN48" s="1332"/>
    </row>
    <row r="49" spans="2:40" x14ac:dyDescent="0.35">
      <c r="B49" s="1325"/>
      <c r="C49" s="1326"/>
      <c r="D49" s="296">
        <v>2018</v>
      </c>
      <c r="E49" s="1342">
        <v>2019</v>
      </c>
      <c r="F49" s="1343"/>
      <c r="G49" s="1343"/>
      <c r="H49" s="1344"/>
      <c r="I49" s="1342">
        <v>2020</v>
      </c>
      <c r="J49" s="1343"/>
      <c r="K49" s="1343"/>
      <c r="L49" s="1343"/>
      <c r="M49" s="1342">
        <v>2021</v>
      </c>
      <c r="N49" s="1343"/>
      <c r="O49" s="1343"/>
      <c r="P49" s="1343"/>
      <c r="Q49" s="1342">
        <v>2022</v>
      </c>
      <c r="R49" s="1354"/>
      <c r="S49" s="1354"/>
      <c r="T49" s="1344"/>
      <c r="U49" s="302"/>
      <c r="V49" s="442">
        <v>2023</v>
      </c>
      <c r="W49" s="442"/>
      <c r="X49" s="309"/>
      <c r="Y49" s="460"/>
      <c r="Z49" s="442">
        <v>2024</v>
      </c>
      <c r="AA49" s="442"/>
      <c r="AB49" s="309"/>
      <c r="AC49" s="1329">
        <v>2025</v>
      </c>
      <c r="AD49" s="1335"/>
      <c r="AE49" s="1335"/>
      <c r="AF49" s="1334"/>
      <c r="AG49" s="1329">
        <v>2026</v>
      </c>
      <c r="AH49" s="1335"/>
      <c r="AI49" s="1335"/>
      <c r="AJ49" s="1334"/>
      <c r="AK49" s="1329">
        <v>2027</v>
      </c>
      <c r="AL49" s="1335"/>
      <c r="AM49" s="1335"/>
      <c r="AN49" s="1334"/>
    </row>
    <row r="50" spans="2:40" x14ac:dyDescent="0.35">
      <c r="B50" s="1327"/>
      <c r="C50" s="1328"/>
      <c r="D50" s="225" t="s">
        <v>281</v>
      </c>
      <c r="E50" s="225" t="s">
        <v>282</v>
      </c>
      <c r="F50" s="226" t="s">
        <v>283</v>
      </c>
      <c r="G50" s="226" t="s">
        <v>238</v>
      </c>
      <c r="H50" s="232" t="s">
        <v>281</v>
      </c>
      <c r="I50" s="226" t="s">
        <v>282</v>
      </c>
      <c r="J50" s="226" t="s">
        <v>283</v>
      </c>
      <c r="K50" s="226" t="s">
        <v>238</v>
      </c>
      <c r="L50" s="226" t="s">
        <v>281</v>
      </c>
      <c r="M50" s="225" t="s">
        <v>282</v>
      </c>
      <c r="N50" s="226" t="s">
        <v>283</v>
      </c>
      <c r="O50" s="226" t="s">
        <v>238</v>
      </c>
      <c r="P50" s="226" t="s">
        <v>281</v>
      </c>
      <c r="Q50" s="225" t="s">
        <v>282</v>
      </c>
      <c r="R50" s="226" t="s">
        <v>283</v>
      </c>
      <c r="S50" s="226" t="s">
        <v>238</v>
      </c>
      <c r="T50" s="232" t="s">
        <v>281</v>
      </c>
      <c r="U50" s="226" t="s">
        <v>282</v>
      </c>
      <c r="V50" s="287" t="s">
        <v>283</v>
      </c>
      <c r="W50" s="287" t="s">
        <v>238</v>
      </c>
      <c r="X50" s="285" t="s">
        <v>281</v>
      </c>
      <c r="Y50" s="286" t="s">
        <v>282</v>
      </c>
      <c r="Z50" s="292" t="s">
        <v>283</v>
      </c>
      <c r="AA50" s="287" t="s">
        <v>238</v>
      </c>
      <c r="AB50" s="287" t="s">
        <v>281</v>
      </c>
      <c r="AC50" s="286" t="s">
        <v>282</v>
      </c>
      <c r="AD50" s="292" t="s">
        <v>283</v>
      </c>
      <c r="AE50" s="273" t="s">
        <v>238</v>
      </c>
      <c r="AF50" s="273" t="s">
        <v>281</v>
      </c>
      <c r="AG50" s="299" t="s">
        <v>282</v>
      </c>
      <c r="AH50" s="271" t="s">
        <v>283</v>
      </c>
      <c r="AI50" s="273" t="s">
        <v>238</v>
      </c>
      <c r="AJ50" s="301" t="s">
        <v>281</v>
      </c>
      <c r="AK50" s="299" t="s">
        <v>282</v>
      </c>
      <c r="AL50" s="271" t="s">
        <v>283</v>
      </c>
      <c r="AM50" s="273" t="s">
        <v>238</v>
      </c>
      <c r="AN50" s="301" t="s">
        <v>281</v>
      </c>
    </row>
    <row r="51" spans="2:40" x14ac:dyDescent="0.35">
      <c r="B51" s="571" t="s">
        <v>1999</v>
      </c>
      <c r="D51" s="260"/>
      <c r="E51" s="320"/>
      <c r="F51" s="320"/>
      <c r="G51" s="320"/>
      <c r="H51" s="320"/>
      <c r="I51" s="582">
        <f>(I52-AVERAGE($E52:$H52))</f>
        <v>6.9120000000000061</v>
      </c>
      <c r="J51" s="582">
        <f t="shared" ref="J51:AD51" si="21">(J52-AVERAGE($E52:$H52))</f>
        <v>50.955000000000005</v>
      </c>
      <c r="K51" s="582">
        <f t="shared" si="21"/>
        <v>51.173999999999999</v>
      </c>
      <c r="L51" s="582">
        <f t="shared" si="21"/>
        <v>51.893999999999998</v>
      </c>
      <c r="M51" s="582">
        <f t="shared" si="21"/>
        <v>91.075000000000017</v>
      </c>
      <c r="N51" s="582">
        <f t="shared" si="21"/>
        <v>100.63400000000001</v>
      </c>
      <c r="O51" s="582">
        <f t="shared" si="21"/>
        <v>93.89100000000002</v>
      </c>
      <c r="P51" s="582">
        <f t="shared" si="21"/>
        <v>100.22800000000001</v>
      </c>
      <c r="Q51" s="582">
        <f t="shared" si="21"/>
        <v>76.838999999999999</v>
      </c>
      <c r="R51" s="582">
        <f t="shared" si="21"/>
        <v>73.637</v>
      </c>
      <c r="S51" s="583">
        <f t="shared" si="21"/>
        <v>70.649000000000001</v>
      </c>
      <c r="T51" s="668">
        <f t="shared" si="21"/>
        <v>91.718000000000018</v>
      </c>
      <c r="U51" s="583">
        <f t="shared" si="21"/>
        <v>83.695999999999998</v>
      </c>
      <c r="V51" s="583">
        <f t="shared" si="21"/>
        <v>51.979000000000006</v>
      </c>
      <c r="W51" s="583">
        <f t="shared" si="21"/>
        <v>51.58400000000001</v>
      </c>
      <c r="X51" s="583">
        <f t="shared" si="21"/>
        <v>38.777999999999999</v>
      </c>
      <c r="Y51" s="583">
        <f t="shared" si="21"/>
        <v>37.295999999999999</v>
      </c>
      <c r="Z51" s="583">
        <f t="shared" si="21"/>
        <v>41.408000000000008</v>
      </c>
      <c r="AA51" s="583">
        <f t="shared" si="21"/>
        <v>48.07800000000001</v>
      </c>
      <c r="AB51" s="583">
        <f t="shared" si="21"/>
        <v>43.804000000000009</v>
      </c>
      <c r="AC51" s="583">
        <f t="shared" si="21"/>
        <v>40.554000000000009</v>
      </c>
      <c r="AD51" s="583">
        <f t="shared" si="21"/>
        <v>38.098000000000006</v>
      </c>
      <c r="AE51" s="722">
        <f t="shared" ref="AE51:AM51" si="22">AD51+AE53</f>
        <v>38.098000000000006</v>
      </c>
      <c r="AF51" s="722">
        <f t="shared" si="22"/>
        <v>30.137000000000008</v>
      </c>
      <c r="AG51" s="722">
        <f t="shared" si="22"/>
        <v>30.137000000000008</v>
      </c>
      <c r="AH51" s="722">
        <f t="shared" si="22"/>
        <v>30.137000000000008</v>
      </c>
      <c r="AI51" s="722">
        <f t="shared" si="22"/>
        <v>30.137000000000008</v>
      </c>
      <c r="AJ51" s="722">
        <f t="shared" si="22"/>
        <v>21.982000000000006</v>
      </c>
      <c r="AK51" s="722">
        <f t="shared" si="22"/>
        <v>21.982000000000006</v>
      </c>
      <c r="AL51" s="722">
        <f t="shared" si="22"/>
        <v>21.982000000000006</v>
      </c>
      <c r="AM51" s="722">
        <f t="shared" si="22"/>
        <v>21.982000000000006</v>
      </c>
      <c r="AN51" s="722">
        <f>AM51+AN53</f>
        <v>0.33700000000000685</v>
      </c>
    </row>
    <row r="52" spans="2:40" x14ac:dyDescent="0.35">
      <c r="B52" s="571" t="s">
        <v>1994</v>
      </c>
      <c r="C52" s="249" t="s">
        <v>477</v>
      </c>
      <c r="D52" s="276">
        <f>'Haver Pivoted'!GO66</f>
        <v>57.017000000000003</v>
      </c>
      <c r="E52" s="233">
        <f>'Haver Pivoted'!GP66</f>
        <v>55.875</v>
      </c>
      <c r="F52" s="233">
        <f>'Haver Pivoted'!GQ66</f>
        <v>54.335999999999999</v>
      </c>
      <c r="G52" s="233">
        <f>'Haver Pivoted'!GR66</f>
        <v>54.345999999999997</v>
      </c>
      <c r="H52" s="233">
        <f>'Haver Pivoted'!GS66</f>
        <v>54.290999999999997</v>
      </c>
      <c r="I52" s="233">
        <f>'Haver Pivoted'!GT66</f>
        <v>61.624000000000002</v>
      </c>
      <c r="J52" s="233">
        <f>'Haver Pivoted'!GU66</f>
        <v>105.667</v>
      </c>
      <c r="K52" s="233">
        <f>'Haver Pivoted'!GV66</f>
        <v>105.886</v>
      </c>
      <c r="L52" s="233">
        <f>'Haver Pivoted'!GW66</f>
        <v>106.60599999999999</v>
      </c>
      <c r="M52" s="233">
        <f>'Haver Pivoted'!GX66</f>
        <v>145.78700000000001</v>
      </c>
      <c r="N52" s="233">
        <f>'Haver Pivoted'!GY66</f>
        <v>155.346</v>
      </c>
      <c r="O52" s="233">
        <f>'Haver Pivoted'!GZ66</f>
        <v>148.60300000000001</v>
      </c>
      <c r="P52" s="233">
        <f>'Haver Pivoted'!HA66</f>
        <v>154.94</v>
      </c>
      <c r="Q52" s="233">
        <f>'Haver Pivoted'!HB66</f>
        <v>131.55099999999999</v>
      </c>
      <c r="R52" s="233">
        <f>'Haver Pivoted'!HC66</f>
        <v>128.34899999999999</v>
      </c>
      <c r="S52" s="226">
        <f>'Haver Pivoted'!HD66</f>
        <v>125.361</v>
      </c>
      <c r="T52" s="226">
        <f>'Haver Pivoted'!HE66</f>
        <v>146.43</v>
      </c>
      <c r="U52" s="226">
        <f>'Haver Pivoted'!HF66</f>
        <v>138.40799999999999</v>
      </c>
      <c r="V52" s="226">
        <f>'Haver Pivoted'!HG66</f>
        <v>106.691</v>
      </c>
      <c r="W52" s="226">
        <f>'Haver Pivoted'!HH66</f>
        <v>106.29600000000001</v>
      </c>
      <c r="X52" s="226">
        <f>'Haver Pivoted'!HI66</f>
        <v>93.49</v>
      </c>
      <c r="Y52" s="226">
        <f>'Haver Pivoted'!HJ66</f>
        <v>92.007999999999996</v>
      </c>
      <c r="Z52" s="226">
        <f>'Haver Pivoted'!HK66</f>
        <v>96.12</v>
      </c>
      <c r="AA52" s="226">
        <f>'Haver Pivoted'!HL66</f>
        <v>102.79</v>
      </c>
      <c r="AB52" s="226">
        <f>'Haver Pivoted'!HM66</f>
        <v>98.516000000000005</v>
      </c>
      <c r="AC52" s="226">
        <f>'Haver Pivoted'!HN66</f>
        <v>95.266000000000005</v>
      </c>
      <c r="AD52" s="226">
        <f>'Haver Pivoted'!HO66</f>
        <v>92.81</v>
      </c>
      <c r="AE52" s="229"/>
      <c r="AF52" s="229"/>
      <c r="AG52" s="229"/>
      <c r="AH52" s="229"/>
      <c r="AI52" s="229"/>
      <c r="AJ52" s="229"/>
      <c r="AK52" s="229"/>
      <c r="AL52" s="229"/>
      <c r="AM52" s="229"/>
      <c r="AN52" s="229"/>
    </row>
    <row r="53" spans="2:40" x14ac:dyDescent="0.35">
      <c r="B53" s="664" t="s">
        <v>1998</v>
      </c>
      <c r="C53" s="249"/>
      <c r="D53" s="276"/>
      <c r="E53" s="233"/>
      <c r="F53" s="233"/>
      <c r="G53" s="233"/>
      <c r="H53" s="233"/>
      <c r="I53" s="233"/>
      <c r="J53" s="233"/>
      <c r="K53" s="233"/>
      <c r="L53" s="233"/>
      <c r="M53" s="233"/>
      <c r="N53" s="233"/>
      <c r="O53" s="233"/>
      <c r="P53" s="233"/>
      <c r="Q53" s="233"/>
      <c r="R53" s="233"/>
      <c r="S53" s="226"/>
      <c r="T53" s="226"/>
      <c r="U53" s="226"/>
      <c r="V53" s="226"/>
      <c r="W53" s="226"/>
      <c r="X53" s="226"/>
      <c r="Y53" s="226"/>
      <c r="Z53" s="226"/>
      <c r="AA53" s="226"/>
      <c r="AB53" s="226"/>
      <c r="AC53" s="226"/>
      <c r="AD53" s="226"/>
      <c r="AE53" s="229">
        <v>0</v>
      </c>
      <c r="AF53" s="665">
        <v>-7.9610000000000003</v>
      </c>
      <c r="AG53" s="665">
        <v>0</v>
      </c>
      <c r="AH53" s="665">
        <v>0</v>
      </c>
      <c r="AI53" s="665">
        <v>0</v>
      </c>
      <c r="AJ53" s="665">
        <v>-8.1549999999999994</v>
      </c>
      <c r="AK53" s="665">
        <v>0</v>
      </c>
      <c r="AL53" s="665">
        <v>0</v>
      </c>
      <c r="AM53" s="665">
        <v>0</v>
      </c>
      <c r="AN53" s="665">
        <v>-21.645</v>
      </c>
    </row>
    <row r="54" spans="2:40" ht="29.15" customHeight="1" x14ac:dyDescent="0.35">
      <c r="B54" s="570" t="s">
        <v>478</v>
      </c>
      <c r="C54" s="370"/>
      <c r="D54" s="719"/>
      <c r="E54" s="568"/>
      <c r="F54" s="568"/>
      <c r="G54" s="568"/>
      <c r="H54" s="568"/>
      <c r="I54" s="568"/>
      <c r="J54" s="568">
        <f t="shared" ref="J54:AD54" si="23">J52-$H52</f>
        <v>51.376000000000005</v>
      </c>
      <c r="K54" s="568">
        <f t="shared" si="23"/>
        <v>51.594999999999999</v>
      </c>
      <c r="L54" s="568">
        <f t="shared" si="23"/>
        <v>52.314999999999998</v>
      </c>
      <c r="M54" s="568">
        <f t="shared" si="23"/>
        <v>91.496000000000009</v>
      </c>
      <c r="N54" s="568">
        <f>N52-$H52</f>
        <v>101.05500000000001</v>
      </c>
      <c r="O54" s="568">
        <f>O52-$H52</f>
        <v>94.312000000000012</v>
      </c>
      <c r="P54" s="568">
        <f t="shared" si="23"/>
        <v>100.649</v>
      </c>
      <c r="Q54" s="568">
        <f t="shared" si="23"/>
        <v>77.259999999999991</v>
      </c>
      <c r="R54" s="568">
        <f t="shared" si="23"/>
        <v>74.057999999999993</v>
      </c>
      <c r="S54" s="287">
        <f t="shared" si="23"/>
        <v>71.070000000000007</v>
      </c>
      <c r="T54" s="287">
        <f t="shared" si="23"/>
        <v>92.13900000000001</v>
      </c>
      <c r="U54" s="287">
        <f t="shared" si="23"/>
        <v>84.11699999999999</v>
      </c>
      <c r="V54" s="287">
        <f t="shared" si="23"/>
        <v>52.400000000000006</v>
      </c>
      <c r="W54" s="287">
        <f t="shared" si="23"/>
        <v>52.00500000000001</v>
      </c>
      <c r="X54" s="287">
        <f t="shared" si="23"/>
        <v>39.198999999999998</v>
      </c>
      <c r="Y54" s="287">
        <f t="shared" si="23"/>
        <v>37.716999999999999</v>
      </c>
      <c r="Z54" s="287">
        <f t="shared" si="23"/>
        <v>41.829000000000008</v>
      </c>
      <c r="AA54" s="287">
        <f t="shared" si="23"/>
        <v>48.499000000000009</v>
      </c>
      <c r="AB54" s="287">
        <f t="shared" si="23"/>
        <v>44.225000000000009</v>
      </c>
      <c r="AC54" s="287">
        <f t="shared" si="23"/>
        <v>40.975000000000009</v>
      </c>
      <c r="AD54" s="287">
        <f t="shared" si="23"/>
        <v>38.519000000000005</v>
      </c>
      <c r="AE54" s="672"/>
      <c r="AF54" s="672"/>
      <c r="AG54" s="672"/>
      <c r="AH54" s="672"/>
      <c r="AI54" s="672"/>
      <c r="AJ54" s="672"/>
      <c r="AK54" s="672"/>
      <c r="AL54" s="672"/>
      <c r="AM54" s="672"/>
      <c r="AN54" s="672"/>
    </row>
    <row r="55" spans="2:40" ht="29.15" customHeight="1" x14ac:dyDescent="0.35">
      <c r="B55" s="249"/>
      <c r="C55" s="249"/>
      <c r="D55" s="233"/>
      <c r="E55" s="233"/>
      <c r="F55" s="233"/>
      <c r="G55" s="233"/>
      <c r="H55" s="233"/>
      <c r="I55" s="233"/>
      <c r="J55" s="233"/>
      <c r="K55" s="233"/>
      <c r="L55" s="233"/>
      <c r="M55" s="233"/>
      <c r="N55" s="233"/>
      <c r="O55" s="233"/>
      <c r="P55" s="233"/>
      <c r="Q55" s="233" t="s">
        <v>1997</v>
      </c>
      <c r="R55" s="233"/>
      <c r="S55" s="233"/>
      <c r="T55" s="233"/>
      <c r="U55" s="233" t="s">
        <v>1995</v>
      </c>
      <c r="V55" s="233"/>
      <c r="W55" s="233" t="s">
        <v>1996</v>
      </c>
      <c r="X55" s="233"/>
      <c r="Y55" s="233"/>
      <c r="Z55" s="233"/>
      <c r="AA55" s="233"/>
      <c r="AB55" s="233"/>
      <c r="AC55" s="233"/>
    </row>
    <row r="56" spans="2:40" ht="29.15" customHeight="1" x14ac:dyDescent="0.35">
      <c r="B56" s="249"/>
      <c r="C56" s="249"/>
      <c r="D56" s="233"/>
      <c r="E56" s="233"/>
      <c r="F56" s="233"/>
      <c r="G56" s="233"/>
      <c r="H56" s="233"/>
      <c r="I56" s="233"/>
      <c r="J56" s="233"/>
      <c r="K56" s="233"/>
      <c r="L56" s="233"/>
      <c r="M56" s="233"/>
      <c r="N56" s="233"/>
      <c r="O56" s="233"/>
      <c r="P56" s="233"/>
      <c r="Q56" s="233">
        <f>SUM(P52:S52)</f>
        <v>540.20100000000002</v>
      </c>
      <c r="R56" s="233"/>
      <c r="S56" s="233"/>
      <c r="T56" s="233"/>
      <c r="U56" s="233">
        <f>SUM(T52:W52)</f>
        <v>497.82499999999999</v>
      </c>
      <c r="V56" s="233"/>
      <c r="W56">
        <v>112</v>
      </c>
      <c r="X56" s="233"/>
      <c r="Y56" s="233"/>
      <c r="Z56" s="233"/>
      <c r="AA56" s="233"/>
      <c r="AB56" s="233"/>
      <c r="AC56" s="233"/>
    </row>
    <row r="57" spans="2:40" ht="29.15" customHeight="1" x14ac:dyDescent="0.35">
      <c r="B57" s="249"/>
      <c r="C57" s="249"/>
      <c r="D57" s="233"/>
      <c r="E57" s="233"/>
      <c r="F57" s="233"/>
      <c r="G57" s="233"/>
      <c r="H57" s="233"/>
      <c r="I57" s="233"/>
      <c r="J57" s="233"/>
      <c r="K57" s="233"/>
      <c r="L57" s="233"/>
      <c r="M57" s="233"/>
      <c r="N57" s="233"/>
      <c r="O57" s="233"/>
      <c r="P57" s="233"/>
      <c r="Q57" s="233"/>
      <c r="R57" s="233"/>
      <c r="S57" s="233"/>
      <c r="T57" s="233"/>
      <c r="U57" s="233"/>
      <c r="V57" s="233"/>
      <c r="W57" s="233"/>
      <c r="X57" s="233"/>
      <c r="Y57" s="233"/>
      <c r="Z57" s="233"/>
      <c r="AA57" s="233"/>
      <c r="AB57" s="233"/>
      <c r="AC57" s="233"/>
    </row>
    <row r="58" spans="2:40" ht="35.9" customHeight="1" x14ac:dyDescent="0.35"/>
    <row r="59" spans="2:40" x14ac:dyDescent="0.35">
      <c r="B59" s="529" t="s">
        <v>364</v>
      </c>
    </row>
    <row r="60" spans="2:40" x14ac:dyDescent="0.35">
      <c r="B60" s="1413" t="s">
        <v>802</v>
      </c>
      <c r="C60" s="1414"/>
      <c r="D60" s="1333" t="s">
        <v>279</v>
      </c>
      <c r="E60" s="1333"/>
      <c r="F60" s="1333"/>
      <c r="G60" s="1333"/>
      <c r="H60" s="1333"/>
      <c r="I60" s="1333"/>
      <c r="J60" s="1333"/>
      <c r="K60" s="1333"/>
      <c r="L60" s="1333"/>
      <c r="M60" s="1333"/>
      <c r="N60" s="1333"/>
      <c r="O60" s="1333"/>
      <c r="P60" s="1333"/>
      <c r="Q60" s="1333"/>
      <c r="R60" s="1333"/>
      <c r="S60" s="1333"/>
      <c r="T60" s="1333"/>
      <c r="U60" s="1333"/>
      <c r="V60" s="1333"/>
      <c r="W60" s="1333"/>
      <c r="X60" s="1333"/>
      <c r="Y60" s="1333"/>
      <c r="Z60" s="1333"/>
      <c r="AA60" s="1333"/>
      <c r="AB60" s="1333"/>
      <c r="AC60" s="1350" t="s">
        <v>280</v>
      </c>
      <c r="AD60" s="1331"/>
      <c r="AE60" s="1331"/>
      <c r="AF60" s="1331"/>
      <c r="AG60" s="1331"/>
      <c r="AH60" s="1331"/>
      <c r="AI60" s="1331"/>
      <c r="AJ60" s="1331"/>
      <c r="AK60" s="1331"/>
      <c r="AL60" s="1331"/>
      <c r="AM60" s="1331"/>
      <c r="AN60" s="1332"/>
    </row>
    <row r="61" spans="2:40" x14ac:dyDescent="0.35">
      <c r="B61" s="1415"/>
      <c r="C61" s="1416"/>
      <c r="D61" s="296">
        <v>2018</v>
      </c>
      <c r="E61" s="1342">
        <v>2019</v>
      </c>
      <c r="F61" s="1343"/>
      <c r="G61" s="1343"/>
      <c r="H61" s="1344"/>
      <c r="I61" s="1342">
        <v>2020</v>
      </c>
      <c r="J61" s="1343"/>
      <c r="K61" s="1343"/>
      <c r="L61" s="1343"/>
      <c r="M61" s="1342">
        <v>2021</v>
      </c>
      <c r="N61" s="1343"/>
      <c r="O61" s="1343"/>
      <c r="P61" s="1343"/>
      <c r="Q61" s="1342">
        <v>2022</v>
      </c>
      <c r="R61" s="1354"/>
      <c r="S61" s="1354"/>
      <c r="T61" s="1344"/>
      <c r="U61" s="302"/>
      <c r="V61" s="442">
        <v>2023</v>
      </c>
      <c r="W61" s="442"/>
      <c r="X61" s="309"/>
      <c r="Y61" s="460"/>
      <c r="Z61" s="442">
        <v>2024</v>
      </c>
      <c r="AA61" s="302"/>
      <c r="AB61" s="309"/>
      <c r="AC61" s="1329">
        <v>2025</v>
      </c>
      <c r="AD61" s="1335"/>
      <c r="AE61" s="1335"/>
      <c r="AF61" s="1334"/>
      <c r="AG61" s="1329">
        <v>2026</v>
      </c>
      <c r="AH61" s="1335"/>
      <c r="AI61" s="1335"/>
      <c r="AJ61" s="1334"/>
      <c r="AK61" s="1329">
        <v>2027</v>
      </c>
      <c r="AL61" s="1335"/>
      <c r="AM61" s="1335"/>
      <c r="AN61" s="1334"/>
    </row>
    <row r="62" spans="2:40" x14ac:dyDescent="0.35">
      <c r="B62" s="1415"/>
      <c r="C62" s="1416"/>
      <c r="D62" s="225" t="s">
        <v>281</v>
      </c>
      <c r="E62" s="225" t="s">
        <v>282</v>
      </c>
      <c r="F62" s="226" t="s">
        <v>283</v>
      </c>
      <c r="G62" s="226" t="s">
        <v>238</v>
      </c>
      <c r="H62" s="232" t="s">
        <v>281</v>
      </c>
      <c r="I62" s="226" t="s">
        <v>282</v>
      </c>
      <c r="J62" s="226" t="s">
        <v>283</v>
      </c>
      <c r="K62" s="226" t="s">
        <v>238</v>
      </c>
      <c r="L62" s="226" t="s">
        <v>281</v>
      </c>
      <c r="M62" s="225" t="s">
        <v>282</v>
      </c>
      <c r="N62" s="226" t="s">
        <v>283</v>
      </c>
      <c r="O62" s="226" t="s">
        <v>238</v>
      </c>
      <c r="P62" s="226" t="s">
        <v>281</v>
      </c>
      <c r="Q62" s="225" t="s">
        <v>282</v>
      </c>
      <c r="R62" s="226" t="s">
        <v>283</v>
      </c>
      <c r="S62" s="226" t="s">
        <v>238</v>
      </c>
      <c r="T62" s="232" t="s">
        <v>281</v>
      </c>
      <c r="U62" s="226" t="s">
        <v>282</v>
      </c>
      <c r="V62" s="287" t="s">
        <v>283</v>
      </c>
      <c r="W62" s="287" t="s">
        <v>238</v>
      </c>
      <c r="X62" s="285" t="s">
        <v>281</v>
      </c>
      <c r="Y62" s="286" t="s">
        <v>282</v>
      </c>
      <c r="Z62" s="292" t="s">
        <v>283</v>
      </c>
      <c r="AA62" s="287" t="s">
        <v>238</v>
      </c>
      <c r="AB62" s="287" t="s">
        <v>281</v>
      </c>
      <c r="AC62" s="286" t="s">
        <v>282</v>
      </c>
      <c r="AD62" s="292" t="s">
        <v>283</v>
      </c>
      <c r="AE62" s="273" t="s">
        <v>238</v>
      </c>
      <c r="AF62" s="273" t="s">
        <v>281</v>
      </c>
      <c r="AG62" s="299" t="s">
        <v>282</v>
      </c>
      <c r="AH62" s="271" t="s">
        <v>283</v>
      </c>
      <c r="AI62" s="273" t="s">
        <v>238</v>
      </c>
      <c r="AJ62" s="301" t="s">
        <v>281</v>
      </c>
      <c r="AK62" s="299" t="s">
        <v>282</v>
      </c>
      <c r="AL62" s="271" t="s">
        <v>283</v>
      </c>
      <c r="AM62" s="273" t="s">
        <v>238</v>
      </c>
      <c r="AN62" s="301" t="s">
        <v>281</v>
      </c>
    </row>
    <row r="63" spans="2:40" ht="25.75" customHeight="1" x14ac:dyDescent="0.35">
      <c r="B63" s="686" t="s">
        <v>465</v>
      </c>
      <c r="C63" s="667" t="s">
        <v>466</v>
      </c>
      <c r="D63" s="377">
        <f>'Haver Pivoted'!GO31</f>
        <v>2223</v>
      </c>
      <c r="E63" s="378">
        <f>'Haver Pivoted'!GP31</f>
        <v>2303.8000000000002</v>
      </c>
      <c r="F63" s="378">
        <f>'Haver Pivoted'!GQ31</f>
        <v>2321.6999999999998</v>
      </c>
      <c r="G63" s="378">
        <f>'Haver Pivoted'!GR31</f>
        <v>2337.1</v>
      </c>
      <c r="H63" s="378">
        <f>'Haver Pivoted'!GS31</f>
        <v>2349.5</v>
      </c>
      <c r="I63" s="378">
        <f>'Haver Pivoted'!GT31</f>
        <v>2414.4</v>
      </c>
      <c r="J63" s="378">
        <f>'Haver Pivoted'!GU31</f>
        <v>4654.1000000000004</v>
      </c>
      <c r="K63" s="378">
        <f>'Haver Pivoted'!GV31</f>
        <v>3504.7</v>
      </c>
      <c r="L63" s="378">
        <f>'Haver Pivoted'!GW31</f>
        <v>2888.4</v>
      </c>
      <c r="M63" s="378">
        <f>'Haver Pivoted'!GX31</f>
        <v>5138.1000000000004</v>
      </c>
      <c r="N63" s="378">
        <f>'Haver Pivoted'!GY31</f>
        <v>3397.8</v>
      </c>
      <c r="O63" s="378">
        <f>'Haver Pivoted'!GZ31</f>
        <v>3124.9</v>
      </c>
      <c r="P63" s="378">
        <f>'Haver Pivoted'!HA31</f>
        <v>2952.6</v>
      </c>
      <c r="Q63" s="378">
        <f>'Haver Pivoted'!HB31</f>
        <v>2970.9</v>
      </c>
      <c r="R63" s="378">
        <f>'Haver Pivoted'!HC31</f>
        <v>2976.2</v>
      </c>
      <c r="S63" s="379">
        <f>'Haver Pivoted'!HD31</f>
        <v>2970.4</v>
      </c>
      <c r="T63" s="694">
        <f>'Haver Pivoted'!HE31</f>
        <v>3024.4</v>
      </c>
      <c r="U63" s="379">
        <f>'Haver Pivoted'!HF31</f>
        <v>3038.4</v>
      </c>
      <c r="V63" s="379">
        <f>'Haver Pivoted'!HG31</f>
        <v>3049.1</v>
      </c>
      <c r="W63" s="379">
        <f>'Haver Pivoted'!HH31</f>
        <v>3078</v>
      </c>
      <c r="X63" s="379">
        <f>'Haver Pivoted'!HI31</f>
        <v>3095.6</v>
      </c>
      <c r="Y63" s="379">
        <f>'Haver Pivoted'!HJ31</f>
        <v>3201.1</v>
      </c>
      <c r="Z63" s="379">
        <f>'Haver Pivoted'!HK31</f>
        <v>3243.1</v>
      </c>
      <c r="AA63" s="379">
        <f>'Haver Pivoted'!HL31</f>
        <v>3283.8</v>
      </c>
      <c r="AB63" s="379">
        <f>'Haver Pivoted'!HM31</f>
        <v>3328.6</v>
      </c>
      <c r="AC63" s="379">
        <f>'Haver Pivoted'!HN31</f>
        <v>3452.4</v>
      </c>
      <c r="AD63" s="379">
        <f>'Haver Pivoted'!HO31</f>
        <v>3574.9</v>
      </c>
      <c r="AE63" s="724"/>
      <c r="AF63" s="724"/>
      <c r="AG63" s="229"/>
      <c r="AH63" s="229"/>
      <c r="AI63" s="229"/>
      <c r="AJ63" s="229"/>
      <c r="AK63" s="229"/>
      <c r="AL63" s="229"/>
      <c r="AM63" s="229"/>
      <c r="AN63" s="229"/>
    </row>
    <row r="64" spans="2:40" ht="37" customHeight="1" x14ac:dyDescent="0.35">
      <c r="B64" s="494" t="s">
        <v>1841</v>
      </c>
      <c r="C64" s="249"/>
      <c r="D64" s="717">
        <f t="shared" ref="D64:AD64" si="24">D65+D66</f>
        <v>1795.961</v>
      </c>
      <c r="E64" s="462">
        <f t="shared" si="24"/>
        <v>1852.29</v>
      </c>
      <c r="F64" s="462">
        <f t="shared" si="24"/>
        <v>1872.5039999999999</v>
      </c>
      <c r="G64" s="462">
        <f t="shared" si="24"/>
        <v>1888.817</v>
      </c>
      <c r="H64" s="462">
        <f t="shared" si="24"/>
        <v>1901.3610000000001</v>
      </c>
      <c r="I64" s="462">
        <f t="shared" si="24"/>
        <v>1947.1130000000001</v>
      </c>
      <c r="J64" s="462">
        <f t="shared" si="24"/>
        <v>4218.03</v>
      </c>
      <c r="K64" s="462">
        <f t="shared" si="24"/>
        <v>2943.6149999999998</v>
      </c>
      <c r="L64" s="462">
        <f t="shared" si="24"/>
        <v>2395.489</v>
      </c>
      <c r="M64" s="462">
        <f t="shared" si="24"/>
        <v>4636.6129999999994</v>
      </c>
      <c r="N64" s="462">
        <f t="shared" si="24"/>
        <v>2922.4958400000005</v>
      </c>
      <c r="O64" s="462">
        <f t="shared" si="24"/>
        <v>2654.1424933333333</v>
      </c>
      <c r="P64" s="462">
        <f t="shared" si="24"/>
        <v>2504.2113333333327</v>
      </c>
      <c r="Q64" s="462">
        <f t="shared" si="24"/>
        <v>2411.067</v>
      </c>
      <c r="R64" s="462">
        <f t="shared" si="24"/>
        <v>2415.8760000000002</v>
      </c>
      <c r="S64" s="690">
        <f t="shared" si="24"/>
        <v>2420.1840000000002</v>
      </c>
      <c r="T64" s="690">
        <f t="shared" si="24"/>
        <v>2454.2429999999999</v>
      </c>
      <c r="U64" s="690">
        <f t="shared" si="24"/>
        <v>2504.1059999999998</v>
      </c>
      <c r="V64" s="690">
        <f t="shared" si="24"/>
        <v>2507.328</v>
      </c>
      <c r="W64" s="690">
        <f t="shared" si="24"/>
        <v>2532.473</v>
      </c>
      <c r="X64" s="690">
        <f t="shared" si="24"/>
        <v>2538.5</v>
      </c>
      <c r="Y64" s="690">
        <f t="shared" si="24"/>
        <v>2603.0830000000001</v>
      </c>
      <c r="Z64" s="690">
        <f t="shared" si="24"/>
        <v>2638.2780000000002</v>
      </c>
      <c r="AA64" s="690">
        <f t="shared" si="24"/>
        <v>2682.2550000000001</v>
      </c>
      <c r="AB64" s="690">
        <f t="shared" si="24"/>
        <v>2721.2889999999998</v>
      </c>
      <c r="AC64" s="690">
        <f t="shared" si="24"/>
        <v>2810.4119999999998</v>
      </c>
      <c r="AD64" s="690">
        <f t="shared" si="24"/>
        <v>2917.069</v>
      </c>
      <c r="AE64" s="674"/>
      <c r="AF64" s="674"/>
      <c r="AG64" s="229"/>
      <c r="AH64" s="229"/>
      <c r="AI64" s="229"/>
      <c r="AJ64" s="229"/>
      <c r="AK64" s="229"/>
      <c r="AL64" s="229"/>
      <c r="AM64" s="229"/>
      <c r="AN64" s="229"/>
    </row>
    <row r="65" spans="2:40" ht="25.75" customHeight="1" x14ac:dyDescent="0.35">
      <c r="B65" s="432" t="s">
        <v>1839</v>
      </c>
      <c r="C65" s="249"/>
      <c r="D65" s="717">
        <f t="shared" ref="D65:AD65" si="25">D14+D17+D26</f>
        <v>812.1</v>
      </c>
      <c r="E65" s="717">
        <f t="shared" si="25"/>
        <v>833.1</v>
      </c>
      <c r="F65" s="462">
        <f t="shared" si="25"/>
        <v>845.8</v>
      </c>
      <c r="G65" s="462">
        <f t="shared" si="25"/>
        <v>854.4</v>
      </c>
      <c r="H65" s="462">
        <f t="shared" si="25"/>
        <v>858.7</v>
      </c>
      <c r="I65" s="462">
        <f t="shared" si="25"/>
        <v>872</v>
      </c>
      <c r="J65" s="462">
        <f t="shared" si="25"/>
        <v>1795.8</v>
      </c>
      <c r="K65" s="462">
        <f t="shared" si="25"/>
        <v>1656.8</v>
      </c>
      <c r="L65" s="462">
        <f t="shared" si="25"/>
        <v>1191.7</v>
      </c>
      <c r="M65" s="462">
        <f t="shared" si="25"/>
        <v>1473.1</v>
      </c>
      <c r="N65" s="462">
        <f t="shared" si="25"/>
        <v>1346.4</v>
      </c>
      <c r="O65" s="462">
        <f t="shared" si="25"/>
        <v>1318.833333333333</v>
      </c>
      <c r="P65" s="462">
        <f t="shared" si="25"/>
        <v>1157.333333333333</v>
      </c>
      <c r="Q65" s="462">
        <f t="shared" si="25"/>
        <v>1036.4000000000001</v>
      </c>
      <c r="R65" s="462">
        <f t="shared" si="25"/>
        <v>1042.6000000000001</v>
      </c>
      <c r="S65" s="690">
        <f t="shared" si="25"/>
        <v>1054.8</v>
      </c>
      <c r="T65" s="690">
        <f t="shared" si="25"/>
        <v>1078.7</v>
      </c>
      <c r="U65" s="690">
        <f t="shared" si="25"/>
        <v>1045.2</v>
      </c>
      <c r="V65" s="690">
        <f t="shared" si="25"/>
        <v>1066.76</v>
      </c>
      <c r="W65" s="690">
        <f t="shared" si="25"/>
        <v>1084.8599999999999</v>
      </c>
      <c r="X65" s="690">
        <f t="shared" si="25"/>
        <v>1104.5999999999999</v>
      </c>
      <c r="Y65" s="690">
        <f t="shared" si="25"/>
        <v>1118.1000000000001</v>
      </c>
      <c r="Z65" s="690">
        <f t="shared" si="25"/>
        <v>1136</v>
      </c>
      <c r="AA65" s="690">
        <f t="shared" si="25"/>
        <v>1159.9000000000001</v>
      </c>
      <c r="AB65" s="690">
        <f t="shared" si="25"/>
        <v>1188.5999999999999</v>
      </c>
      <c r="AC65" s="690">
        <f t="shared" si="25"/>
        <v>1220.0999999999999</v>
      </c>
      <c r="AD65" s="690">
        <f t="shared" si="25"/>
        <v>1252.8</v>
      </c>
      <c r="AE65" s="674"/>
      <c r="AF65" s="674"/>
      <c r="AG65" s="674"/>
      <c r="AH65" s="674"/>
      <c r="AI65" s="674"/>
      <c r="AJ65" s="674"/>
      <c r="AK65" s="674"/>
      <c r="AL65" s="674"/>
      <c r="AM65" s="674"/>
      <c r="AN65" s="674"/>
    </row>
    <row r="66" spans="2:40" ht="49.5" customHeight="1" x14ac:dyDescent="0.35">
      <c r="B66" s="432" t="s">
        <v>2330</v>
      </c>
      <c r="C66" s="249"/>
      <c r="D66" s="462">
        <f t="shared" ref="D66:AN66" si="26">D19+D22+D23+D24+D25+D27+D29+D68</f>
        <v>983.86099999999999</v>
      </c>
      <c r="E66" s="462">
        <f t="shared" si="26"/>
        <v>1019.19</v>
      </c>
      <c r="F66" s="462">
        <f t="shared" si="26"/>
        <v>1026.704</v>
      </c>
      <c r="G66" s="462">
        <f t="shared" si="26"/>
        <v>1034.4169999999999</v>
      </c>
      <c r="H66" s="462">
        <f t="shared" si="26"/>
        <v>1042.6610000000001</v>
      </c>
      <c r="I66" s="462">
        <f t="shared" si="26"/>
        <v>1075.1130000000001</v>
      </c>
      <c r="J66" s="462">
        <f t="shared" si="26"/>
        <v>2422.23</v>
      </c>
      <c r="K66" s="462">
        <f t="shared" si="26"/>
        <v>1286.8150000000001</v>
      </c>
      <c r="L66" s="462">
        <f t="shared" si="26"/>
        <v>1203.789</v>
      </c>
      <c r="M66" s="462">
        <f t="shared" si="26"/>
        <v>3163.5129999999999</v>
      </c>
      <c r="N66" s="462">
        <f t="shared" si="26"/>
        <v>1576.0958400000002</v>
      </c>
      <c r="O66" s="462">
        <f t="shared" si="26"/>
        <v>1335.3091600000002</v>
      </c>
      <c r="P66" s="462">
        <f t="shared" si="26"/>
        <v>1346.8779999999999</v>
      </c>
      <c r="Q66" s="462">
        <f t="shared" si="26"/>
        <v>1374.6669999999999</v>
      </c>
      <c r="R66" s="462">
        <f t="shared" si="26"/>
        <v>1373.2760000000001</v>
      </c>
      <c r="S66" s="462">
        <f t="shared" si="26"/>
        <v>1365.384</v>
      </c>
      <c r="T66" s="462">
        <f t="shared" si="26"/>
        <v>1375.5429999999999</v>
      </c>
      <c r="U66" s="462">
        <f t="shared" si="26"/>
        <v>1458.9059999999999</v>
      </c>
      <c r="V66" s="462">
        <f t="shared" si="26"/>
        <v>1440.568</v>
      </c>
      <c r="W66" s="462">
        <f t="shared" si="26"/>
        <v>1447.6130000000001</v>
      </c>
      <c r="X66" s="462">
        <f t="shared" si="26"/>
        <v>1433.8999999999999</v>
      </c>
      <c r="Y66" s="462">
        <f t="shared" si="26"/>
        <v>1484.9829999999999</v>
      </c>
      <c r="Z66" s="462">
        <f t="shared" si="26"/>
        <v>1502.278</v>
      </c>
      <c r="AA66" s="462">
        <f t="shared" si="26"/>
        <v>1522.355</v>
      </c>
      <c r="AB66" s="462">
        <f t="shared" si="26"/>
        <v>1532.6889999999999</v>
      </c>
      <c r="AC66" s="462">
        <f t="shared" si="26"/>
        <v>1590.3119999999999</v>
      </c>
      <c r="AD66" s="462">
        <f t="shared" si="26"/>
        <v>1664.269</v>
      </c>
      <c r="AE66" s="462">
        <f t="shared" si="26"/>
        <v>1668.269</v>
      </c>
      <c r="AF66" s="462">
        <f t="shared" si="26"/>
        <v>1655.2280000000001</v>
      </c>
      <c r="AG66" s="462">
        <f t="shared" si="26"/>
        <v>1703.3776459999999</v>
      </c>
      <c r="AH66" s="462">
        <f t="shared" si="26"/>
        <v>1715.6496459999998</v>
      </c>
      <c r="AI66" s="462">
        <f t="shared" si="26"/>
        <v>1728.6496459999998</v>
      </c>
      <c r="AJ66" s="462">
        <f t="shared" si="26"/>
        <v>1733.4946459999999</v>
      </c>
      <c r="AK66" s="462">
        <f t="shared" si="26"/>
        <v>1785.859436858</v>
      </c>
      <c r="AL66" s="462">
        <f t="shared" si="26"/>
        <v>1798.859436858</v>
      </c>
      <c r="AM66" s="462">
        <f t="shared" si="26"/>
        <v>1811.859436858</v>
      </c>
      <c r="AN66" s="462">
        <f t="shared" si="26"/>
        <v>1803.214436858</v>
      </c>
    </row>
    <row r="67" spans="2:40" ht="25.75" customHeight="1" x14ac:dyDescent="0.35">
      <c r="B67" s="494" t="s">
        <v>799</v>
      </c>
      <c r="C67" s="249"/>
      <c r="D67" s="690">
        <f>D63-D64</f>
        <v>427.03899999999999</v>
      </c>
      <c r="E67" s="690">
        <f t="shared" ref="E67:AC67" si="27">E63-E64</f>
        <v>451.51000000000022</v>
      </c>
      <c r="F67" s="690">
        <f t="shared" si="27"/>
        <v>449.19599999999991</v>
      </c>
      <c r="G67" s="690">
        <f t="shared" si="27"/>
        <v>448.2829999999999</v>
      </c>
      <c r="H67" s="690">
        <f t="shared" si="27"/>
        <v>448.1389999999999</v>
      </c>
      <c r="I67" s="690">
        <f t="shared" si="27"/>
        <v>467.28700000000003</v>
      </c>
      <c r="J67" s="690">
        <f t="shared" si="27"/>
        <v>436.07000000000062</v>
      </c>
      <c r="K67" s="690">
        <f t="shared" si="27"/>
        <v>561.08500000000004</v>
      </c>
      <c r="L67" s="690">
        <f t="shared" si="27"/>
        <v>492.91100000000006</v>
      </c>
      <c r="M67" s="690">
        <f t="shared" si="27"/>
        <v>501.48700000000099</v>
      </c>
      <c r="N67" s="690">
        <f t="shared" si="27"/>
        <v>475.30415999999968</v>
      </c>
      <c r="O67" s="690">
        <f t="shared" si="27"/>
        <v>470.75750666666681</v>
      </c>
      <c r="P67" s="690">
        <f t="shared" si="27"/>
        <v>448.38866666666718</v>
      </c>
      <c r="Q67" s="690">
        <f t="shared" si="27"/>
        <v>559.83300000000008</v>
      </c>
      <c r="R67" s="690">
        <f t="shared" si="27"/>
        <v>560.32399999999961</v>
      </c>
      <c r="S67" s="690">
        <f t="shared" si="27"/>
        <v>550.21599999999989</v>
      </c>
      <c r="T67" s="690">
        <f t="shared" si="27"/>
        <v>570.15700000000015</v>
      </c>
      <c r="U67" s="690">
        <f t="shared" si="27"/>
        <v>534.29400000000032</v>
      </c>
      <c r="V67" s="690">
        <f t="shared" si="27"/>
        <v>541.77199999999993</v>
      </c>
      <c r="W67" s="690">
        <f t="shared" si="27"/>
        <v>545.52700000000004</v>
      </c>
      <c r="X67" s="690">
        <f t="shared" si="27"/>
        <v>557.09999999999991</v>
      </c>
      <c r="Y67" s="690">
        <f t="shared" si="27"/>
        <v>598.01699999999983</v>
      </c>
      <c r="Z67" s="690">
        <f t="shared" si="27"/>
        <v>604.82199999999966</v>
      </c>
      <c r="AA67" s="690">
        <f t="shared" si="27"/>
        <v>601.54500000000007</v>
      </c>
      <c r="AB67" s="690">
        <f t="shared" si="27"/>
        <v>607.31100000000015</v>
      </c>
      <c r="AC67" s="690">
        <f t="shared" si="27"/>
        <v>641.98800000000028</v>
      </c>
      <c r="AD67" s="690">
        <f>AD63-AD64</f>
        <v>657.83100000000013</v>
      </c>
      <c r="AE67" s="674">
        <f>AD67*1.005</f>
        <v>661.12015500000007</v>
      </c>
      <c r="AF67" s="674">
        <f t="shared" ref="AF67:AN67" si="28">AE67*1.005</f>
        <v>664.42575577499997</v>
      </c>
      <c r="AG67" s="674">
        <f t="shared" si="28"/>
        <v>667.74788455387488</v>
      </c>
      <c r="AH67" s="674">
        <f t="shared" si="28"/>
        <v>671.0866239766442</v>
      </c>
      <c r="AI67" s="674">
        <f t="shared" si="28"/>
        <v>674.44205709652738</v>
      </c>
      <c r="AJ67" s="674">
        <f t="shared" si="28"/>
        <v>677.81426738200992</v>
      </c>
      <c r="AK67" s="674">
        <f t="shared" si="28"/>
        <v>681.20333871891989</v>
      </c>
      <c r="AL67" s="674">
        <f t="shared" si="28"/>
        <v>684.60935541251445</v>
      </c>
      <c r="AM67" s="674">
        <f t="shared" si="28"/>
        <v>688.03240218957694</v>
      </c>
      <c r="AN67" s="674">
        <f t="shared" si="28"/>
        <v>691.47256420052474</v>
      </c>
    </row>
    <row r="68" spans="2:40" ht="17.5" customHeight="1" x14ac:dyDescent="0.35">
      <c r="B68" s="571" t="s">
        <v>473</v>
      </c>
      <c r="C68" s="249" t="s">
        <v>474</v>
      </c>
      <c r="D68" s="717">
        <f>'Haver Pivoted'!GO88/1000</f>
        <v>983.86099999999999</v>
      </c>
      <c r="E68" s="462">
        <f>'Haver Pivoted'!GP88/1000</f>
        <v>1019.19</v>
      </c>
      <c r="F68" s="462">
        <f>'Haver Pivoted'!GQ88/1000</f>
        <v>1026.704</v>
      </c>
      <c r="G68" s="462">
        <f>'Haver Pivoted'!GR88/1000</f>
        <v>1034.4169999999999</v>
      </c>
      <c r="H68" s="462">
        <f>'Haver Pivoted'!GS88/1000</f>
        <v>1042.6610000000001</v>
      </c>
      <c r="I68" s="462">
        <f>'Haver Pivoted'!GT88/1000</f>
        <v>1068.201</v>
      </c>
      <c r="J68" s="462">
        <f>'Haver Pivoted'!GU88/1000</f>
        <v>1075.075</v>
      </c>
      <c r="K68" s="462">
        <f>'Haver Pivoted'!GV88/1000</f>
        <v>1080.441</v>
      </c>
      <c r="L68" s="462">
        <f>'Haver Pivoted'!GW88/1000</f>
        <v>1087.9949999999999</v>
      </c>
      <c r="M68" s="462">
        <f>'Haver Pivoted'!GX88/1000</f>
        <v>1105.6379999999999</v>
      </c>
      <c r="N68" s="462">
        <f>'Haver Pivoted'!GY88/1000</f>
        <v>1109.6400000000001</v>
      </c>
      <c r="O68" s="462">
        <f>'Haver Pivoted'!GZ88/1000</f>
        <v>1116.9480000000001</v>
      </c>
      <c r="P68" s="462">
        <f>'Haver Pivoted'!HA88/1000</f>
        <v>1126.174</v>
      </c>
      <c r="Q68" s="462">
        <f>'Haver Pivoted'!HB88/1000</f>
        <v>1198.452</v>
      </c>
      <c r="R68" s="462">
        <f>'Haver Pivoted'!HC88/1000</f>
        <v>1207.163</v>
      </c>
      <c r="S68" s="690">
        <f>'Haver Pivoted'!HD88/1000</f>
        <v>1214.7809999999999</v>
      </c>
      <c r="T68" s="690">
        <f>'Haver Pivoted'!HE88/1000</f>
        <v>1225.6189999999999</v>
      </c>
      <c r="U68" s="690">
        <f>'Haver Pivoted'!HF88/1000</f>
        <v>1339.904</v>
      </c>
      <c r="V68" s="690">
        <f>'Haver Pivoted'!HG88/1000</f>
        <v>1353.2829999999999</v>
      </c>
      <c r="W68" s="690">
        <f>'Haver Pivoted'!HH88/1000</f>
        <v>1360.723</v>
      </c>
      <c r="X68" s="690">
        <f>'Haver Pivoted'!HI88/1000</f>
        <v>1373.982</v>
      </c>
      <c r="Y68" s="690">
        <f>'Haver Pivoted'!HJ88/1000</f>
        <v>1426.547</v>
      </c>
      <c r="Z68" s="690">
        <f>'Haver Pivoted'!HK88/1000</f>
        <v>1439.73</v>
      </c>
      <c r="AA68" s="690">
        <f>'Haver Pivoted'!HL88/1000</f>
        <v>1453.1369999999999</v>
      </c>
      <c r="AB68" s="690">
        <f>'Haver Pivoted'!HM88/1000</f>
        <v>1467.9159999999999</v>
      </c>
      <c r="AC68" s="690">
        <f>'Haver Pivoted'!HN88/1000</f>
        <v>1528.789</v>
      </c>
      <c r="AD68" s="690">
        <f>'Haver Pivoted'!HO88/1000</f>
        <v>1605.202</v>
      </c>
      <c r="AE68" s="674">
        <f t="shared" ref="AE68:AN68" si="29">AD68+AE69</f>
        <v>1609.202</v>
      </c>
      <c r="AF68" s="674">
        <f t="shared" si="29"/>
        <v>1622.202</v>
      </c>
      <c r="AG68" s="674">
        <f t="shared" si="29"/>
        <v>1672.5126459999999</v>
      </c>
      <c r="AH68" s="674">
        <f t="shared" si="29"/>
        <v>1685.5126459999999</v>
      </c>
      <c r="AI68" s="674">
        <f t="shared" si="29"/>
        <v>1698.5126459999999</v>
      </c>
      <c r="AJ68" s="674">
        <f t="shared" si="29"/>
        <v>1711.5126459999999</v>
      </c>
      <c r="AK68" s="674">
        <f t="shared" si="29"/>
        <v>1763.877436858</v>
      </c>
      <c r="AL68" s="674">
        <f t="shared" si="29"/>
        <v>1776.877436858</v>
      </c>
      <c r="AM68" s="674">
        <f t="shared" si="29"/>
        <v>1789.877436858</v>
      </c>
      <c r="AN68" s="674">
        <f t="shared" si="29"/>
        <v>1802.877436858</v>
      </c>
    </row>
    <row r="69" spans="2:40" ht="17.5" customHeight="1" x14ac:dyDescent="0.35">
      <c r="B69" s="432" t="s">
        <v>1799</v>
      </c>
      <c r="C69" s="249"/>
      <c r="D69" s="717"/>
      <c r="E69" s="462"/>
      <c r="F69" s="462"/>
      <c r="G69" s="462"/>
      <c r="H69" s="462"/>
      <c r="I69" s="462"/>
      <c r="J69" s="462"/>
      <c r="K69" s="462"/>
      <c r="L69" s="462"/>
      <c r="M69" s="462"/>
      <c r="N69" s="462"/>
      <c r="O69" s="462"/>
      <c r="P69" s="462"/>
      <c r="Q69" s="462"/>
      <c r="R69" s="462"/>
      <c r="S69" s="690"/>
      <c r="T69" s="690"/>
      <c r="U69" s="690">
        <f t="shared" ref="U69:AN69" si="30">U71+U70</f>
        <v>114.62885299999998</v>
      </c>
      <c r="V69" s="462">
        <f t="shared" si="30"/>
        <v>8</v>
      </c>
      <c r="W69" s="462">
        <f t="shared" si="30"/>
        <v>11</v>
      </c>
      <c r="X69" s="674">
        <f t="shared" si="30"/>
        <v>14</v>
      </c>
      <c r="Y69" s="674">
        <f t="shared" si="30"/>
        <v>52.967424000000001</v>
      </c>
      <c r="Z69" s="674">
        <f t="shared" si="30"/>
        <v>13</v>
      </c>
      <c r="AA69" s="674">
        <f t="shared" si="30"/>
        <v>11</v>
      </c>
      <c r="AB69" s="674">
        <f t="shared" si="30"/>
        <v>14</v>
      </c>
      <c r="AC69" s="674">
        <f t="shared" si="30"/>
        <v>43.697899999999997</v>
      </c>
      <c r="AD69" s="674">
        <f t="shared" si="30"/>
        <v>68.28</v>
      </c>
      <c r="AE69" s="674">
        <f t="shared" si="30"/>
        <v>4</v>
      </c>
      <c r="AF69" s="674">
        <f t="shared" si="30"/>
        <v>13</v>
      </c>
      <c r="AG69" s="674">
        <f t="shared" si="30"/>
        <v>50.310645999999998</v>
      </c>
      <c r="AH69" s="674">
        <f t="shared" si="30"/>
        <v>13</v>
      </c>
      <c r="AI69" s="674">
        <f t="shared" si="30"/>
        <v>13</v>
      </c>
      <c r="AJ69" s="674">
        <f t="shared" si="30"/>
        <v>13</v>
      </c>
      <c r="AK69" s="674">
        <f t="shared" si="30"/>
        <v>52.364790857999999</v>
      </c>
      <c r="AL69" s="674">
        <f t="shared" si="30"/>
        <v>13</v>
      </c>
      <c r="AM69" s="674">
        <f t="shared" si="30"/>
        <v>13</v>
      </c>
      <c r="AN69" s="674">
        <f t="shared" si="30"/>
        <v>13</v>
      </c>
    </row>
    <row r="70" spans="2:40" ht="17.5" customHeight="1" x14ac:dyDescent="0.35">
      <c r="B70" s="424" t="s">
        <v>1802</v>
      </c>
      <c r="C70" s="249"/>
      <c r="D70" s="717"/>
      <c r="E70" s="462"/>
      <c r="F70" s="690"/>
      <c r="G70" s="690"/>
      <c r="H70" s="690"/>
      <c r="I70" s="690"/>
      <c r="J70" s="690"/>
      <c r="K70" s="690"/>
      <c r="L70" s="690"/>
      <c r="M70" s="690"/>
      <c r="N70" s="690"/>
      <c r="O70" s="690"/>
      <c r="P70" s="690"/>
      <c r="Q70" s="690"/>
      <c r="R70" s="690"/>
      <c r="S70" s="690"/>
      <c r="T70" s="690"/>
      <c r="U70" s="690">
        <v>8</v>
      </c>
      <c r="V70" s="462">
        <v>8</v>
      </c>
      <c r="W70" s="462">
        <v>11</v>
      </c>
      <c r="X70" s="674">
        <v>14</v>
      </c>
      <c r="Y70" s="674">
        <v>9</v>
      </c>
      <c r="Z70" s="674">
        <v>13</v>
      </c>
      <c r="AA70" s="674">
        <v>11</v>
      </c>
      <c r="AB70" s="674">
        <v>14</v>
      </c>
      <c r="AC70" s="674">
        <v>7</v>
      </c>
      <c r="AD70" s="674">
        <f>158-89.72</f>
        <v>68.28</v>
      </c>
      <c r="AE70" s="674">
        <v>4</v>
      </c>
      <c r="AF70" s="674">
        <v>13</v>
      </c>
      <c r="AG70" s="674">
        <v>13</v>
      </c>
      <c r="AH70" s="674">
        <v>13</v>
      </c>
      <c r="AI70" s="674">
        <v>13</v>
      </c>
      <c r="AJ70" s="674">
        <v>13</v>
      </c>
      <c r="AK70" s="674">
        <v>13</v>
      </c>
      <c r="AL70" s="674">
        <v>13</v>
      </c>
      <c r="AM70" s="674">
        <v>13</v>
      </c>
      <c r="AN70" s="674">
        <v>13</v>
      </c>
    </row>
    <row r="71" spans="2:40" ht="30.65" customHeight="1" x14ac:dyDescent="0.35">
      <c r="B71" s="705" t="s">
        <v>1798</v>
      </c>
      <c r="C71" s="706"/>
      <c r="D71" s="711"/>
      <c r="E71" s="679"/>
      <c r="F71" s="679"/>
      <c r="G71" s="679"/>
      <c r="H71" s="679"/>
      <c r="I71" s="679"/>
      <c r="J71" s="712"/>
      <c r="K71" s="712"/>
      <c r="L71" s="712"/>
      <c r="M71" s="713"/>
      <c r="N71" s="712"/>
      <c r="O71" s="712"/>
      <c r="P71" s="712"/>
      <c r="Q71" s="713"/>
      <c r="R71" s="712"/>
      <c r="S71" s="712"/>
      <c r="T71" s="712"/>
      <c r="U71" s="712">
        <f t="shared" ref="U71:AN71" si="31">U72*T68</f>
        <v>106.62885299999998</v>
      </c>
      <c r="V71" s="712">
        <f t="shared" si="31"/>
        <v>0</v>
      </c>
      <c r="W71" s="712">
        <f t="shared" si="31"/>
        <v>0</v>
      </c>
      <c r="X71" s="712">
        <f t="shared" si="31"/>
        <v>0</v>
      </c>
      <c r="Y71" s="712">
        <f t="shared" si="31"/>
        <v>43.967424000000001</v>
      </c>
      <c r="Z71" s="712">
        <f t="shared" si="31"/>
        <v>0</v>
      </c>
      <c r="AA71" s="712">
        <f t="shared" si="31"/>
        <v>0</v>
      </c>
      <c r="AB71" s="712">
        <f t="shared" si="31"/>
        <v>0</v>
      </c>
      <c r="AC71" s="712">
        <f t="shared" si="31"/>
        <v>36.697899999999997</v>
      </c>
      <c r="AD71" s="712">
        <f t="shared" si="31"/>
        <v>0</v>
      </c>
      <c r="AE71" s="712">
        <f t="shared" si="31"/>
        <v>0</v>
      </c>
      <c r="AF71" s="712">
        <f t="shared" si="31"/>
        <v>0</v>
      </c>
      <c r="AG71" s="712">
        <f t="shared" si="31"/>
        <v>37.310645999999998</v>
      </c>
      <c r="AH71" s="712">
        <f t="shared" si="31"/>
        <v>0</v>
      </c>
      <c r="AI71" s="712">
        <f t="shared" si="31"/>
        <v>0</v>
      </c>
      <c r="AJ71" s="712">
        <f t="shared" si="31"/>
        <v>0</v>
      </c>
      <c r="AK71" s="712">
        <f t="shared" si="31"/>
        <v>39.364790857999999</v>
      </c>
      <c r="AL71" s="712">
        <f t="shared" si="31"/>
        <v>0</v>
      </c>
      <c r="AM71" s="712">
        <f t="shared" si="31"/>
        <v>0</v>
      </c>
      <c r="AN71" s="712">
        <f t="shared" si="31"/>
        <v>0</v>
      </c>
    </row>
    <row r="72" spans="2:40" ht="39" customHeight="1" x14ac:dyDescent="0.35">
      <c r="B72" s="424" t="s">
        <v>1803</v>
      </c>
      <c r="C72" s="249"/>
      <c r="D72" s="717"/>
      <c r="E72" s="462"/>
      <c r="F72" s="462"/>
      <c r="G72" s="462"/>
      <c r="H72" s="462"/>
      <c r="I72" s="679"/>
      <c r="J72" s="679"/>
      <c r="K72" s="679"/>
      <c r="L72" s="679"/>
      <c r="M72" s="679"/>
      <c r="N72" s="679"/>
      <c r="O72" s="679"/>
      <c r="P72" s="679"/>
      <c r="Q72" s="679"/>
      <c r="R72" s="679"/>
      <c r="S72" s="715"/>
      <c r="T72" s="715"/>
      <c r="U72" s="692">
        <v>8.6999999999999994E-2</v>
      </c>
      <c r="V72" s="680">
        <v>0</v>
      </c>
      <c r="W72" s="680">
        <v>0</v>
      </c>
      <c r="X72" s="716">
        <v>0</v>
      </c>
      <c r="Y72" s="716">
        <v>3.2000000000000001E-2</v>
      </c>
      <c r="Z72" s="716">
        <v>0</v>
      </c>
      <c r="AA72" s="716">
        <v>0</v>
      </c>
      <c r="AB72" s="716">
        <v>0</v>
      </c>
      <c r="AC72" s="716">
        <v>2.5000000000000001E-2</v>
      </c>
      <c r="AD72" s="716">
        <v>0</v>
      </c>
      <c r="AE72" s="716">
        <v>0</v>
      </c>
      <c r="AF72" s="716">
        <v>0</v>
      </c>
      <c r="AG72" s="716">
        <v>2.3E-2</v>
      </c>
      <c r="AH72" s="716">
        <v>0</v>
      </c>
      <c r="AI72" s="716">
        <v>0</v>
      </c>
      <c r="AJ72" s="716">
        <v>0</v>
      </c>
      <c r="AK72" s="716">
        <v>2.3E-2</v>
      </c>
      <c r="AL72" s="716">
        <v>0</v>
      </c>
      <c r="AM72" s="716">
        <v>0</v>
      </c>
      <c r="AN72" s="716">
        <v>0</v>
      </c>
    </row>
    <row r="73" spans="2:40" ht="29.5" customHeight="1" x14ac:dyDescent="0.35">
      <c r="B73" s="284"/>
      <c r="C73" s="249"/>
      <c r="D73" s="238"/>
      <c r="E73" s="238"/>
      <c r="F73" s="238"/>
      <c r="G73" s="238"/>
      <c r="H73" s="238"/>
      <c r="I73" s="238"/>
      <c r="J73" s="238"/>
      <c r="K73" s="238"/>
      <c r="L73" s="238"/>
      <c r="M73" s="238"/>
      <c r="N73" s="238"/>
      <c r="O73" s="238"/>
      <c r="P73" s="238"/>
      <c r="Q73" s="238"/>
      <c r="R73" s="238"/>
      <c r="S73" s="238"/>
      <c r="T73" s="238"/>
      <c r="U73" s="238"/>
      <c r="V73" s="238"/>
      <c r="W73" s="238"/>
      <c r="X73" s="238"/>
      <c r="Y73" s="238"/>
      <c r="Z73" s="238"/>
      <c r="AA73" s="238"/>
      <c r="AB73" s="238"/>
      <c r="AC73" s="238"/>
    </row>
    <row r="74" spans="2:40" ht="16.75" customHeight="1" x14ac:dyDescent="0.35">
      <c r="B74" s="234"/>
      <c r="C74" s="249"/>
      <c r="S74" s="238"/>
      <c r="T74" s="238"/>
      <c r="U74" s="238"/>
      <c r="V74" s="238"/>
      <c r="W74" s="238"/>
      <c r="X74" s="238"/>
      <c r="Y74" s="238"/>
      <c r="Z74" s="238"/>
      <c r="AA74" s="238"/>
      <c r="AB74" s="238"/>
      <c r="AC74" s="238"/>
      <c r="AD74" s="532"/>
    </row>
    <row r="75" spans="2:40" ht="16.75" customHeight="1" x14ac:dyDescent="0.35">
      <c r="B75" s="234"/>
      <c r="C75" s="249"/>
      <c r="S75" s="238"/>
      <c r="T75" s="238"/>
      <c r="U75" s="238"/>
      <c r="V75" s="238"/>
      <c r="W75" s="238"/>
      <c r="X75" s="238"/>
      <c r="Y75" s="238"/>
      <c r="Z75" s="238"/>
      <c r="AA75" s="238"/>
      <c r="AB75" s="238"/>
      <c r="AC75" s="238"/>
      <c r="AD75" s="532"/>
    </row>
    <row r="76" spans="2:40" ht="16.75" customHeight="1" x14ac:dyDescent="0.35">
      <c r="B76" s="249"/>
      <c r="C76" s="249"/>
      <c r="S76" s="249"/>
      <c r="T76" s="249"/>
      <c r="U76" s="462"/>
      <c r="V76" s="462"/>
      <c r="W76" s="462"/>
      <c r="X76" s="462"/>
      <c r="Y76" s="462"/>
      <c r="Z76" s="462"/>
      <c r="AA76" s="462"/>
      <c r="AB76" s="462"/>
      <c r="AC76" s="462"/>
      <c r="AD76" s="532"/>
    </row>
    <row r="77" spans="2:40" ht="16.75" customHeight="1" x14ac:dyDescent="0.35">
      <c r="B77" s="234"/>
      <c r="C77" s="249"/>
      <c r="S77" s="249"/>
      <c r="T77" s="249"/>
      <c r="U77" s="462"/>
      <c r="V77" s="462"/>
      <c r="W77" s="462"/>
      <c r="X77" s="462"/>
      <c r="Y77" s="462"/>
      <c r="Z77" s="462"/>
      <c r="AA77" s="462"/>
      <c r="AB77" s="462"/>
      <c r="AC77" s="462"/>
      <c r="AD77" s="532"/>
    </row>
    <row r="78" spans="2:40" ht="16.75" customHeight="1" x14ac:dyDescent="0.35">
      <c r="B78" s="234"/>
      <c r="C78" s="249"/>
      <c r="S78" s="249"/>
      <c r="T78" s="249"/>
      <c r="U78" s="238"/>
      <c r="V78" s="238"/>
      <c r="W78" s="238"/>
      <c r="X78" s="238"/>
      <c r="Y78" s="238"/>
      <c r="Z78" s="238"/>
      <c r="AA78" s="238"/>
      <c r="AB78" s="238"/>
      <c r="AC78" s="238"/>
      <c r="AD78" s="532"/>
    </row>
    <row r="79" spans="2:40" ht="16.75" customHeight="1" x14ac:dyDescent="0.35">
      <c r="B79" s="234"/>
      <c r="C79" s="249"/>
      <c r="S79" s="249"/>
      <c r="T79" s="249"/>
      <c r="U79" s="693"/>
      <c r="V79" s="693"/>
      <c r="W79" s="693"/>
      <c r="X79" s="693"/>
      <c r="Y79" s="693"/>
      <c r="Z79" s="693"/>
      <c r="AA79" s="693"/>
      <c r="AB79" s="693"/>
      <c r="AC79" s="693"/>
      <c r="AD79" s="532"/>
    </row>
    <row r="80" spans="2:40" ht="16.75" customHeight="1" x14ac:dyDescent="0.35">
      <c r="B80" s="249"/>
      <c r="C80" s="249"/>
      <c r="S80" s="238"/>
      <c r="T80" s="238"/>
      <c r="U80" s="238"/>
      <c r="V80" s="238"/>
      <c r="W80" s="238"/>
      <c r="X80" s="238"/>
      <c r="Y80" s="238"/>
      <c r="Z80" s="238"/>
      <c r="AA80" s="238"/>
      <c r="AB80" s="238"/>
      <c r="AC80" s="238"/>
      <c r="AD80" s="532"/>
    </row>
    <row r="81" spans="2:29" ht="22.5" customHeight="1" x14ac:dyDescent="0.35">
      <c r="B81" s="284"/>
      <c r="C81" s="249"/>
      <c r="D81" s="238"/>
      <c r="E81" s="238"/>
      <c r="F81" s="238"/>
      <c r="G81" s="238"/>
      <c r="H81" s="238"/>
      <c r="I81" s="238"/>
      <c r="J81" s="238"/>
      <c r="K81" s="238"/>
      <c r="L81" s="238"/>
      <c r="M81" s="238"/>
      <c r="N81" s="238"/>
      <c r="O81" s="238"/>
      <c r="P81" s="238"/>
      <c r="Q81" s="238"/>
      <c r="R81" s="238"/>
      <c r="S81" s="238"/>
      <c r="T81" s="238"/>
      <c r="U81" s="238"/>
      <c r="V81" s="238"/>
      <c r="W81" s="238"/>
      <c r="X81" s="238"/>
      <c r="Y81" s="238"/>
      <c r="Z81" s="238"/>
      <c r="AA81" s="238"/>
      <c r="AB81" s="238"/>
      <c r="AC81" s="238"/>
    </row>
    <row r="82" spans="2:29" ht="22.5" customHeight="1" x14ac:dyDescent="0.35">
      <c r="B82" s="284"/>
      <c r="C82" s="249"/>
      <c r="D82" s="238"/>
      <c r="E82" s="238"/>
      <c r="F82" s="238"/>
      <c r="G82" s="238"/>
      <c r="H82" s="238"/>
      <c r="I82" s="238"/>
      <c r="J82" s="238"/>
      <c r="K82" s="238"/>
      <c r="L82" s="238"/>
      <c r="M82" s="238"/>
      <c r="N82" s="238"/>
      <c r="O82" s="238"/>
      <c r="P82" s="238"/>
      <c r="Q82" s="238"/>
      <c r="R82" s="238"/>
      <c r="S82" s="238"/>
      <c r="T82" s="238"/>
      <c r="U82" s="238"/>
      <c r="V82" s="238"/>
      <c r="W82" s="238"/>
      <c r="X82" s="238"/>
      <c r="Y82" s="238"/>
      <c r="Z82" s="238"/>
      <c r="AA82" s="238"/>
      <c r="AB82" s="238"/>
      <c r="AC82" s="238"/>
    </row>
    <row r="83" spans="2:29" ht="38.5" customHeight="1" x14ac:dyDescent="0.35">
      <c r="B83" s="669"/>
      <c r="C83" s="670">
        <v>2016</v>
      </c>
      <c r="D83" s="671">
        <f>C83+1</f>
        <v>2017</v>
      </c>
      <c r="E83" s="671">
        <f t="shared" ref="E83:R83" si="32">D83+1</f>
        <v>2018</v>
      </c>
      <c r="F83" s="671">
        <f t="shared" si="32"/>
        <v>2019</v>
      </c>
      <c r="G83" s="671">
        <f t="shared" si="32"/>
        <v>2020</v>
      </c>
      <c r="H83" s="671">
        <f t="shared" si="32"/>
        <v>2021</v>
      </c>
      <c r="I83" s="671">
        <f t="shared" si="32"/>
        <v>2022</v>
      </c>
      <c r="J83" s="671">
        <f t="shared" si="32"/>
        <v>2023</v>
      </c>
      <c r="K83" s="671">
        <f t="shared" si="32"/>
        <v>2024</v>
      </c>
      <c r="L83" s="671">
        <f t="shared" si="32"/>
        <v>2025</v>
      </c>
      <c r="M83" s="671">
        <f t="shared" si="32"/>
        <v>2026</v>
      </c>
      <c r="N83" s="671">
        <f t="shared" si="32"/>
        <v>2027</v>
      </c>
      <c r="O83" s="671">
        <f t="shared" si="32"/>
        <v>2028</v>
      </c>
      <c r="P83" s="671">
        <f t="shared" si="32"/>
        <v>2029</v>
      </c>
      <c r="Q83" s="671">
        <f t="shared" si="32"/>
        <v>2030</v>
      </c>
      <c r="R83" s="671">
        <f t="shared" si="32"/>
        <v>2031</v>
      </c>
      <c r="S83" s="238"/>
      <c r="T83" s="238"/>
      <c r="U83" s="238"/>
      <c r="V83" s="238"/>
      <c r="W83" s="238"/>
      <c r="X83" s="238"/>
      <c r="Y83" s="238"/>
      <c r="Z83" s="238"/>
      <c r="AA83" s="238"/>
      <c r="AB83" s="238"/>
      <c r="AC83" s="238"/>
    </row>
    <row r="84" spans="2:29" ht="38.5" customHeight="1" x14ac:dyDescent="0.35">
      <c r="B84" s="675" t="s">
        <v>1978</v>
      </c>
      <c r="C84">
        <v>910.3</v>
      </c>
      <c r="D84">
        <v>939.2</v>
      </c>
      <c r="E84">
        <v>982</v>
      </c>
      <c r="F84">
        <v>1038.5</v>
      </c>
      <c r="G84">
        <v>1089.9000000000001</v>
      </c>
      <c r="H84">
        <v>1128.8</v>
      </c>
      <c r="I84">
        <v>1212.5</v>
      </c>
      <c r="J84">
        <v>1348</v>
      </c>
      <c r="K84">
        <v>1454.424</v>
      </c>
      <c r="L84">
        <v>1572.1079999999999</v>
      </c>
      <c r="M84">
        <v>1664.223</v>
      </c>
      <c r="N84">
        <v>1760.8779999999999</v>
      </c>
      <c r="O84">
        <v>1865.222</v>
      </c>
      <c r="P84">
        <v>1967.5059999999999</v>
      </c>
      <c r="Q84">
        <v>2071.6129999999998</v>
      </c>
      <c r="R84">
        <v>2179.337</v>
      </c>
      <c r="S84" s="270">
        <v>2288.683</v>
      </c>
      <c r="T84" s="270">
        <v>2399.4650000000001</v>
      </c>
      <c r="U84" s="270">
        <v>2510.5969999999998</v>
      </c>
      <c r="V84" s="238">
        <v>2623.808</v>
      </c>
      <c r="W84" s="238"/>
      <c r="X84" s="238"/>
      <c r="Y84" s="238"/>
      <c r="Z84" s="238"/>
      <c r="AA84" s="238"/>
      <c r="AB84" s="238"/>
      <c r="AC84" s="238"/>
    </row>
    <row r="85" spans="2:29" ht="38.5" customHeight="1" x14ac:dyDescent="0.35">
      <c r="B85" s="409" t="s">
        <v>1979</v>
      </c>
      <c r="C85">
        <v>890.39374999999995</v>
      </c>
      <c r="D85">
        <v>918.71375</v>
      </c>
      <c r="E85">
        <v>960.61400000000003</v>
      </c>
      <c r="F85">
        <v>1016.043</v>
      </c>
      <c r="G85">
        <v>1066.5944999999999</v>
      </c>
      <c r="H85">
        <v>1105.0552499999999</v>
      </c>
      <c r="I85">
        <v>1186.6424999999999</v>
      </c>
      <c r="J85">
        <v>1319.8822500000001</v>
      </c>
      <c r="K85">
        <v>1423.3489999999999</v>
      </c>
      <c r="L85" s="270">
        <f>AVERAGE(AB68:AE68)</f>
        <v>1552.7772500000001</v>
      </c>
      <c r="M85" s="270">
        <f>AVERAGE(AF68:AI68)</f>
        <v>1669.6849844999999</v>
      </c>
      <c r="N85" s="270">
        <f>AVERAGE(AJ68:AM68)</f>
        <v>1760.5362391434999</v>
      </c>
      <c r="S85" s="238"/>
      <c r="T85" s="238"/>
      <c r="U85" s="238"/>
      <c r="V85" s="238"/>
      <c r="W85" s="238"/>
      <c r="X85" s="238"/>
      <c r="Y85" s="238"/>
      <c r="Z85" s="238"/>
      <c r="AA85" s="238"/>
      <c r="AB85" s="238"/>
      <c r="AC85" s="238"/>
    </row>
    <row r="86" spans="2:29" ht="69" customHeight="1" x14ac:dyDescent="0.35">
      <c r="B86" s="284" t="s">
        <v>1980</v>
      </c>
      <c r="C86" s="249">
        <f>C85/C84</f>
        <v>0.97813220916181476</v>
      </c>
      <c r="D86" s="249">
        <f t="shared" ref="D86:N86" si="33">D85/D84</f>
        <v>0.97818755323679718</v>
      </c>
      <c r="E86" s="249">
        <f t="shared" si="33"/>
        <v>0.97822199592668024</v>
      </c>
      <c r="F86" s="249">
        <f t="shared" si="33"/>
        <v>0.97837554164660567</v>
      </c>
      <c r="G86" s="249">
        <f t="shared" si="33"/>
        <v>0.97861684558216333</v>
      </c>
      <c r="H86" s="249">
        <f t="shared" si="33"/>
        <v>0.9789646084337349</v>
      </c>
      <c r="I86" s="249">
        <f t="shared" si="33"/>
        <v>0.97867422680412364</v>
      </c>
      <c r="J86" s="249">
        <f t="shared" si="33"/>
        <v>0.97914113501483691</v>
      </c>
      <c r="K86" s="249">
        <f t="shared" si="33"/>
        <v>0.97863415345181315</v>
      </c>
      <c r="L86" s="249">
        <f t="shared" si="33"/>
        <v>0.98770393000989765</v>
      </c>
      <c r="M86" s="249">
        <f t="shared" si="33"/>
        <v>1.0032820027724649</v>
      </c>
      <c r="N86" s="249">
        <f t="shared" si="33"/>
        <v>0.99980591451736001</v>
      </c>
      <c r="P86" s="238"/>
      <c r="Q86" s="238"/>
      <c r="R86" s="238"/>
      <c r="S86" s="238"/>
      <c r="T86" s="238"/>
      <c r="U86" s="238"/>
      <c r="V86" s="238"/>
      <c r="W86" s="238"/>
      <c r="X86" s="238"/>
      <c r="Y86" s="238"/>
      <c r="Z86" s="238"/>
      <c r="AA86" s="238"/>
      <c r="AB86" s="238"/>
      <c r="AC86" s="238"/>
    </row>
    <row r="87" spans="2:29" x14ac:dyDescent="0.35">
      <c r="I87" s="249"/>
      <c r="J87" s="249"/>
      <c r="K87" s="249"/>
      <c r="L87" s="249">
        <f>L84*$K$86</f>
        <v>1538.5185817148231</v>
      </c>
      <c r="M87" s="249">
        <f t="shared" ref="M87:N87" si="34">M84*$K$86</f>
        <v>1628.6654667600367</v>
      </c>
      <c r="N87" s="249">
        <f t="shared" si="34"/>
        <v>1723.2553508619217</v>
      </c>
      <c r="P87" s="249"/>
    </row>
    <row r="88" spans="2:29" x14ac:dyDescent="0.35">
      <c r="L88" s="74">
        <f>L87-L85</f>
        <v>-14.258668285177009</v>
      </c>
      <c r="M88" s="74">
        <f t="shared" ref="M88:N88" si="35">M87-M85</f>
        <v>-41.019517739963248</v>
      </c>
      <c r="N88" s="74">
        <f t="shared" si="35"/>
        <v>-37.2808882815782</v>
      </c>
      <c r="R88" s="532"/>
    </row>
    <row r="90" spans="2:29" x14ac:dyDescent="0.35">
      <c r="C90" t="e">
        <f t="shared" ref="C90:M90" si="36">C84/B84-1</f>
        <v>#VALUE!</v>
      </c>
      <c r="D90">
        <f t="shared" si="36"/>
        <v>3.1747775458640159E-2</v>
      </c>
      <c r="E90">
        <f t="shared" si="36"/>
        <v>4.557069846678008E-2</v>
      </c>
      <c r="F90">
        <f t="shared" si="36"/>
        <v>5.7535641547861616E-2</v>
      </c>
      <c r="G90">
        <f t="shared" si="36"/>
        <v>4.9494463168030967E-2</v>
      </c>
      <c r="H90">
        <f t="shared" si="36"/>
        <v>3.5691347830075992E-2</v>
      </c>
      <c r="I90">
        <f t="shared" si="36"/>
        <v>7.4149539333805858E-2</v>
      </c>
      <c r="J90">
        <f t="shared" si="36"/>
        <v>0.11175257731958754</v>
      </c>
      <c r="K90">
        <f t="shared" si="36"/>
        <v>7.8949554896142526E-2</v>
      </c>
      <c r="L90">
        <f t="shared" si="36"/>
        <v>8.0914506361281058E-2</v>
      </c>
      <c r="M90">
        <f t="shared" si="36"/>
        <v>5.8593302750192811E-2</v>
      </c>
      <c r="N90">
        <f>N84/M84-1</f>
        <v>5.8078154189672881E-2</v>
      </c>
    </row>
    <row r="91" spans="2:29" ht="13.4" customHeight="1" x14ac:dyDescent="0.35"/>
    <row r="95" spans="2:29" ht="27.65" customHeight="1" x14ac:dyDescent="0.35"/>
  </sheetData>
  <mergeCells count="35">
    <mergeCell ref="B60:C62"/>
    <mergeCell ref="D60:AB60"/>
    <mergeCell ref="AC60:AN60"/>
    <mergeCell ref="E61:H61"/>
    <mergeCell ref="I61:L61"/>
    <mergeCell ref="M61:P61"/>
    <mergeCell ref="Q61:T61"/>
    <mergeCell ref="AC61:AF61"/>
    <mergeCell ref="AG61:AJ61"/>
    <mergeCell ref="AK61:AN61"/>
    <mergeCell ref="AC48:AN48"/>
    <mergeCell ref="E49:H49"/>
    <mergeCell ref="I49:L49"/>
    <mergeCell ref="B11:C11"/>
    <mergeCell ref="B36:C36"/>
    <mergeCell ref="B47:AC47"/>
    <mergeCell ref="M49:P49"/>
    <mergeCell ref="Q49:T49"/>
    <mergeCell ref="AC49:AF49"/>
    <mergeCell ref="AG49:AJ49"/>
    <mergeCell ref="AK49:AN49"/>
    <mergeCell ref="B48:C50"/>
    <mergeCell ref="D48:AB48"/>
    <mergeCell ref="B1:AC1"/>
    <mergeCell ref="B2:AC6"/>
    <mergeCell ref="D8:AB8"/>
    <mergeCell ref="AC8:AN8"/>
    <mergeCell ref="E9:H9"/>
    <mergeCell ref="I9:L9"/>
    <mergeCell ref="M9:P9"/>
    <mergeCell ref="Q9:T9"/>
    <mergeCell ref="U9:X9"/>
    <mergeCell ref="AC9:AF9"/>
    <mergeCell ref="AG9:AJ9"/>
    <mergeCell ref="AK9:AN9"/>
  </mergeCells>
  <pageMargins left="0.7" right="0.7" top="0.75" bottom="0.75" header="0.3" footer="0.3"/>
  <pageSetup paperSize="9" orientation="portrait" horizontalDpi="300" verticalDpi="300"/>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04E71-A804-4300-B898-109F5C127CD4}">
  <dimension ref="B1:CX102"/>
  <sheetViews>
    <sheetView zoomScaleNormal="100" workbookViewId="0">
      <pane xSplit="3" ySplit="10" topLeftCell="Z14" activePane="bottomRight" state="frozen"/>
      <selection pane="topRight" activeCell="D1" sqref="D1"/>
      <selection pane="bottomLeft" activeCell="A11" sqref="A11"/>
      <selection pane="bottomRight" activeCell="AD34" sqref="AD34"/>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09" t="s">
        <v>463</v>
      </c>
      <c r="C1" s="1409"/>
      <c r="D1" s="1409"/>
      <c r="E1" s="1409"/>
      <c r="F1" s="1409"/>
      <c r="G1" s="1409"/>
      <c r="H1" s="1409"/>
      <c r="I1" s="1409"/>
      <c r="J1" s="1409"/>
      <c r="K1" s="1409"/>
      <c r="L1" s="1409"/>
      <c r="M1" s="1409"/>
      <c r="N1" s="1409"/>
      <c r="O1" s="1409"/>
      <c r="P1" s="1409"/>
      <c r="Q1" s="1409"/>
      <c r="R1" s="1409"/>
      <c r="S1" s="1409"/>
      <c r="T1" s="1409"/>
      <c r="U1" s="1409"/>
      <c r="V1" s="1409"/>
      <c r="W1" s="1409"/>
      <c r="X1" s="1409"/>
      <c r="Y1" s="1409"/>
      <c r="Z1" s="1409"/>
      <c r="AA1" s="1409"/>
      <c r="AB1" s="1409"/>
      <c r="AC1" s="1409"/>
    </row>
    <row r="2" spans="2:40" ht="34.5" hidden="1" customHeight="1" outlineLevel="1" x14ac:dyDescent="0.35">
      <c r="B2" s="1319" t="s">
        <v>858</v>
      </c>
      <c r="C2" s="1360"/>
      <c r="D2" s="1360"/>
      <c r="E2" s="1360"/>
      <c r="F2" s="1360"/>
      <c r="G2" s="1360"/>
      <c r="H2" s="1360"/>
      <c r="I2" s="1360"/>
      <c r="J2" s="1360"/>
      <c r="K2" s="1360"/>
      <c r="L2" s="1360"/>
      <c r="M2" s="1360"/>
      <c r="N2" s="1360"/>
      <c r="O2" s="1360"/>
      <c r="P2" s="1360"/>
      <c r="Q2" s="1360"/>
      <c r="R2" s="1360"/>
      <c r="S2" s="1360"/>
      <c r="T2" s="1360"/>
      <c r="U2" s="1360"/>
      <c r="V2" s="1360"/>
      <c r="W2" s="1360"/>
      <c r="X2" s="1360"/>
      <c r="Y2" s="1360"/>
      <c r="Z2" s="1360"/>
      <c r="AA2" s="1360"/>
      <c r="AB2" s="1360"/>
      <c r="AC2" s="1360"/>
    </row>
    <row r="3" spans="2:40" ht="3" hidden="1" customHeight="1" outlineLevel="1" x14ac:dyDescent="0.35">
      <c r="B3" s="1360"/>
      <c r="C3" s="1360"/>
      <c r="D3" s="1360"/>
      <c r="E3" s="1360"/>
      <c r="F3" s="1360"/>
      <c r="G3" s="1360"/>
      <c r="H3" s="1360"/>
      <c r="I3" s="1360"/>
      <c r="J3" s="1360"/>
      <c r="K3" s="1360"/>
      <c r="L3" s="1360"/>
      <c r="M3" s="1360"/>
      <c r="N3" s="1360"/>
      <c r="O3" s="1360"/>
      <c r="P3" s="1360"/>
      <c r="Q3" s="1360"/>
      <c r="R3" s="1360"/>
      <c r="S3" s="1360"/>
      <c r="T3" s="1360"/>
      <c r="U3" s="1360"/>
      <c r="V3" s="1360"/>
      <c r="W3" s="1360"/>
      <c r="X3" s="1360"/>
      <c r="Y3" s="1360"/>
      <c r="Z3" s="1360"/>
      <c r="AA3" s="1360"/>
      <c r="AB3" s="1360"/>
      <c r="AC3" s="1360"/>
    </row>
    <row r="4" spans="2:40" ht="10.4" hidden="1" customHeight="1" outlineLevel="1" x14ac:dyDescent="0.35">
      <c r="B4" s="1360"/>
      <c r="C4" s="1360"/>
      <c r="D4" s="1360"/>
      <c r="E4" s="1360"/>
      <c r="F4" s="1360"/>
      <c r="G4" s="1360"/>
      <c r="H4" s="1360"/>
      <c r="I4" s="1360"/>
      <c r="J4" s="1360"/>
      <c r="K4" s="1360"/>
      <c r="L4" s="1360"/>
      <c r="M4" s="1360"/>
      <c r="N4" s="1360"/>
      <c r="O4" s="1360"/>
      <c r="P4" s="1360"/>
      <c r="Q4" s="1360"/>
      <c r="R4" s="1360"/>
      <c r="S4" s="1360"/>
      <c r="T4" s="1360"/>
      <c r="U4" s="1360"/>
      <c r="V4" s="1360"/>
      <c r="W4" s="1360"/>
      <c r="X4" s="1360"/>
      <c r="Y4" s="1360"/>
      <c r="Z4" s="1360"/>
      <c r="AA4" s="1360"/>
      <c r="AB4" s="1360"/>
      <c r="AC4" s="1360"/>
    </row>
    <row r="5" spans="2:40" ht="14.25" hidden="1" customHeight="1" outlineLevel="1" x14ac:dyDescent="0.35">
      <c r="B5" s="1360"/>
      <c r="C5" s="1360"/>
      <c r="D5" s="1360"/>
      <c r="E5" s="1360"/>
      <c r="F5" s="1360"/>
      <c r="G5" s="1360"/>
      <c r="H5" s="1360"/>
      <c r="I5" s="1360"/>
      <c r="J5" s="1360"/>
      <c r="K5" s="1360"/>
      <c r="L5" s="1360"/>
      <c r="M5" s="1360"/>
      <c r="N5" s="1360"/>
      <c r="O5" s="1360"/>
      <c r="P5" s="1360"/>
      <c r="Q5" s="1360"/>
      <c r="R5" s="1360"/>
      <c r="S5" s="1360"/>
      <c r="T5" s="1360"/>
      <c r="U5" s="1360"/>
      <c r="V5" s="1360"/>
      <c r="W5" s="1360"/>
      <c r="X5" s="1360"/>
      <c r="Y5" s="1360"/>
      <c r="Z5" s="1360"/>
      <c r="AA5" s="1360"/>
      <c r="AB5" s="1360"/>
      <c r="AC5" s="1360"/>
    </row>
    <row r="6" spans="2:40" ht="14.25" hidden="1" customHeight="1" outlineLevel="1" x14ac:dyDescent="0.35">
      <c r="B6" s="1360"/>
      <c r="C6" s="1360"/>
      <c r="D6" s="1360"/>
      <c r="E6" s="1360"/>
      <c r="F6" s="1360"/>
      <c r="G6" s="1360"/>
      <c r="H6" s="1360"/>
      <c r="I6" s="1360"/>
      <c r="J6" s="1360"/>
      <c r="K6" s="1360"/>
      <c r="L6" s="1360"/>
      <c r="M6" s="1360"/>
      <c r="N6" s="1360"/>
      <c r="O6" s="1360"/>
      <c r="P6" s="1360"/>
      <c r="Q6" s="1360"/>
      <c r="R6" s="1360"/>
      <c r="S6" s="1360"/>
      <c r="T6" s="1360"/>
      <c r="U6" s="1360"/>
      <c r="V6" s="1360"/>
      <c r="W6" s="1360"/>
      <c r="X6" s="1360"/>
      <c r="Y6" s="1360"/>
      <c r="Z6" s="1360"/>
      <c r="AA6" s="1360"/>
      <c r="AB6" s="1360"/>
      <c r="AC6" s="1360"/>
    </row>
    <row r="7" spans="2:40" collapsed="1" x14ac:dyDescent="0.35">
      <c r="B7" s="723" t="s">
        <v>332</v>
      </c>
      <c r="C7" s="269"/>
      <c r="D7" s="269"/>
      <c r="E7" s="269"/>
      <c r="F7" s="269"/>
      <c r="G7" s="269"/>
      <c r="H7" s="270"/>
      <c r="I7" s="270"/>
      <c r="J7" s="270"/>
      <c r="K7" s="270"/>
      <c r="L7" s="270"/>
      <c r="M7" s="270"/>
      <c r="N7" s="270"/>
      <c r="O7" s="270"/>
      <c r="P7" s="270"/>
      <c r="Q7" s="270"/>
      <c r="R7" s="270"/>
      <c r="S7" s="270"/>
      <c r="T7" s="270"/>
      <c r="U7" s="270"/>
    </row>
    <row r="8" spans="2:40" ht="14.9" customHeight="1" x14ac:dyDescent="0.35">
      <c r="B8" s="695" t="s">
        <v>303</v>
      </c>
      <c r="C8" s="696"/>
      <c r="D8" s="1347" t="s">
        <v>279</v>
      </c>
      <c r="E8" s="1348"/>
      <c r="F8" s="1348"/>
      <c r="G8" s="1348"/>
      <c r="H8" s="1348"/>
      <c r="I8" s="1348"/>
      <c r="J8" s="1348"/>
      <c r="K8" s="1348"/>
      <c r="L8" s="1348"/>
      <c r="M8" s="1348"/>
      <c r="N8" s="1348"/>
      <c r="O8" s="1348"/>
      <c r="P8" s="1348"/>
      <c r="Q8" s="1348"/>
      <c r="R8" s="1348"/>
      <c r="S8" s="1348"/>
      <c r="T8" s="1348"/>
      <c r="U8" s="1348"/>
      <c r="V8" s="1348"/>
      <c r="W8" s="1348"/>
      <c r="X8" s="1348"/>
      <c r="Y8" s="1348"/>
      <c r="Z8" s="1348"/>
      <c r="AA8" s="1348"/>
      <c r="AB8" s="1349"/>
      <c r="AC8" s="1350" t="s">
        <v>280</v>
      </c>
      <c r="AD8" s="1331"/>
      <c r="AE8" s="1331"/>
      <c r="AF8" s="1331"/>
      <c r="AG8" s="1331"/>
      <c r="AH8" s="1331"/>
      <c r="AI8" s="1331"/>
      <c r="AJ8" s="1331"/>
      <c r="AK8" s="1331"/>
      <c r="AL8" s="1331"/>
      <c r="AM8" s="1331"/>
      <c r="AN8" s="1332"/>
    </row>
    <row r="9" spans="2:40" ht="14.9" customHeight="1" x14ac:dyDescent="0.35">
      <c r="B9" s="697"/>
      <c r="C9" s="698"/>
      <c r="D9" s="296">
        <v>2018</v>
      </c>
      <c r="E9" s="1342">
        <v>2019</v>
      </c>
      <c r="F9" s="1354"/>
      <c r="G9" s="1354"/>
      <c r="H9" s="1344"/>
      <c r="I9" s="1342">
        <v>2020</v>
      </c>
      <c r="J9" s="1354"/>
      <c r="K9" s="1354"/>
      <c r="L9" s="1354"/>
      <c r="M9" s="1342">
        <v>2021</v>
      </c>
      <c r="N9" s="1354"/>
      <c r="O9" s="1354"/>
      <c r="P9" s="1354"/>
      <c r="Q9" s="1342">
        <v>2022</v>
      </c>
      <c r="R9" s="1354"/>
      <c r="S9" s="1354"/>
      <c r="T9" s="1344"/>
      <c r="U9" s="1342">
        <v>2023</v>
      </c>
      <c r="V9" s="1354"/>
      <c r="W9" s="1354"/>
      <c r="X9" s="1344"/>
      <c r="Y9" s="71"/>
      <c r="Z9" s="302">
        <v>2024</v>
      </c>
      <c r="AA9" s="302"/>
      <c r="AB9" s="309"/>
      <c r="AC9" s="1329">
        <v>2025</v>
      </c>
      <c r="AD9" s="1330"/>
      <c r="AE9" s="1330"/>
      <c r="AF9" s="1330"/>
      <c r="AG9" s="1329">
        <v>2026</v>
      </c>
      <c r="AH9" s="1330"/>
      <c r="AI9" s="1330"/>
      <c r="AJ9" s="1334"/>
      <c r="AK9" s="1329">
        <v>2027</v>
      </c>
      <c r="AL9" s="1330"/>
      <c r="AM9" s="1330"/>
      <c r="AN9" s="1334"/>
    </row>
    <row r="10" spans="2:40" x14ac:dyDescent="0.35">
      <c r="B10" s="697"/>
      <c r="C10" s="698"/>
      <c r="D10" s="225" t="s">
        <v>281</v>
      </c>
      <c r="E10" s="225" t="s">
        <v>282</v>
      </c>
      <c r="F10" s="226" t="s">
        <v>283</v>
      </c>
      <c r="G10" s="226" t="s">
        <v>238</v>
      </c>
      <c r="H10" s="1259" t="s">
        <v>281</v>
      </c>
      <c r="I10" s="226" t="s">
        <v>282</v>
      </c>
      <c r="J10" s="226" t="s">
        <v>283</v>
      </c>
      <c r="K10" s="226" t="s">
        <v>238</v>
      </c>
      <c r="L10" s="226" t="s">
        <v>281</v>
      </c>
      <c r="M10" s="225" t="s">
        <v>282</v>
      </c>
      <c r="N10" s="226" t="s">
        <v>283</v>
      </c>
      <c r="O10" s="226" t="s">
        <v>238</v>
      </c>
      <c r="P10" s="226" t="s">
        <v>281</v>
      </c>
      <c r="Q10" s="225" t="s">
        <v>282</v>
      </c>
      <c r="R10" s="226" t="s">
        <v>283</v>
      </c>
      <c r="S10" s="226" t="s">
        <v>238</v>
      </c>
      <c r="T10" s="1259" t="s">
        <v>281</v>
      </c>
      <c r="U10" s="226" t="s">
        <v>282</v>
      </c>
      <c r="V10" s="287" t="s">
        <v>283</v>
      </c>
      <c r="W10" s="287" t="s">
        <v>238</v>
      </c>
      <c r="X10" s="285" t="s">
        <v>281</v>
      </c>
      <c r="Y10" s="286" t="s">
        <v>282</v>
      </c>
      <c r="Z10" s="292" t="s">
        <v>283</v>
      </c>
      <c r="AA10" s="287" t="s">
        <v>238</v>
      </c>
      <c r="AB10" s="287" t="s">
        <v>281</v>
      </c>
      <c r="AC10" s="225" t="s">
        <v>282</v>
      </c>
      <c r="AD10" s="271" t="s">
        <v>283</v>
      </c>
      <c r="AE10" s="273" t="s">
        <v>238</v>
      </c>
      <c r="AF10" s="273" t="s">
        <v>281</v>
      </c>
      <c r="AG10" s="299" t="s">
        <v>282</v>
      </c>
      <c r="AH10" s="271" t="s">
        <v>283</v>
      </c>
      <c r="AI10" s="273" t="s">
        <v>238</v>
      </c>
      <c r="AJ10" s="301" t="s">
        <v>281</v>
      </c>
      <c r="AK10" s="299" t="s">
        <v>282</v>
      </c>
      <c r="AL10" s="271" t="s">
        <v>283</v>
      </c>
      <c r="AM10" s="273" t="s">
        <v>238</v>
      </c>
      <c r="AN10" s="301" t="s">
        <v>281</v>
      </c>
    </row>
    <row r="11" spans="2:40" x14ac:dyDescent="0.35">
      <c r="B11" s="1410" t="s">
        <v>464</v>
      </c>
      <c r="C11" s="1417"/>
      <c r="D11" s="666"/>
      <c r="E11" s="720"/>
      <c r="F11" s="720"/>
      <c r="G11" s="720"/>
      <c r="H11" s="320"/>
      <c r="I11" s="320"/>
      <c r="J11" s="320"/>
      <c r="K11" s="320"/>
      <c r="L11" s="320"/>
      <c r="M11" s="582"/>
      <c r="N11" s="582"/>
      <c r="O11" s="582"/>
      <c r="P11" s="320"/>
      <c r="Q11" s="320"/>
      <c r="R11" s="320"/>
      <c r="S11" s="320"/>
      <c r="T11" s="320"/>
      <c r="U11" s="320"/>
      <c r="V11" s="320"/>
      <c r="W11" s="227"/>
      <c r="X11" s="227"/>
      <c r="Y11" s="227"/>
      <c r="Z11" s="227"/>
      <c r="AA11" s="227"/>
      <c r="AB11" s="227"/>
      <c r="AC11" s="227"/>
      <c r="AD11" s="227"/>
      <c r="AE11" s="227"/>
      <c r="AF11" s="227"/>
      <c r="AG11" s="227"/>
      <c r="AH11" s="227"/>
      <c r="AI11" s="227"/>
      <c r="AJ11" s="227"/>
      <c r="AK11" s="227"/>
      <c r="AL11" s="227"/>
      <c r="AM11" s="227"/>
      <c r="AN11" s="227"/>
    </row>
    <row r="12" spans="2:40" ht="17.149999999999999" customHeight="1" x14ac:dyDescent="0.35">
      <c r="B12" s="685" t="s">
        <v>465</v>
      </c>
      <c r="C12" s="249" t="s">
        <v>466</v>
      </c>
      <c r="D12" s="599">
        <f>'[1]Haver Pivoted'!GO31</f>
        <v>2223</v>
      </c>
      <c r="E12" s="509">
        <f>'[1]Haver Pivoted'!GP31</f>
        <v>2303.8000000000002</v>
      </c>
      <c r="F12" s="509">
        <f>'[1]Haver Pivoted'!GQ31</f>
        <v>2321.6999999999998</v>
      </c>
      <c r="G12" s="509">
        <f>'[1]Haver Pivoted'!GR31</f>
        <v>2337.1</v>
      </c>
      <c r="H12" s="509">
        <f>'[1]Haver Pivoted'!GS31</f>
        <v>2349.5</v>
      </c>
      <c r="I12" s="509">
        <f>'[1]Haver Pivoted'!GT31</f>
        <v>2414.4</v>
      </c>
      <c r="J12" s="509">
        <f>'[1]Haver Pivoted'!GU31</f>
        <v>4654.1000000000004</v>
      </c>
      <c r="K12" s="509">
        <f>'[1]Haver Pivoted'!GV31</f>
        <v>3504.7</v>
      </c>
      <c r="L12" s="509">
        <f>'[1]Haver Pivoted'!GW31</f>
        <v>2888.4</v>
      </c>
      <c r="M12" s="509">
        <f>'[1]Haver Pivoted'!GX31</f>
        <v>5138.1000000000004</v>
      </c>
      <c r="N12" s="509">
        <f>'[1]Haver Pivoted'!GY31</f>
        <v>3397.8</v>
      </c>
      <c r="O12" s="509">
        <f>'[1]Haver Pivoted'!GZ31</f>
        <v>3124.9</v>
      </c>
      <c r="P12" s="509">
        <f>'[1]Haver Pivoted'!HA31</f>
        <v>2952.6</v>
      </c>
      <c r="Q12" s="509">
        <f>'[1]Haver Pivoted'!HB31</f>
        <v>2970.9</v>
      </c>
      <c r="R12" s="509">
        <f>'[1]Haver Pivoted'!HC31</f>
        <v>2976.2</v>
      </c>
      <c r="S12" s="575">
        <f>'[1]Haver Pivoted'!HD31</f>
        <v>2970.4</v>
      </c>
      <c r="T12" s="575">
        <f>'[1]Haver Pivoted'!HE31</f>
        <v>3024.4</v>
      </c>
      <c r="U12" s="575">
        <f>'[1]Haver Pivoted'!HF31</f>
        <v>3038.4</v>
      </c>
      <c r="V12" s="575">
        <f>'[1]Haver Pivoted'!HG31</f>
        <v>3049.1</v>
      </c>
      <c r="W12" s="575">
        <f>'[1]Haver Pivoted'!HH31</f>
        <v>3078</v>
      </c>
      <c r="X12" s="575">
        <f>'[1]Haver Pivoted'!HI31</f>
        <v>3095.6</v>
      </c>
      <c r="Y12" s="575">
        <f>'[1]Haver Pivoted'!HJ31</f>
        <v>3201.1</v>
      </c>
      <c r="Z12" s="575">
        <f>'[1]Haver Pivoted'!HK31</f>
        <v>3243.1</v>
      </c>
      <c r="AA12" s="575">
        <f>'[1]Haver Pivoted'!HL31</f>
        <v>3283.8</v>
      </c>
      <c r="AB12" s="575">
        <f>'[1]Haver Pivoted'!HM31</f>
        <v>3328.6</v>
      </c>
      <c r="AC12" s="575">
        <f>'[1]Haver Pivoted'!HN31</f>
        <v>3452.4</v>
      </c>
      <c r="AD12" s="673">
        <f t="shared" ref="AD12:AJ12" si="0">SUM(AD14:AD31)-AD30</f>
        <v>3471.6821604763954</v>
      </c>
      <c r="AE12" s="673">
        <f t="shared" si="0"/>
        <v>3493.4089053306125</v>
      </c>
      <c r="AF12" s="673">
        <f t="shared" si="0"/>
        <v>3516.1507157717829</v>
      </c>
      <c r="AG12" s="673">
        <f t="shared" si="0"/>
        <v>3577.3973329126129</v>
      </c>
      <c r="AH12" s="673">
        <f t="shared" si="0"/>
        <v>3602.5193806266243</v>
      </c>
      <c r="AI12" s="673">
        <f t="shared" si="0"/>
        <v>3628.9171142232867</v>
      </c>
      <c r="AJ12" s="673">
        <f t="shared" si="0"/>
        <v>3655.7583604310757</v>
      </c>
      <c r="AK12" s="673">
        <f t="shared" ref="AK12:AN12" si="1">SUM(AK14:AK31)-AK30</f>
        <v>3724.7603951253282</v>
      </c>
      <c r="AL12" s="673">
        <f t="shared" si="1"/>
        <v>3753.1838415181583</v>
      </c>
      <c r="AM12" s="673">
        <f t="shared" si="1"/>
        <v>3781.9049952942123</v>
      </c>
      <c r="AN12" s="673">
        <f t="shared" si="1"/>
        <v>3790.6049952942121</v>
      </c>
    </row>
    <row r="13" spans="2:40" x14ac:dyDescent="0.35">
      <c r="B13" s="291"/>
      <c r="C13" s="249"/>
      <c r="D13" s="599"/>
      <c r="E13" s="509"/>
      <c r="F13" s="509"/>
      <c r="G13" s="509"/>
      <c r="H13" s="509"/>
      <c r="I13" s="509"/>
      <c r="J13" s="509"/>
      <c r="K13" s="509"/>
      <c r="L13" s="509"/>
      <c r="M13" s="509"/>
      <c r="N13" s="509"/>
      <c r="O13" s="509"/>
      <c r="P13" s="249"/>
      <c r="Q13" s="233"/>
      <c r="R13" s="233"/>
      <c r="S13" s="233"/>
      <c r="T13" s="233"/>
      <c r="U13" s="233"/>
      <c r="V13" s="233"/>
      <c r="W13" s="233"/>
      <c r="X13" s="329"/>
      <c r="Y13" s="329"/>
      <c r="Z13" s="329"/>
      <c r="AA13" s="329"/>
      <c r="AB13" s="329"/>
      <c r="AC13" s="329"/>
      <c r="AD13" s="329"/>
      <c r="AE13" s="329"/>
      <c r="AF13" s="329"/>
      <c r="AG13" s="329"/>
      <c r="AH13" s="329"/>
      <c r="AI13" s="329"/>
      <c r="AJ13" s="329"/>
      <c r="AK13" s="329"/>
      <c r="AL13" s="329"/>
      <c r="AM13" s="329"/>
      <c r="AN13" s="329"/>
    </row>
    <row r="14" spans="2:40" x14ac:dyDescent="0.35">
      <c r="B14" s="681" t="s">
        <v>1834</v>
      </c>
      <c r="C14" s="249"/>
      <c r="D14" s="599">
        <f>'[1]Unemployment Insurance'!D21+'[1]Unemployment Insurance'!D20</f>
        <v>27.1</v>
      </c>
      <c r="E14" s="509">
        <f>'[1]Unemployment Insurance'!E21+'[1]Unemployment Insurance'!E20</f>
        <v>29.6</v>
      </c>
      <c r="F14" s="509">
        <f>'[1]Unemployment Insurance'!F21+'[1]Unemployment Insurance'!F20</f>
        <v>27.3</v>
      </c>
      <c r="G14" s="509">
        <f>'[1]Unemployment Insurance'!G21+'[1]Unemployment Insurance'!G20</f>
        <v>26.4</v>
      </c>
      <c r="H14" s="509">
        <f>'[1]Unemployment Insurance'!H21+'[1]Unemployment Insurance'!H20</f>
        <v>26.7</v>
      </c>
      <c r="I14" s="509">
        <f>'[1]Unemployment Insurance'!I21+'[1]Unemployment Insurance'!I20</f>
        <v>40.1</v>
      </c>
      <c r="J14" s="509">
        <f>'[1]Unemployment Insurance'!J21+'[1]Unemployment Insurance'!J20</f>
        <v>951.5</v>
      </c>
      <c r="K14" s="509">
        <f>'[1]Unemployment Insurance'!K21+'[1]Unemployment Insurance'!K20</f>
        <v>800</v>
      </c>
      <c r="L14" s="509">
        <f>'[1]Unemployment Insurance'!L21+'[1]Unemployment Insurance'!L20</f>
        <v>322.7</v>
      </c>
      <c r="M14" s="509">
        <f>'[1]Unemployment Insurance'!M21+'[1]Unemployment Insurance'!M20</f>
        <v>583.79999999999995</v>
      </c>
      <c r="N14" s="509">
        <f>'[1]Unemployment Insurance'!N21+'[1]Unemployment Insurance'!N20</f>
        <v>440.8</v>
      </c>
      <c r="O14" s="509">
        <f>'[1]Unemployment Insurance'!O21+'[1]Unemployment Insurance'!O20</f>
        <v>212.8</v>
      </c>
      <c r="P14" s="509">
        <f>'[1]Unemployment Insurance'!P21+'[1]Unemployment Insurance'!P20</f>
        <v>31.8</v>
      </c>
      <c r="Q14" s="509">
        <f>'[1]Unemployment Insurance'!Q21+'[1]Unemployment Insurance'!Q20</f>
        <v>24.5</v>
      </c>
      <c r="R14" s="509">
        <f>'[1]Unemployment Insurance'!R21+'[1]Unemployment Insurance'!R20</f>
        <v>21.7</v>
      </c>
      <c r="S14" s="509">
        <f>'[1]Unemployment Insurance'!S21+'[1]Unemployment Insurance'!S20</f>
        <v>23.1</v>
      </c>
      <c r="T14" s="509">
        <f>'[1]Unemployment Insurance'!T21+'[1]Unemployment Insurance'!T20</f>
        <v>25.9</v>
      </c>
      <c r="U14" s="509">
        <f>'[1]Unemployment Insurance'!U21+'[1]Unemployment Insurance'!U20</f>
        <v>30.1</v>
      </c>
      <c r="V14" s="575">
        <f t="shared" ref="V14:AC14" si="2">V15+V16</f>
        <v>30.960000000000004</v>
      </c>
      <c r="W14" s="575">
        <f t="shared" si="2"/>
        <v>30.960000000000004</v>
      </c>
      <c r="X14" s="575">
        <f t="shared" si="2"/>
        <v>35.299999999999997</v>
      </c>
      <c r="Y14" s="575">
        <f t="shared" si="2"/>
        <v>34.9</v>
      </c>
      <c r="Z14" s="575">
        <f t="shared" si="2"/>
        <v>34.9</v>
      </c>
      <c r="AA14" s="575">
        <f t="shared" si="2"/>
        <v>35.700000000000003</v>
      </c>
      <c r="AB14" s="575">
        <f t="shared" si="2"/>
        <v>36.1</v>
      </c>
      <c r="AC14" s="575">
        <f t="shared" si="2"/>
        <v>35.799999999999997</v>
      </c>
      <c r="AD14" s="673">
        <f>'[1]Unemployment Insurance'!AD21+'[1]Unemployment Insurance'!AD20</f>
        <v>35.700000000000003</v>
      </c>
      <c r="AE14" s="673">
        <f>'[1]Unemployment Insurance'!AE21+'[1]Unemployment Insurance'!AE20</f>
        <v>35.700000000000003</v>
      </c>
      <c r="AF14" s="673">
        <f>'[1]Unemployment Insurance'!AF21+'[1]Unemployment Insurance'!AF20</f>
        <v>35.700000000000003</v>
      </c>
      <c r="AG14" s="673">
        <f>'[1]Unemployment Insurance'!AG21+'[1]Unemployment Insurance'!AG20</f>
        <v>35.700000000000003</v>
      </c>
      <c r="AH14" s="673">
        <f>'[1]Unemployment Insurance'!AH21+'[1]Unemployment Insurance'!AH20</f>
        <v>35.700000000000003</v>
      </c>
      <c r="AI14" s="673">
        <f>'[1]Unemployment Insurance'!AI21+'[1]Unemployment Insurance'!AI20</f>
        <v>35.700000000000003</v>
      </c>
      <c r="AJ14" s="673">
        <f>'[1]Unemployment Insurance'!AJ21+'[1]Unemployment Insurance'!AJ20</f>
        <v>35.700000000000003</v>
      </c>
      <c r="AK14" s="673">
        <f>'[1]Unemployment Insurance'!AK21+'[1]Unemployment Insurance'!AK20</f>
        <v>36.700000000000003</v>
      </c>
      <c r="AL14" s="673">
        <f>'[1]Unemployment Insurance'!AL21+'[1]Unemployment Insurance'!AL20</f>
        <v>37.700000000000003</v>
      </c>
      <c r="AM14" s="673">
        <f>'[1]Unemployment Insurance'!AM21+'[1]Unemployment Insurance'!AM20</f>
        <v>38.700000000000003</v>
      </c>
      <c r="AN14" s="673">
        <f>'[1]Unemployment Insurance'!AN21+'[1]Unemployment Insurance'!AN20</f>
        <v>39.700000000000003</v>
      </c>
    </row>
    <row r="15" spans="2:40" x14ac:dyDescent="0.35">
      <c r="B15" s="424" t="s">
        <v>203</v>
      </c>
      <c r="C15" s="249"/>
      <c r="D15" s="599"/>
      <c r="E15" s="509"/>
      <c r="F15" s="509"/>
      <c r="G15" s="509"/>
      <c r="H15" s="509"/>
      <c r="I15" s="509"/>
      <c r="J15" s="509"/>
      <c r="K15" s="509"/>
      <c r="L15" s="509"/>
      <c r="M15" s="509"/>
      <c r="N15" s="509"/>
      <c r="O15" s="509"/>
      <c r="P15" s="509"/>
      <c r="Q15" s="509"/>
      <c r="R15" s="509"/>
      <c r="S15" s="509"/>
      <c r="T15" s="509"/>
      <c r="U15" s="509"/>
      <c r="V15" s="575">
        <f>'[1]Unemployment Insurance'!V20</f>
        <v>0</v>
      </c>
      <c r="W15" s="575">
        <f>'[1]Unemployment Insurance'!W20</f>
        <v>0</v>
      </c>
      <c r="X15" s="575">
        <f>'[1]Unemployment Insurance'!X20</f>
        <v>4.632399999999997</v>
      </c>
      <c r="Y15" s="575">
        <f>'[1]Unemployment Insurance'!Y20</f>
        <v>3.0799999999999947</v>
      </c>
      <c r="Z15" s="575">
        <f>'[1]Unemployment Insurance'!Z20</f>
        <v>0</v>
      </c>
      <c r="AA15" s="575">
        <f>'[1]Unemployment Insurance'!AA20</f>
        <v>0</v>
      </c>
      <c r="AB15" s="575">
        <f>'[1]Unemployment Insurance'!AB20</f>
        <v>0.39999999999999858</v>
      </c>
      <c r="AC15" s="575">
        <f>'[1]Unemployment Insurance'!AC20</f>
        <v>9.9999999999994316E-2</v>
      </c>
      <c r="AD15" s="673"/>
      <c r="AE15" s="673"/>
      <c r="AF15" s="673"/>
      <c r="AG15" s="673"/>
      <c r="AH15" s="673"/>
      <c r="AI15" s="673"/>
      <c r="AJ15" s="673"/>
      <c r="AK15" s="673"/>
      <c r="AL15" s="673"/>
      <c r="AM15" s="673"/>
      <c r="AN15" s="673"/>
    </row>
    <row r="16" spans="2:40" x14ac:dyDescent="0.35">
      <c r="B16" s="424" t="s">
        <v>205</v>
      </c>
      <c r="C16" s="249"/>
      <c r="D16" s="599"/>
      <c r="E16" s="509"/>
      <c r="F16" s="509"/>
      <c r="G16" s="509"/>
      <c r="H16" s="509"/>
      <c r="I16" s="509"/>
      <c r="J16" s="509"/>
      <c r="K16" s="509"/>
      <c r="L16" s="509"/>
      <c r="M16" s="509"/>
      <c r="N16" s="509"/>
      <c r="O16" s="509"/>
      <c r="P16" s="509"/>
      <c r="Q16" s="509"/>
      <c r="R16" s="509"/>
      <c r="S16" s="509"/>
      <c r="T16" s="509"/>
      <c r="U16" s="509"/>
      <c r="V16" s="575">
        <f>'[1]Unemployment Insurance'!V21</f>
        <v>30.960000000000004</v>
      </c>
      <c r="W16" s="575">
        <f>'[1]Unemployment Insurance'!W21</f>
        <v>30.960000000000004</v>
      </c>
      <c r="X16" s="575">
        <f>'[1]Unemployment Insurance'!X21</f>
        <v>30.6676</v>
      </c>
      <c r="Y16" s="575">
        <f>'[1]Unemployment Insurance'!Y21</f>
        <v>31.820000000000004</v>
      </c>
      <c r="Z16" s="575">
        <f>'[1]Unemployment Insurance'!Z21</f>
        <v>34.9</v>
      </c>
      <c r="AA16" s="575">
        <f>'[1]Unemployment Insurance'!AA21</f>
        <v>35.700000000000003</v>
      </c>
      <c r="AB16" s="575">
        <f>'[1]Unemployment Insurance'!AB21</f>
        <v>35.700000000000003</v>
      </c>
      <c r="AC16" s="575">
        <f>'[1]Unemployment Insurance'!AC21</f>
        <v>35.700000000000003</v>
      </c>
      <c r="AD16" s="673"/>
      <c r="AE16" s="673"/>
      <c r="AF16" s="673"/>
      <c r="AG16" s="673"/>
      <c r="AH16" s="673"/>
      <c r="AI16" s="673"/>
      <c r="AJ16" s="673"/>
      <c r="AK16" s="673"/>
      <c r="AL16" s="673"/>
      <c r="AM16" s="673"/>
      <c r="AN16" s="673"/>
    </row>
    <row r="17" spans="2:102" ht="17.899999999999999" customHeight="1" x14ac:dyDescent="0.35">
      <c r="B17" s="681" t="s">
        <v>55</v>
      </c>
      <c r="C17" s="249"/>
      <c r="D17" s="599">
        <f>[1]Medicare!D10</f>
        <v>755</v>
      </c>
      <c r="E17" s="509">
        <f>[1]Medicare!E10</f>
        <v>773.5</v>
      </c>
      <c r="F17" s="509">
        <f>[1]Medicare!F10</f>
        <v>788.5</v>
      </c>
      <c r="G17" s="509">
        <f>[1]Medicare!G10</f>
        <v>798</v>
      </c>
      <c r="H17" s="509">
        <f>[1]Medicare!H10</f>
        <v>802</v>
      </c>
      <c r="I17" s="509">
        <f>[1]Medicare!I10</f>
        <v>801.9</v>
      </c>
      <c r="J17" s="509">
        <f>[1]Medicare!J10</f>
        <v>814.3</v>
      </c>
      <c r="K17" s="509">
        <f>[1]Medicare!K10</f>
        <v>826.6</v>
      </c>
      <c r="L17" s="509">
        <f>[1]Medicare!L10</f>
        <v>838.8</v>
      </c>
      <c r="M17" s="509">
        <f>[1]Medicare!M10</f>
        <v>854.9</v>
      </c>
      <c r="N17" s="509">
        <f>[1]Medicare!N10</f>
        <v>871.2</v>
      </c>
      <c r="O17" s="509">
        <f>[1]Medicare!O10</f>
        <v>887.1</v>
      </c>
      <c r="P17" s="509">
        <f>[1]Medicare!P10</f>
        <v>902.4</v>
      </c>
      <c r="Q17" s="509">
        <f>[1]Medicare!Q10</f>
        <v>917.6</v>
      </c>
      <c r="R17" s="509">
        <f>[1]Medicare!R10</f>
        <v>926.6</v>
      </c>
      <c r="S17" s="509">
        <f>[1]Medicare!S10</f>
        <v>937.4</v>
      </c>
      <c r="T17" s="509">
        <f>[1]Medicare!T10</f>
        <v>958.5</v>
      </c>
      <c r="U17" s="509">
        <f>[1]Medicare!U10</f>
        <v>981.1</v>
      </c>
      <c r="V17" s="509">
        <f>[1]Medicare!V10</f>
        <v>1001.8</v>
      </c>
      <c r="W17" s="509">
        <f>[1]Medicare!W10</f>
        <v>1019.9</v>
      </c>
      <c r="X17" s="673">
        <f>[1]Medicare!X10</f>
        <v>1035.3</v>
      </c>
      <c r="Y17" s="673">
        <f>[1]Medicare!Y10</f>
        <v>1049.2</v>
      </c>
      <c r="Z17" s="673">
        <f>[1]Medicare!Z10</f>
        <v>1067.0999999999999</v>
      </c>
      <c r="AA17" s="673">
        <f>[1]Medicare!AA10</f>
        <v>1090.2</v>
      </c>
      <c r="AB17" s="673">
        <f>[1]Medicare!AB10</f>
        <v>1118.5</v>
      </c>
      <c r="AC17" s="673">
        <f>[1]Medicare!AC10</f>
        <v>1150.3</v>
      </c>
      <c r="AD17" s="673">
        <f>[1]Medicare!AD10</f>
        <v>1179.9491604763948</v>
      </c>
      <c r="AE17" s="673">
        <f>[1]Medicare!AE10</f>
        <v>1194.9759053306122</v>
      </c>
      <c r="AF17" s="673">
        <f>[1]Medicare!AF10</f>
        <v>1212.8587157717825</v>
      </c>
      <c r="AG17" s="673">
        <f>[1]Medicare!AG10</f>
        <v>1231.0091424116126</v>
      </c>
      <c r="AH17" s="673">
        <f>[1]Medicare!AH10</f>
        <v>1249.431190125624</v>
      </c>
      <c r="AI17" s="673">
        <f>[1]Medicare!AI10</f>
        <v>1268.1289237222863</v>
      </c>
      <c r="AJ17" s="673">
        <f>[1]Medicare!AJ10</f>
        <v>1287.2701699300753</v>
      </c>
      <c r="AK17" s="673">
        <f>[1]Medicare!AK10</f>
        <v>1306.7003357418046</v>
      </c>
      <c r="AL17" s="673">
        <f>[1]Medicare!AL10</f>
        <v>1326.4237821346351</v>
      </c>
      <c r="AM17" s="673">
        <f>[1]Medicare!AM10</f>
        <v>1346.4449359106889</v>
      </c>
      <c r="AN17" s="673">
        <f>[1]Medicare!AN10</f>
        <v>1346.4449359106889</v>
      </c>
    </row>
    <row r="18" spans="2:102" ht="18" customHeight="1" x14ac:dyDescent="0.35">
      <c r="B18" s="682" t="s">
        <v>467</v>
      </c>
      <c r="C18" s="249"/>
      <c r="D18" s="276"/>
      <c r="E18" s="233"/>
      <c r="F18" s="233"/>
      <c r="G18" s="233"/>
      <c r="H18" s="509">
        <f>'[1]Rebate Checks (expired)'!H10 +'[1]Rebate Checks (expired)'!H11</f>
        <v>0</v>
      </c>
      <c r="I18" s="509">
        <f>'[1]Rebate Checks (expired)'!I10 +'[1]Rebate Checks (expired)'!I11</f>
        <v>0</v>
      </c>
      <c r="J18" s="509">
        <f>'[1]Rebate Checks (expired)'!J10 +'[1]Rebate Checks (expired)'!J11</f>
        <v>1078.0999999999999</v>
      </c>
      <c r="K18" s="509">
        <f>'[1]Rebate Checks (expired)'!K10 +'[1]Rebate Checks (expired)'!K11</f>
        <v>15.6</v>
      </c>
      <c r="L18" s="509">
        <f>'[1]Rebate Checks (expired)'!L10 +'[1]Rebate Checks (expired)'!L11</f>
        <v>5</v>
      </c>
      <c r="M18" s="509">
        <f>'[1]Rebate Checks (expired)'!M10 +'[1]Rebate Checks (expired)'!M11</f>
        <v>1933.6999999999998</v>
      </c>
      <c r="N18" s="509">
        <f>'[1]Rebate Checks (expired)'!N10 +'[1]Rebate Checks (expired)'!N11</f>
        <v>290.10000000000002</v>
      </c>
      <c r="O18" s="509">
        <f>'[1]Rebate Checks (expired)'!O10 +'[1]Rebate Checks (expired)'!O11</f>
        <v>38.9</v>
      </c>
      <c r="P18" s="509">
        <f>'[1]Rebate Checks (expired)'!P10 +'[1]Rebate Checks (expired)'!P11</f>
        <v>14.2</v>
      </c>
      <c r="Q18" s="509">
        <f>'[1]Rebate Checks (expired)'!Q10 +'[1]Rebate Checks (expired)'!Q11</f>
        <v>0</v>
      </c>
      <c r="R18" s="509">
        <f>'[1]Rebate Checks (expired)'!Q10 +'[1]Rebate Checks (expired)'!R11</f>
        <v>0</v>
      </c>
      <c r="S18" s="509">
        <f>'[1]Rebate Checks (expired)'!S10 +'[1]Rebate Checks (expired)'!S11</f>
        <v>0</v>
      </c>
      <c r="T18" s="509">
        <f>'[1]Rebate Checks (expired)'!T10 +'[1]Rebate Checks (expired)'!T11</f>
        <v>0</v>
      </c>
      <c r="U18" s="509">
        <f>'[1]Rebate Checks (expired)'!U10 +'[1]Rebate Checks (expired)'!U11</f>
        <v>0</v>
      </c>
      <c r="V18" s="575">
        <f t="shared" ref="V18:AA18" si="3">V19+V20</f>
        <v>0</v>
      </c>
      <c r="W18" s="575">
        <f t="shared" si="3"/>
        <v>0</v>
      </c>
      <c r="X18" s="575">
        <f t="shared" si="3"/>
        <v>0</v>
      </c>
      <c r="Y18" s="575">
        <f t="shared" si="3"/>
        <v>0</v>
      </c>
      <c r="Z18" s="575">
        <f t="shared" si="3"/>
        <v>0</v>
      </c>
      <c r="AA18" s="575">
        <f t="shared" si="3"/>
        <v>0</v>
      </c>
      <c r="AB18" s="575">
        <f>AB19+AB20</f>
        <v>0</v>
      </c>
      <c r="AC18" s="575">
        <f>AC19+AC20</f>
        <v>0</v>
      </c>
      <c r="AD18" s="673">
        <f>'[1]Rebate Checks (expired)'!AD10 +'[1]Rebate Checks (expired)'!AD11</f>
        <v>0</v>
      </c>
      <c r="AE18" s="673">
        <f>'[1]Rebate Checks (expired)'!AE10 +'[1]Rebate Checks (expired)'!AE11</f>
        <v>0</v>
      </c>
      <c r="AF18" s="673">
        <f>'[1]Rebate Checks (expired)'!AF10 +'[1]Rebate Checks (expired)'!AF11</f>
        <v>0</v>
      </c>
      <c r="AG18" s="673">
        <f>'[1]Rebate Checks (expired)'!AG10 +'[1]Rebate Checks (expired)'!AG11</f>
        <v>0</v>
      </c>
      <c r="AH18" s="673">
        <f>'[1]Rebate Checks (expired)'!AH10 +'[1]Rebate Checks (expired)'!AH11</f>
        <v>0</v>
      </c>
      <c r="AI18" s="673">
        <f>'[1]Rebate Checks (expired)'!AI10 +'[1]Rebate Checks (expired)'!AI11</f>
        <v>0</v>
      </c>
      <c r="AJ18" s="673">
        <f>'[1]Rebate Checks (expired)'!AJ10 +'[1]Rebate Checks (expired)'!AJ11</f>
        <v>0</v>
      </c>
      <c r="AK18" s="673">
        <f>'[1]Rebate Checks (expired)'!AK10 +'[1]Rebate Checks (expired)'!AK11</f>
        <v>0</v>
      </c>
      <c r="AL18" s="673">
        <f>'[1]Rebate Checks (expired)'!AL10 +'[1]Rebate Checks (expired)'!AL11</f>
        <v>0</v>
      </c>
      <c r="AM18" s="673">
        <f>'[1]Rebate Checks (expired)'!AM10 +'[1]Rebate Checks (expired)'!AM11</f>
        <v>0</v>
      </c>
      <c r="AN18" s="673">
        <f>'[1]Rebate Checks (expired)'!AN10 +'[1]Rebate Checks (expired)'!AN11</f>
        <v>0</v>
      </c>
    </row>
    <row r="19" spans="2:102" ht="18" customHeight="1" x14ac:dyDescent="0.35">
      <c r="B19" s="683" t="s">
        <v>1835</v>
      </c>
      <c r="C19" s="249"/>
      <c r="D19" s="276"/>
      <c r="E19" s="233"/>
      <c r="F19" s="233"/>
      <c r="G19" s="233"/>
      <c r="H19" s="509"/>
      <c r="I19" s="509"/>
      <c r="J19" s="509"/>
      <c r="K19" s="509"/>
      <c r="L19" s="509"/>
      <c r="M19" s="509"/>
      <c r="N19" s="509"/>
      <c r="O19" s="509"/>
      <c r="P19" s="509"/>
      <c r="Q19" s="509"/>
      <c r="R19" s="509"/>
      <c r="S19" s="509"/>
      <c r="T19" s="509"/>
      <c r="U19" s="509"/>
      <c r="V19" s="509">
        <v>0</v>
      </c>
      <c r="W19" s="509"/>
      <c r="X19" s="673"/>
      <c r="Y19" s="673"/>
      <c r="Z19" s="673"/>
      <c r="AA19" s="673"/>
      <c r="AB19" s="673"/>
      <c r="AC19" s="673"/>
      <c r="AD19" s="673"/>
      <c r="AE19" s="673"/>
      <c r="AF19" s="673"/>
      <c r="AG19" s="673"/>
      <c r="AH19" s="673"/>
      <c r="AI19" s="673"/>
      <c r="AJ19" s="673"/>
      <c r="AK19" s="673"/>
      <c r="AL19" s="673"/>
      <c r="AM19" s="673"/>
      <c r="AN19" s="673"/>
    </row>
    <row r="20" spans="2:102" ht="18" customHeight="1" x14ac:dyDescent="0.35">
      <c r="B20" s="683" t="s">
        <v>1836</v>
      </c>
      <c r="C20" s="249"/>
      <c r="D20" s="276"/>
      <c r="E20" s="233"/>
      <c r="F20" s="233"/>
      <c r="G20" s="233"/>
      <c r="H20" s="509"/>
      <c r="I20" s="509"/>
      <c r="J20" s="509"/>
      <c r="K20" s="509"/>
      <c r="L20" s="509"/>
      <c r="M20" s="509"/>
      <c r="N20" s="509"/>
      <c r="O20" s="509"/>
      <c r="P20" s="509"/>
      <c r="Q20" s="509"/>
      <c r="R20" s="509"/>
      <c r="S20" s="509"/>
      <c r="T20" s="509"/>
      <c r="U20" s="509"/>
      <c r="V20" s="509">
        <v>0</v>
      </c>
      <c r="W20" s="509"/>
      <c r="X20" s="673"/>
      <c r="Y20" s="673"/>
      <c r="Z20" s="673"/>
      <c r="AA20" s="673"/>
      <c r="AB20" s="673"/>
      <c r="AC20" s="673"/>
      <c r="AD20" s="673"/>
      <c r="AE20" s="673"/>
      <c r="AF20" s="673"/>
      <c r="AG20" s="673"/>
      <c r="AH20" s="673"/>
      <c r="AI20" s="673"/>
      <c r="AJ20" s="673"/>
      <c r="AK20" s="673"/>
      <c r="AL20" s="673"/>
      <c r="AM20" s="673"/>
      <c r="AN20" s="673"/>
    </row>
    <row r="21" spans="2:102" ht="18" customHeight="1" x14ac:dyDescent="0.35">
      <c r="B21" s="684" t="s">
        <v>49</v>
      </c>
      <c r="C21" s="249"/>
      <c r="D21" s="275">
        <f>'[1]Provider Relief (expired)'!D11</f>
        <v>0</v>
      </c>
      <c r="E21" s="245">
        <f>'[1]Provider Relief (expired)'!E11</f>
        <v>0</v>
      </c>
      <c r="F21" s="245">
        <f>'[1]Provider Relief (expired)'!F11</f>
        <v>0</v>
      </c>
      <c r="G21" s="245">
        <f>'[1]Provider Relief (expired)'!G11</f>
        <v>0</v>
      </c>
      <c r="H21" s="245">
        <f>'[1]Provider Relief (expired)'!H11</f>
        <v>0</v>
      </c>
      <c r="I21" s="245">
        <f>'[1]Provider Relief (expired)'!I11</f>
        <v>0</v>
      </c>
      <c r="J21" s="245">
        <f>'[1]Provider Relief (expired)'!J11</f>
        <v>160.9</v>
      </c>
      <c r="K21" s="245">
        <f>'[1]Provider Relief (expired)'!K11</f>
        <v>58.4</v>
      </c>
      <c r="L21" s="245">
        <f>'[1]Provider Relief (expired)'!L11</f>
        <v>34.5</v>
      </c>
      <c r="M21" s="245">
        <f>'[1]Provider Relief (expired)'!M11</f>
        <v>21.4</v>
      </c>
      <c r="N21" s="245">
        <f>'[1]Provider Relief (expired)'!N11</f>
        <v>13.3</v>
      </c>
      <c r="O21" s="245">
        <f>'[1]Provider Relief (expired)'!O11</f>
        <v>18.7</v>
      </c>
      <c r="P21" s="245">
        <f>'[1]Provider Relief (expired)'!P11</f>
        <v>32.200000000000003</v>
      </c>
      <c r="Q21" s="245">
        <f>'[1]Provider Relief (expired)'!Q11</f>
        <v>26.9</v>
      </c>
      <c r="R21" s="245">
        <f>'[1]Provider Relief (expired)'!R11</f>
        <v>20</v>
      </c>
      <c r="S21" s="245">
        <f>'[1]Provider Relief (expired)'!S11</f>
        <v>8.1</v>
      </c>
      <c r="T21" s="245">
        <f>'[1]Provider Relief (expired)'!T11</f>
        <v>4.9000000000000004</v>
      </c>
      <c r="U21" s="245">
        <v>0</v>
      </c>
      <c r="V21" s="509">
        <v>0</v>
      </c>
      <c r="W21" s="509">
        <v>0</v>
      </c>
      <c r="X21" s="673">
        <v>0</v>
      </c>
      <c r="Y21" s="673">
        <v>0</v>
      </c>
      <c r="Z21" s="673">
        <v>0</v>
      </c>
      <c r="AA21" s="673">
        <v>0</v>
      </c>
      <c r="AB21" s="673">
        <v>0</v>
      </c>
      <c r="AC21" s="673">
        <v>0</v>
      </c>
      <c r="AD21" s="673">
        <v>0</v>
      </c>
      <c r="AE21" s="673">
        <v>0</v>
      </c>
      <c r="AF21" s="673">
        <v>0</v>
      </c>
      <c r="AG21" s="673">
        <v>0</v>
      </c>
      <c r="AH21" s="673">
        <v>0</v>
      </c>
      <c r="AI21" s="673">
        <v>0</v>
      </c>
      <c r="AJ21" s="673">
        <v>0</v>
      </c>
      <c r="AK21" s="673">
        <v>0</v>
      </c>
      <c r="AL21" s="673">
        <v>0</v>
      </c>
      <c r="AM21" s="673">
        <v>0</v>
      </c>
      <c r="AN21" s="673">
        <v>0</v>
      </c>
    </row>
    <row r="22" spans="2:102" ht="18" customHeight="1" x14ac:dyDescent="0.35">
      <c r="B22" s="291" t="s">
        <v>1837</v>
      </c>
      <c r="C22" s="249"/>
      <c r="D22" s="275"/>
      <c r="E22" s="245"/>
      <c r="F22" s="245"/>
      <c r="G22" s="245"/>
      <c r="H22" s="245"/>
      <c r="I22" s="245"/>
      <c r="J22" s="245"/>
      <c r="K22" s="245"/>
      <c r="L22" s="245"/>
      <c r="M22" s="245"/>
      <c r="N22" s="245"/>
      <c r="O22" s="245"/>
      <c r="P22" s="245"/>
      <c r="Q22" s="245"/>
      <c r="R22" s="245"/>
      <c r="S22" s="245"/>
      <c r="T22" s="245"/>
      <c r="U22" s="245"/>
      <c r="V22" s="509"/>
      <c r="W22" s="509"/>
      <c r="X22" s="673"/>
      <c r="Y22" s="673"/>
      <c r="Z22" s="673"/>
      <c r="AA22" s="673"/>
      <c r="AB22" s="673"/>
      <c r="AC22" s="673"/>
      <c r="AD22" s="673"/>
      <c r="AE22" s="673"/>
      <c r="AF22" s="673"/>
      <c r="AG22" s="673"/>
      <c r="AH22" s="673"/>
      <c r="AI22" s="673"/>
      <c r="AJ22" s="673"/>
      <c r="AK22" s="673"/>
      <c r="AL22" s="673"/>
      <c r="AM22" s="673"/>
      <c r="AN22" s="673"/>
    </row>
    <row r="23" spans="2:102" ht="18" customHeight="1" x14ac:dyDescent="0.35">
      <c r="B23" s="291" t="s">
        <v>1838</v>
      </c>
      <c r="C23" s="249"/>
      <c r="D23" s="275"/>
      <c r="E23" s="245"/>
      <c r="F23" s="245"/>
      <c r="G23" s="245"/>
      <c r="H23" s="245"/>
      <c r="I23" s="245"/>
      <c r="J23" s="245"/>
      <c r="K23" s="245"/>
      <c r="L23" s="245"/>
      <c r="M23" s="245"/>
      <c r="N23" s="245"/>
      <c r="O23" s="245"/>
      <c r="P23" s="245"/>
      <c r="Q23" s="245"/>
      <c r="R23" s="245"/>
      <c r="S23" s="245"/>
      <c r="T23" s="245"/>
      <c r="U23" s="245"/>
      <c r="V23" s="509"/>
      <c r="W23" s="509"/>
      <c r="X23" s="673"/>
      <c r="Y23" s="673"/>
      <c r="Z23" s="673"/>
      <c r="AA23" s="673"/>
      <c r="AB23" s="673"/>
      <c r="AC23" s="673"/>
      <c r="AD23" s="673"/>
      <c r="AE23" s="673"/>
      <c r="AF23" s="673"/>
      <c r="AG23" s="673"/>
      <c r="AH23" s="673"/>
      <c r="AI23" s="673"/>
      <c r="AJ23" s="673"/>
      <c r="AK23" s="673"/>
      <c r="AL23" s="673"/>
      <c r="AM23" s="673"/>
      <c r="AN23" s="673"/>
    </row>
    <row r="24" spans="2:102" ht="20.149999999999999" customHeight="1" x14ac:dyDescent="0.35">
      <c r="B24" s="272" t="s">
        <v>470</v>
      </c>
      <c r="C24" s="267"/>
      <c r="D24" s="721"/>
      <c r="E24" s="639"/>
      <c r="F24" s="639"/>
      <c r="G24" s="639"/>
      <c r="H24" s="572"/>
      <c r="I24" s="572"/>
      <c r="J24" s="572"/>
      <c r="K24" s="572"/>
      <c r="L24" s="572"/>
      <c r="M24" s="572">
        <f>'[1]ARP Quarterly'!C5</f>
        <v>0</v>
      </c>
      <c r="N24" s="572">
        <f>'[1]ARP Quarterly'!D5</f>
        <v>33.921840000000024</v>
      </c>
      <c r="O24" s="572">
        <f>'[1]ARP Quarterly'!E5</f>
        <v>44.966160000000031</v>
      </c>
      <c r="P24" s="572">
        <f>'[1]ARP Quarterly'!F5</f>
        <v>52.756999999999998</v>
      </c>
      <c r="Q24" s="572">
        <f>'[1]ARP Quarterly'!G5</f>
        <v>52.756999999999998</v>
      </c>
      <c r="R24" s="572">
        <f>'[1]ARP Quarterly'!H5</f>
        <v>52.756999999999998</v>
      </c>
      <c r="S24" s="572">
        <f>'[1]ARP Quarterly'!I5</f>
        <v>52.756999999999998</v>
      </c>
      <c r="T24" s="572">
        <v>30</v>
      </c>
      <c r="U24" s="572">
        <f>'[1]ARP Quarterly'!K5</f>
        <v>12</v>
      </c>
      <c r="V24" s="572">
        <f>'[1]ARP Quarterly'!L5</f>
        <v>12</v>
      </c>
      <c r="W24" s="572">
        <f>'[1]ARP Quarterly'!M5</f>
        <v>12</v>
      </c>
      <c r="X24" s="574">
        <f>'[1]ARP Quarterly'!N5</f>
        <v>4.2219999999999995</v>
      </c>
      <c r="Y24" s="574">
        <f>'[1]ARP Quarterly'!O5</f>
        <v>4.2219999999999995</v>
      </c>
      <c r="Z24" s="574">
        <f>'[1]ARP Quarterly'!P5</f>
        <v>4.2219999999999995</v>
      </c>
      <c r="AA24" s="574">
        <f>'[1]ARP Quarterly'!Q5</f>
        <v>4.2219999999999995</v>
      </c>
      <c r="AB24" s="574">
        <f>'[1]ARP Quarterly'!R5</f>
        <v>2.3719999999999999</v>
      </c>
      <c r="AC24" s="574">
        <f>'[1]ARP Quarterly'!S5</f>
        <v>2.3719999999999999</v>
      </c>
      <c r="AD24" s="574">
        <f>'[1]ARP Quarterly'!T5</f>
        <v>2.3719999999999999</v>
      </c>
      <c r="AE24" s="574">
        <f>'[1]ARP Quarterly'!U5</f>
        <v>2.3719999999999999</v>
      </c>
      <c r="AF24" s="574">
        <f>'[1]ARP Quarterly'!V5</f>
        <v>0.49</v>
      </c>
      <c r="AG24" s="519">
        <v>0</v>
      </c>
      <c r="AH24" s="519">
        <v>0</v>
      </c>
      <c r="AI24" s="519">
        <v>0</v>
      </c>
      <c r="AJ24" s="519">
        <v>0</v>
      </c>
      <c r="AK24" s="519">
        <v>0</v>
      </c>
      <c r="AL24" s="519">
        <v>0</v>
      </c>
      <c r="AM24" s="519">
        <v>0</v>
      </c>
      <c r="AN24" s="519">
        <v>0</v>
      </c>
    </row>
    <row r="25" spans="2:102" ht="22.4" customHeight="1" x14ac:dyDescent="0.35">
      <c r="B25" s="256" t="s">
        <v>218</v>
      </c>
      <c r="C25" s="689"/>
      <c r="D25" s="275"/>
      <c r="E25" s="245"/>
      <c r="F25" s="245"/>
      <c r="G25" s="245"/>
      <c r="H25" s="245"/>
      <c r="I25" s="245"/>
      <c r="J25" s="245"/>
      <c r="K25" s="245"/>
      <c r="L25" s="245"/>
      <c r="M25" s="509">
        <f>'[1]ARP Quarterly'!C4</f>
        <v>0</v>
      </c>
      <c r="N25" s="509">
        <f>'[1]ARP Quarterly'!D4</f>
        <v>0</v>
      </c>
      <c r="O25" s="509">
        <f>'[1]ARP Quarterly'!E4</f>
        <v>3.1040000000000418</v>
      </c>
      <c r="P25" s="509">
        <f>'[1]ARP Quarterly'!F4</f>
        <v>19.719000000000005</v>
      </c>
      <c r="Q25" s="509">
        <f>'[1]ARP Quarterly'!G4</f>
        <v>19.719000000000005</v>
      </c>
      <c r="R25" s="509">
        <f>'[1]ARP Quarterly'!H4</f>
        <v>19.719000000000005</v>
      </c>
      <c r="S25" s="509">
        <f>'[1]ARP Quarterly'!I4</f>
        <v>19.719000000000005</v>
      </c>
      <c r="T25" s="509">
        <f>'[1]ARP Quarterly'!J4</f>
        <v>1.4159999999999999</v>
      </c>
      <c r="U25" s="509">
        <f>'[1]ARP Quarterly'!K4</f>
        <v>1.4159999999999999</v>
      </c>
      <c r="V25" s="509">
        <f>'[1]ARP Quarterly'!L4</f>
        <v>1.4159999999999999</v>
      </c>
      <c r="W25" s="509">
        <f>'[1]ARP Quarterly'!M4</f>
        <v>1.4159999999999999</v>
      </c>
      <c r="X25" s="673">
        <f>'[1]ARP Quarterly'!N4</f>
        <v>1.4790000000000001</v>
      </c>
      <c r="Y25" s="673">
        <f>'[1]ARP Quarterly'!O4</f>
        <v>1.4790000000000001</v>
      </c>
      <c r="Z25" s="673">
        <f>'[1]ARP Quarterly'!P4</f>
        <v>1.4790000000000001</v>
      </c>
      <c r="AA25" s="673">
        <f>'[1]ARP Quarterly'!Q4</f>
        <v>1.4790000000000001</v>
      </c>
      <c r="AB25" s="673">
        <f>'[1]ARP Quarterly'!R4</f>
        <v>1.63</v>
      </c>
      <c r="AC25" s="673">
        <f>'[1]ARP Quarterly'!S4</f>
        <v>1.63</v>
      </c>
      <c r="AD25" s="673">
        <f>'[1]ARP Quarterly'!T4</f>
        <v>1.63</v>
      </c>
      <c r="AE25" s="673">
        <f>'[1]ARP Quarterly'!U4</f>
        <v>1.63</v>
      </c>
      <c r="AF25" s="673">
        <f>'[1]ARP Quarterly'!V4</f>
        <v>1.671</v>
      </c>
      <c r="AG25" s="687">
        <v>0</v>
      </c>
      <c r="AH25" s="687">
        <v>0</v>
      </c>
      <c r="AI25" s="687">
        <v>0</v>
      </c>
      <c r="AJ25" s="687">
        <v>0</v>
      </c>
      <c r="AK25" s="687">
        <v>0</v>
      </c>
      <c r="AL25" s="687">
        <v>0</v>
      </c>
      <c r="AM25" s="687">
        <v>0</v>
      </c>
      <c r="AN25" s="687">
        <v>0</v>
      </c>
      <c r="AO25" s="689"/>
      <c r="AP25" s="689"/>
      <c r="AQ25" s="689"/>
      <c r="AR25" s="689"/>
      <c r="AS25" s="689"/>
      <c r="AT25" s="689"/>
      <c r="AU25" s="689"/>
      <c r="AV25" s="689"/>
      <c r="AW25" s="689"/>
      <c r="AX25" s="689"/>
      <c r="AY25" s="689"/>
      <c r="AZ25" s="689"/>
      <c r="BA25" s="689"/>
      <c r="BB25" s="689"/>
      <c r="BC25" s="689"/>
      <c r="BD25" s="689"/>
      <c r="BE25" s="689"/>
      <c r="BF25" s="689"/>
      <c r="BG25" s="689"/>
      <c r="BH25" s="689"/>
      <c r="BI25" s="689"/>
      <c r="BJ25" s="689"/>
      <c r="BK25" s="689"/>
      <c r="BL25" s="689"/>
      <c r="BM25" s="689"/>
      <c r="BN25" s="689"/>
      <c r="BO25" s="689"/>
      <c r="BP25" s="689"/>
      <c r="BQ25" s="689"/>
      <c r="BR25" s="689"/>
      <c r="BS25" s="689"/>
      <c r="BT25" s="689"/>
      <c r="BU25" s="689"/>
      <c r="BV25" s="689"/>
      <c r="BW25" s="689"/>
      <c r="BX25" s="689"/>
      <c r="BY25" s="689"/>
      <c r="BZ25" s="689"/>
      <c r="CA25" s="689"/>
      <c r="CB25" s="689"/>
      <c r="CC25" s="689"/>
      <c r="CD25" s="689"/>
      <c r="CE25" s="689"/>
      <c r="CF25" s="689"/>
      <c r="CG25" s="689"/>
      <c r="CH25" s="689"/>
      <c r="CI25" s="689"/>
      <c r="CJ25" s="689"/>
      <c r="CK25" s="689"/>
      <c r="CL25" s="689"/>
      <c r="CM25" s="689"/>
      <c r="CN25" s="689"/>
      <c r="CO25" s="689"/>
      <c r="CP25" s="689"/>
      <c r="CQ25" s="689"/>
      <c r="CR25" s="689"/>
      <c r="CS25" s="689"/>
      <c r="CT25" s="689"/>
      <c r="CU25" s="689"/>
      <c r="CV25" s="689"/>
      <c r="CW25" s="689"/>
      <c r="CX25" s="689"/>
    </row>
    <row r="26" spans="2:102" ht="36.65" customHeight="1" x14ac:dyDescent="0.35">
      <c r="B26" s="256" t="s">
        <v>1427</v>
      </c>
      <c r="C26" s="249"/>
      <c r="D26" s="276">
        <f>D50</f>
        <v>0</v>
      </c>
      <c r="E26" s="233">
        <f t="shared" ref="E26:AF26" si="4">E50</f>
        <v>0</v>
      </c>
      <c r="F26" s="233">
        <f t="shared" si="4"/>
        <v>0</v>
      </c>
      <c r="G26" s="233">
        <f t="shared" si="4"/>
        <v>0</v>
      </c>
      <c r="H26" s="233">
        <f t="shared" si="4"/>
        <v>0</v>
      </c>
      <c r="I26" s="509">
        <f t="shared" si="4"/>
        <v>6.9120000000000061</v>
      </c>
      <c r="J26" s="509">
        <f t="shared" si="4"/>
        <v>50.955000000000005</v>
      </c>
      <c r="K26" s="509">
        <f t="shared" si="4"/>
        <v>51.173999999999999</v>
      </c>
      <c r="L26" s="509">
        <f t="shared" si="4"/>
        <v>51.893999999999998</v>
      </c>
      <c r="M26" s="509">
        <f t="shared" si="4"/>
        <v>91.075000000000017</v>
      </c>
      <c r="N26" s="509">
        <f t="shared" si="4"/>
        <v>100.63400000000001</v>
      </c>
      <c r="O26" s="509">
        <f t="shared" si="4"/>
        <v>93.89100000000002</v>
      </c>
      <c r="P26" s="509">
        <f t="shared" si="4"/>
        <v>100.22800000000001</v>
      </c>
      <c r="Q26" s="509">
        <f t="shared" si="4"/>
        <v>76.838999999999999</v>
      </c>
      <c r="R26" s="509">
        <f t="shared" si="4"/>
        <v>73.637</v>
      </c>
      <c r="S26" s="509">
        <f t="shared" si="4"/>
        <v>70.649000000000001</v>
      </c>
      <c r="T26" s="509">
        <f t="shared" si="4"/>
        <v>91.718000000000018</v>
      </c>
      <c r="U26" s="509">
        <f t="shared" si="4"/>
        <v>83.695999999999998</v>
      </c>
      <c r="V26" s="509">
        <f>V50</f>
        <v>51.979000000000006</v>
      </c>
      <c r="W26" s="509">
        <f>W50</f>
        <v>51.58400000000001</v>
      </c>
      <c r="X26" s="673">
        <f t="shared" si="4"/>
        <v>38.777999999999999</v>
      </c>
      <c r="Y26" s="673">
        <f t="shared" si="4"/>
        <v>37.295999999999999</v>
      </c>
      <c r="Z26" s="673">
        <f t="shared" si="4"/>
        <v>41.408000000000008</v>
      </c>
      <c r="AA26" s="673">
        <f t="shared" si="4"/>
        <v>48.07800000000001</v>
      </c>
      <c r="AB26" s="673">
        <f t="shared" si="4"/>
        <v>43.804000000000009</v>
      </c>
      <c r="AC26" s="673">
        <f t="shared" si="4"/>
        <v>40.554000000000009</v>
      </c>
      <c r="AD26" s="673">
        <f t="shared" si="4"/>
        <v>40.554000000000009</v>
      </c>
      <c r="AE26" s="673">
        <f t="shared" si="4"/>
        <v>40.554000000000009</v>
      </c>
      <c r="AF26" s="673">
        <f t="shared" si="4"/>
        <v>40.554000000000009</v>
      </c>
      <c r="AG26" s="673">
        <f>AG50</f>
        <v>40.554000000000009</v>
      </c>
      <c r="AH26" s="673">
        <f>AH50</f>
        <v>40.554000000000009</v>
      </c>
      <c r="AI26" s="673">
        <f>AI50</f>
        <v>40.554000000000009</v>
      </c>
      <c r="AJ26" s="673">
        <f>AJ50</f>
        <v>40.554000000000009</v>
      </c>
      <c r="AK26" s="673">
        <f t="shared" ref="AK26:AN26" si="5">AK50</f>
        <v>40.554000000000009</v>
      </c>
      <c r="AL26" s="673">
        <f t="shared" si="5"/>
        <v>40.554000000000009</v>
      </c>
      <c r="AM26" s="673">
        <f t="shared" si="5"/>
        <v>40.554000000000009</v>
      </c>
      <c r="AN26" s="673">
        <f t="shared" si="5"/>
        <v>40.554000000000009</v>
      </c>
      <c r="AO26" s="249"/>
      <c r="AP26" s="249"/>
      <c r="AQ26" s="249"/>
      <c r="AR26" s="249"/>
      <c r="AS26" s="249"/>
      <c r="AT26" s="249"/>
      <c r="AU26" s="249"/>
      <c r="AV26" s="249"/>
      <c r="AW26" s="249"/>
      <c r="AX26" s="249"/>
      <c r="AY26" s="249"/>
      <c r="AZ26" s="249"/>
      <c r="BA26" s="249"/>
      <c r="BB26" s="249"/>
      <c r="BC26" s="249"/>
      <c r="BD26" s="249"/>
      <c r="BE26" s="249"/>
      <c r="BF26" s="249"/>
      <c r="BG26" s="249"/>
      <c r="BH26" s="249"/>
      <c r="BI26" s="249"/>
      <c r="BJ26" s="249"/>
      <c r="BK26" s="249"/>
      <c r="BL26" s="249"/>
      <c r="BM26" s="249"/>
      <c r="BN26" s="249"/>
      <c r="BO26" s="249"/>
      <c r="BP26" s="249"/>
      <c r="BQ26" s="249"/>
      <c r="BR26" s="249"/>
      <c r="BS26" s="249"/>
      <c r="BT26" s="249"/>
      <c r="BU26" s="249"/>
      <c r="BV26" s="249"/>
      <c r="BW26" s="249"/>
      <c r="BX26" s="249"/>
      <c r="BY26" s="249"/>
      <c r="BZ26" s="249"/>
      <c r="CA26" s="249"/>
      <c r="CB26" s="249"/>
      <c r="CC26" s="249"/>
      <c r="CD26" s="249"/>
      <c r="CE26" s="249"/>
      <c r="CF26" s="249"/>
      <c r="CG26" s="249"/>
      <c r="CH26" s="249"/>
      <c r="CI26" s="249"/>
      <c r="CJ26" s="249"/>
      <c r="CK26" s="249"/>
      <c r="CL26" s="249"/>
      <c r="CM26" s="249"/>
      <c r="CN26" s="249"/>
      <c r="CO26" s="249"/>
      <c r="CP26" s="249"/>
      <c r="CQ26" s="249"/>
      <c r="CR26" s="249"/>
      <c r="CS26" s="249"/>
      <c r="CT26" s="249"/>
      <c r="CU26" s="249"/>
      <c r="CV26" s="249"/>
      <c r="CW26" s="249"/>
    </row>
    <row r="27" spans="2:102" ht="15.65" customHeight="1" x14ac:dyDescent="0.35">
      <c r="B27" s="256" t="s">
        <v>796</v>
      </c>
      <c r="C27" s="249" t="s">
        <v>823</v>
      </c>
      <c r="D27" s="275">
        <v>30</v>
      </c>
      <c r="E27" s="245">
        <v>30</v>
      </c>
      <c r="F27" s="245">
        <v>30</v>
      </c>
      <c r="G27" s="245">
        <v>30</v>
      </c>
      <c r="H27" s="245">
        <v>30</v>
      </c>
      <c r="I27" s="245">
        <v>30</v>
      </c>
      <c r="J27" s="245">
        <v>30</v>
      </c>
      <c r="K27" s="241">
        <v>30.2</v>
      </c>
      <c r="L27" s="241">
        <v>30.2</v>
      </c>
      <c r="M27" s="241">
        <f>'[1]Haver Pivoted'!GX89</f>
        <v>34.4</v>
      </c>
      <c r="N27" s="241">
        <f>'[1]Haver Pivoted'!GY89</f>
        <v>34.4</v>
      </c>
      <c r="O27" s="241">
        <f>'[1]Haver Pivoted'!GZ89</f>
        <v>218.933333333333</v>
      </c>
      <c r="P27" s="241">
        <f>'[1]Haver Pivoted'!HA89</f>
        <v>223.13333333333301</v>
      </c>
      <c r="Q27" s="241">
        <f>'[1]Haver Pivoted'!HB89</f>
        <v>94.3</v>
      </c>
      <c r="R27" s="241">
        <f>'[1]Haver Pivoted'!HC89</f>
        <v>94.3</v>
      </c>
      <c r="S27" s="467">
        <f>'[1]Haver Pivoted'!HD89</f>
        <v>94.3</v>
      </c>
      <c r="T27" s="467">
        <f>'[1]Haver Pivoted'!HE89</f>
        <v>94.3</v>
      </c>
      <c r="U27" s="673">
        <v>34</v>
      </c>
      <c r="V27" s="509">
        <v>34</v>
      </c>
      <c r="W27" s="509">
        <v>34</v>
      </c>
      <c r="X27" s="673">
        <v>34</v>
      </c>
      <c r="Y27" s="673">
        <v>34</v>
      </c>
      <c r="Z27" s="673">
        <v>34</v>
      </c>
      <c r="AA27" s="673">
        <v>34</v>
      </c>
      <c r="AB27" s="673">
        <v>34</v>
      </c>
      <c r="AC27" s="673">
        <v>34</v>
      </c>
      <c r="AD27" s="673">
        <v>34</v>
      </c>
      <c r="AE27" s="673">
        <v>34</v>
      </c>
      <c r="AF27" s="673">
        <v>34</v>
      </c>
      <c r="AG27" s="673">
        <v>34</v>
      </c>
      <c r="AH27" s="673">
        <v>34</v>
      </c>
      <c r="AI27" s="673">
        <v>35</v>
      </c>
      <c r="AJ27" s="673">
        <v>36</v>
      </c>
      <c r="AK27" s="673">
        <v>37</v>
      </c>
      <c r="AL27" s="673">
        <v>38</v>
      </c>
      <c r="AM27" s="673">
        <v>39</v>
      </c>
      <c r="AN27" s="673">
        <v>40</v>
      </c>
    </row>
    <row r="28" spans="2:102" ht="21.65" customHeight="1" x14ac:dyDescent="0.35">
      <c r="B28" s="256" t="s">
        <v>468</v>
      </c>
      <c r="C28" s="249"/>
      <c r="D28" s="276"/>
      <c r="E28" s="233"/>
      <c r="F28" s="233"/>
      <c r="G28" s="233"/>
      <c r="H28" s="509"/>
      <c r="I28" s="509"/>
      <c r="J28" s="509">
        <f>'[1]PPP (expired)'!J53</f>
        <v>57.2</v>
      </c>
      <c r="K28" s="509">
        <f>'[1]PPP (expired)'!K53</f>
        <v>81.2</v>
      </c>
      <c r="L28" s="509">
        <f>'[1]PPP (expired)'!L53</f>
        <v>24.4</v>
      </c>
      <c r="M28" s="509">
        <f>'[1]PPP (expired)'!M53</f>
        <v>11.7</v>
      </c>
      <c r="N28" s="509">
        <f>'[1]PPP (expired)'!N53</f>
        <v>28.5</v>
      </c>
      <c r="O28" s="509">
        <f>'[1]PPP (expired)'!O53</f>
        <v>18.8</v>
      </c>
      <c r="P28" s="509">
        <f>'[1]PPP (expired)'!P53</f>
        <v>1.6</v>
      </c>
      <c r="Q28" s="509">
        <f>'[1]PPP (expired)'!Q53</f>
        <v>0</v>
      </c>
      <c r="R28" s="509">
        <f>'[1]PPP (expired)'!Q61</f>
        <v>0</v>
      </c>
      <c r="S28" s="509">
        <f>'[1]PPP (expired)'!S53</f>
        <v>0</v>
      </c>
      <c r="T28" s="509">
        <f>'[1]PPP (expired)'!T53</f>
        <v>0</v>
      </c>
      <c r="U28" s="509">
        <f>'[1]PPP (expired)'!U53</f>
        <v>0</v>
      </c>
      <c r="V28" s="509">
        <f>'[1]PPP (expired)'!V53</f>
        <v>0</v>
      </c>
      <c r="W28" s="509">
        <f>'[1]PPP (expired)'!W53</f>
        <v>0</v>
      </c>
      <c r="X28" s="673">
        <f>'[1]PPP (expired)'!X53</f>
        <v>0</v>
      </c>
      <c r="Y28" s="673">
        <f>'[1]PPP (expired)'!Y53</f>
        <v>0</v>
      </c>
      <c r="Z28" s="673">
        <f>'[1]PPP (expired)'!Z53</f>
        <v>0</v>
      </c>
      <c r="AA28" s="673">
        <f>'[1]PPP (expired)'!AA53</f>
        <v>0</v>
      </c>
      <c r="AB28" s="673">
        <f>'[1]PPP (expired)'!AB53</f>
        <v>0</v>
      </c>
      <c r="AC28" s="673">
        <f>'[1]PPP (expired)'!AC53</f>
        <v>0</v>
      </c>
      <c r="AD28" s="673">
        <f>'[1]PPP (expired)'!AD53</f>
        <v>0</v>
      </c>
      <c r="AE28" s="673">
        <f>'[1]PPP (expired)'!AE53</f>
        <v>0</v>
      </c>
      <c r="AF28" s="673">
        <f>'[1]PPP (expired)'!AF53</f>
        <v>0</v>
      </c>
      <c r="AG28" s="673">
        <f>'[1]PPP (expired)'!AG53</f>
        <v>0</v>
      </c>
      <c r="AH28" s="673">
        <f>'[1]PPP (expired)'!AH53</f>
        <v>0</v>
      </c>
      <c r="AI28" s="673">
        <f>'[1]PPP (expired)'!AI53</f>
        <v>0</v>
      </c>
      <c r="AJ28" s="673">
        <f>'[1]PPP (expired)'!AJ53</f>
        <v>0</v>
      </c>
      <c r="AK28" s="673">
        <f>'[1]PPP (expired)'!AK53</f>
        <v>0</v>
      </c>
      <c r="AL28" s="673">
        <f>'[1]PPP (expired)'!AL53</f>
        <v>0</v>
      </c>
      <c r="AM28" s="673">
        <f>'[1]PPP (expired)'!AM53</f>
        <v>0</v>
      </c>
      <c r="AN28" s="673">
        <f>'[1]PPP (expired)'!AN53</f>
        <v>0</v>
      </c>
    </row>
    <row r="29" spans="2:102" ht="21.65" customHeight="1" x14ac:dyDescent="0.35">
      <c r="B29" s="291" t="s">
        <v>797</v>
      </c>
      <c r="C29" s="249"/>
      <c r="D29" s="599">
        <f t="shared" ref="D29:AE29" si="6">D74</f>
        <v>0</v>
      </c>
      <c r="E29" s="509">
        <f t="shared" si="6"/>
        <v>0</v>
      </c>
      <c r="F29" s="509">
        <f t="shared" si="6"/>
        <v>0</v>
      </c>
      <c r="G29" s="509">
        <f t="shared" si="6"/>
        <v>0</v>
      </c>
      <c r="H29" s="509">
        <f t="shared" si="6"/>
        <v>0</v>
      </c>
      <c r="I29" s="509">
        <f t="shared" si="6"/>
        <v>-6.9120000000000346</v>
      </c>
      <c r="J29" s="509">
        <f t="shared" si="6"/>
        <v>-37.9549999999997</v>
      </c>
      <c r="K29" s="509">
        <f t="shared" si="6"/>
        <v>85.725999999999658</v>
      </c>
      <c r="L29" s="509">
        <f t="shared" si="6"/>
        <v>18.405999999999722</v>
      </c>
      <c r="M29" s="509">
        <f t="shared" si="6"/>
        <v>20.282000000000153</v>
      </c>
      <c r="N29" s="509">
        <f t="shared" si="6"/>
        <v>-8.5988400000003367</v>
      </c>
      <c r="O29" s="509">
        <f t="shared" si="6"/>
        <v>-12.537493333333487</v>
      </c>
      <c r="P29" s="509">
        <f t="shared" si="6"/>
        <v>-32.38033333333351</v>
      </c>
      <c r="Q29" s="509">
        <f t="shared" si="6"/>
        <v>72.734879999999521</v>
      </c>
      <c r="R29" s="509">
        <f t="shared" si="6"/>
        <v>75.236879999999019</v>
      </c>
      <c r="S29" s="509">
        <f t="shared" si="6"/>
        <v>66.046879999999419</v>
      </c>
      <c r="T29" s="509">
        <f t="shared" si="6"/>
        <v>90.12587999999937</v>
      </c>
      <c r="U29" s="509">
        <f t="shared" si="6"/>
        <v>55.219026999999414</v>
      </c>
      <c r="V29" s="509">
        <f>V74</f>
        <v>69.376026999999112</v>
      </c>
      <c r="W29" s="509">
        <f t="shared" si="6"/>
        <v>73.871026999999231</v>
      </c>
      <c r="X29" s="673">
        <f t="shared" si="6"/>
        <v>92.003026999999292</v>
      </c>
      <c r="Y29" s="673">
        <f t="shared" si="6"/>
        <v>133.13552299999901</v>
      </c>
      <c r="Z29" s="673">
        <f t="shared" si="6"/>
        <v>146.42352299999902</v>
      </c>
      <c r="AA29" s="673">
        <f t="shared" si="6"/>
        <v>149.85352299999886</v>
      </c>
      <c r="AB29" s="673">
        <f t="shared" si="6"/>
        <v>163.69852299999889</v>
      </c>
      <c r="AC29" s="673">
        <f t="shared" si="6"/>
        <v>214.3287979999991</v>
      </c>
      <c r="AD29" s="673">
        <f t="shared" si="6"/>
        <v>214.3287979999991</v>
      </c>
      <c r="AE29" s="673">
        <f t="shared" si="6"/>
        <v>214.3287979999991</v>
      </c>
      <c r="AF29" s="673">
        <f>AF74</f>
        <v>214.3287979999991</v>
      </c>
      <c r="AG29" s="673">
        <f>AG74</f>
        <v>214.3287979999991</v>
      </c>
      <c r="AH29" s="673">
        <f>AH74</f>
        <v>214.3287979999991</v>
      </c>
      <c r="AI29" s="673">
        <f t="shared" ref="AI29:AN29" si="7">AI74</f>
        <v>214.3287979999991</v>
      </c>
      <c r="AJ29" s="673">
        <f t="shared" si="7"/>
        <v>214.3287979999991</v>
      </c>
      <c r="AK29" s="673">
        <f t="shared" si="7"/>
        <v>214.3287979999991</v>
      </c>
      <c r="AL29" s="673">
        <f t="shared" si="7"/>
        <v>214.3287979999991</v>
      </c>
      <c r="AM29" s="673">
        <f t="shared" si="7"/>
        <v>214.3287979999991</v>
      </c>
      <c r="AN29" s="673">
        <f t="shared" si="7"/>
        <v>214.3287979999991</v>
      </c>
    </row>
    <row r="30" spans="2:102" ht="21" customHeight="1" x14ac:dyDescent="0.35">
      <c r="B30" s="272" t="s">
        <v>794</v>
      </c>
      <c r="C30" s="267"/>
      <c r="D30" s="721">
        <f t="shared" ref="D30:AB30" si="8">D25+D21</f>
        <v>0</v>
      </c>
      <c r="E30" s="639">
        <f t="shared" si="8"/>
        <v>0</v>
      </c>
      <c r="F30" s="639">
        <f t="shared" si="8"/>
        <v>0</v>
      </c>
      <c r="G30" s="639">
        <f t="shared" si="8"/>
        <v>0</v>
      </c>
      <c r="H30" s="639">
        <f t="shared" si="8"/>
        <v>0</v>
      </c>
      <c r="I30" s="639">
        <f t="shared" si="8"/>
        <v>0</v>
      </c>
      <c r="J30" s="639">
        <f t="shared" si="8"/>
        <v>160.9</v>
      </c>
      <c r="K30" s="639">
        <f t="shared" si="8"/>
        <v>58.4</v>
      </c>
      <c r="L30" s="639">
        <f t="shared" si="8"/>
        <v>34.5</v>
      </c>
      <c r="M30" s="639">
        <f t="shared" si="8"/>
        <v>21.4</v>
      </c>
      <c r="N30" s="639">
        <f t="shared" si="8"/>
        <v>13.3</v>
      </c>
      <c r="O30" s="639">
        <f t="shared" si="8"/>
        <v>21.804000000000041</v>
      </c>
      <c r="P30" s="572">
        <f t="shared" si="8"/>
        <v>51.919000000000011</v>
      </c>
      <c r="Q30" s="639">
        <f t="shared" si="8"/>
        <v>46.619</v>
      </c>
      <c r="R30" s="639">
        <f t="shared" si="8"/>
        <v>39.719000000000008</v>
      </c>
      <c r="S30" s="639">
        <f t="shared" si="8"/>
        <v>27.819000000000003</v>
      </c>
      <c r="T30" s="572">
        <f t="shared" si="8"/>
        <v>6.3160000000000007</v>
      </c>
      <c r="U30" s="572">
        <f t="shared" si="8"/>
        <v>1.4159999999999999</v>
      </c>
      <c r="V30" s="572">
        <f t="shared" si="8"/>
        <v>1.4159999999999999</v>
      </c>
      <c r="W30" s="572">
        <f t="shared" si="8"/>
        <v>1.4159999999999999</v>
      </c>
      <c r="X30" s="574">
        <f t="shared" si="8"/>
        <v>1.4790000000000001</v>
      </c>
      <c r="Y30" s="574">
        <f t="shared" si="8"/>
        <v>1.4790000000000001</v>
      </c>
      <c r="Z30" s="574">
        <f t="shared" si="8"/>
        <v>1.4790000000000001</v>
      </c>
      <c r="AA30" s="574">
        <f t="shared" si="8"/>
        <v>1.4790000000000001</v>
      </c>
      <c r="AB30" s="574">
        <f t="shared" si="8"/>
        <v>1.63</v>
      </c>
      <c r="AC30" s="574">
        <f>AC25+AC21</f>
        <v>1.63</v>
      </c>
      <c r="AD30" s="574">
        <f t="shared" ref="AD30:AE30" si="9">AD25+AD21</f>
        <v>1.63</v>
      </c>
      <c r="AE30" s="574">
        <f t="shared" si="9"/>
        <v>1.63</v>
      </c>
      <c r="AF30" s="574">
        <f>AF25+AF21</f>
        <v>1.671</v>
      </c>
      <c r="AG30" s="574">
        <f>AG25+AG21</f>
        <v>0</v>
      </c>
      <c r="AH30" s="574">
        <f>AH25+AH21</f>
        <v>0</v>
      </c>
      <c r="AI30" s="574">
        <f t="shared" ref="AI30:AN30" si="10">AI25+AI21</f>
        <v>0</v>
      </c>
      <c r="AJ30" s="574">
        <f t="shared" si="10"/>
        <v>0</v>
      </c>
      <c r="AK30" s="574">
        <f t="shared" si="10"/>
        <v>0</v>
      </c>
      <c r="AL30" s="574">
        <f t="shared" si="10"/>
        <v>0</v>
      </c>
      <c r="AM30" s="574">
        <f t="shared" si="10"/>
        <v>0</v>
      </c>
      <c r="AN30" s="574">
        <f t="shared" si="10"/>
        <v>0</v>
      </c>
    </row>
    <row r="31" spans="2:102" ht="44.9" customHeight="1" x14ac:dyDescent="0.35">
      <c r="B31" s="256" t="s">
        <v>801</v>
      </c>
      <c r="C31" s="249"/>
      <c r="D31" s="599">
        <f t="shared" ref="D31:AE31" si="11">D66</f>
        <v>1410.9</v>
      </c>
      <c r="E31" s="509">
        <f t="shared" si="11"/>
        <v>1470.7000000000003</v>
      </c>
      <c r="F31" s="509">
        <f t="shared" si="11"/>
        <v>1475.8999999999996</v>
      </c>
      <c r="G31" s="509">
        <f t="shared" si="11"/>
        <v>1482.6999999999998</v>
      </c>
      <c r="H31" s="509">
        <f t="shared" si="11"/>
        <v>1490.8000000000002</v>
      </c>
      <c r="I31" s="509">
        <f t="shared" si="11"/>
        <v>1542.4</v>
      </c>
      <c r="J31" s="509">
        <f t="shared" si="11"/>
        <v>1549.1000000000001</v>
      </c>
      <c r="K31" s="509">
        <f t="shared" si="11"/>
        <v>1555.8000000000002</v>
      </c>
      <c r="L31" s="509">
        <f t="shared" si="11"/>
        <v>1562.5000000000002</v>
      </c>
      <c r="M31" s="509">
        <f t="shared" si="11"/>
        <v>1586.8430000000003</v>
      </c>
      <c r="N31" s="509">
        <f t="shared" si="11"/>
        <v>1593.5430000000003</v>
      </c>
      <c r="O31" s="509">
        <f t="shared" si="11"/>
        <v>1600.2430000000004</v>
      </c>
      <c r="P31" s="509">
        <f t="shared" si="11"/>
        <v>1606.9430000000004</v>
      </c>
      <c r="Q31" s="509">
        <f t="shared" si="11"/>
        <v>1685.5501200000006</v>
      </c>
      <c r="R31" s="509">
        <f t="shared" si="11"/>
        <v>1692.2501200000006</v>
      </c>
      <c r="S31" s="509">
        <f t="shared" si="11"/>
        <v>1698.9501200000007</v>
      </c>
      <c r="T31" s="509">
        <f t="shared" si="11"/>
        <v>1705.6501200000007</v>
      </c>
      <c r="U31" s="509">
        <f t="shared" si="11"/>
        <v>1818.9789730000007</v>
      </c>
      <c r="V31" s="509">
        <f t="shared" si="11"/>
        <v>1825.6789730000007</v>
      </c>
      <c r="W31" s="509">
        <f t="shared" si="11"/>
        <v>1832.3789730000008</v>
      </c>
      <c r="X31" s="673">
        <f t="shared" si="11"/>
        <v>1839.0789730000008</v>
      </c>
      <c r="Y31" s="673">
        <f t="shared" si="11"/>
        <v>1891.4284770000008</v>
      </c>
      <c r="Z31" s="673">
        <f t="shared" si="11"/>
        <v>1898.1284770000009</v>
      </c>
      <c r="AA31" s="673">
        <f t="shared" si="11"/>
        <v>1904.8284770000009</v>
      </c>
      <c r="AB31" s="673">
        <f>AB66</f>
        <v>1911.528477000001</v>
      </c>
      <c r="AC31" s="673">
        <f t="shared" si="11"/>
        <v>1956.4482020000009</v>
      </c>
      <c r="AD31" s="673">
        <f t="shared" si="11"/>
        <v>1963.148202000001</v>
      </c>
      <c r="AE31" s="673">
        <f t="shared" si="11"/>
        <v>1969.848202000001</v>
      </c>
      <c r="AF31" s="673">
        <f>AF66</f>
        <v>1976.5482020000011</v>
      </c>
      <c r="AG31" s="673">
        <f>AG66</f>
        <v>2021.8053925010011</v>
      </c>
      <c r="AH31" s="673">
        <f>AH66</f>
        <v>2028.5053925010011</v>
      </c>
      <c r="AI31" s="673">
        <f t="shared" ref="AI31:AN31" si="12">AI66</f>
        <v>2035.2053925010011</v>
      </c>
      <c r="AJ31" s="673">
        <f t="shared" si="12"/>
        <v>2041.9053925010012</v>
      </c>
      <c r="AK31" s="673">
        <f t="shared" si="12"/>
        <v>2089.4772613835244</v>
      </c>
      <c r="AL31" s="673">
        <f t="shared" si="12"/>
        <v>2096.1772613835242</v>
      </c>
      <c r="AM31" s="673">
        <f t="shared" si="12"/>
        <v>2102.877261383524</v>
      </c>
      <c r="AN31" s="673">
        <f t="shared" si="12"/>
        <v>2109.5772613835238</v>
      </c>
    </row>
    <row r="32" spans="2:102" ht="44.9" customHeight="1" x14ac:dyDescent="0.35">
      <c r="B32" s="433" t="s">
        <v>1179</v>
      </c>
      <c r="D32" s="599"/>
      <c r="E32" s="509"/>
      <c r="F32" s="509"/>
      <c r="G32" s="509"/>
      <c r="H32" s="509"/>
      <c r="I32" s="509"/>
      <c r="J32" s="509"/>
      <c r="K32" s="509"/>
      <c r="L32" s="509"/>
      <c r="M32" s="509"/>
      <c r="N32" s="509"/>
      <c r="O32" s="509"/>
      <c r="P32" s="509"/>
      <c r="Q32" s="509"/>
      <c r="R32" s="509"/>
      <c r="S32" s="677">
        <f>'[1]IRA and CHIPS'!E191</f>
        <v>-0.622</v>
      </c>
      <c r="T32" s="677">
        <f>'[1]IRA and CHIPS'!F191</f>
        <v>21.89</v>
      </c>
      <c r="U32" s="677">
        <f>'[1]IRA and CHIPS'!G191</f>
        <v>21.89</v>
      </c>
      <c r="V32" s="677">
        <f>'[1]IRA and CHIPS'!H191</f>
        <v>21.89</v>
      </c>
      <c r="W32" s="677">
        <f>'[1]IRA and CHIPS'!I191</f>
        <v>21.89</v>
      </c>
      <c r="X32" s="688">
        <f>'[1]IRA and CHIPS'!J191</f>
        <v>15.439</v>
      </c>
      <c r="Y32" s="688">
        <f>'[1]IRA and CHIPS'!K191</f>
        <v>15.439</v>
      </c>
      <c r="Z32" s="688">
        <f>'[1]IRA and CHIPS'!L191</f>
        <v>15.439</v>
      </c>
      <c r="AA32" s="688">
        <f>'[1]IRA and CHIPS'!M191</f>
        <v>15.439</v>
      </c>
      <c r="AB32" s="688">
        <f>'[1]IRA and CHIPS'!N191</f>
        <v>16.966999999999999</v>
      </c>
      <c r="AC32" s="688">
        <f>'[1]IRA and CHIPS'!O191</f>
        <v>16.966999999999999</v>
      </c>
      <c r="AD32" s="688">
        <f>'[1]IRA and CHIPS'!P191</f>
        <v>16.966999999999999</v>
      </c>
      <c r="AE32" s="688">
        <f>'[1]IRA and CHIPS'!Q191</f>
        <v>16.966999999999999</v>
      </c>
      <c r="AF32" s="688">
        <f>'[1]IRA and CHIPS'!R191</f>
        <v>0.72799999999999998</v>
      </c>
      <c r="AG32" s="688">
        <f>'[1]IRA and CHIPS'!S191</f>
        <v>0.72799999999999998</v>
      </c>
      <c r="AH32" s="688">
        <f>0</f>
        <v>0</v>
      </c>
      <c r="AI32" s="688">
        <f>0</f>
        <v>0</v>
      </c>
      <c r="AJ32" s="688">
        <f>0</f>
        <v>0</v>
      </c>
      <c r="AK32" s="688">
        <f>0</f>
        <v>0</v>
      </c>
      <c r="AL32" s="688">
        <f>0</f>
        <v>0</v>
      </c>
      <c r="AM32" s="688">
        <f>0</f>
        <v>0</v>
      </c>
      <c r="AN32" s="688">
        <f>0</f>
        <v>0</v>
      </c>
    </row>
    <row r="33" spans="2:40" ht="31.4" customHeight="1" x14ac:dyDescent="0.35">
      <c r="B33" s="588" t="s">
        <v>798</v>
      </c>
      <c r="C33" s="267"/>
      <c r="D33" s="572">
        <f t="shared" ref="D33:R33" si="13">D31+SUM(D26:D29)+D32</f>
        <v>1440.9</v>
      </c>
      <c r="E33" s="572">
        <f t="shared" si="13"/>
        <v>1500.7000000000003</v>
      </c>
      <c r="F33" s="572">
        <f t="shared" si="13"/>
        <v>1505.8999999999996</v>
      </c>
      <c r="G33" s="572">
        <f t="shared" si="13"/>
        <v>1512.6999999999998</v>
      </c>
      <c r="H33" s="572">
        <f t="shared" si="13"/>
        <v>1520.8000000000002</v>
      </c>
      <c r="I33" s="572">
        <f t="shared" si="13"/>
        <v>1572.4</v>
      </c>
      <c r="J33" s="572">
        <f t="shared" si="13"/>
        <v>1649.3000000000004</v>
      </c>
      <c r="K33" s="572">
        <f t="shared" si="13"/>
        <v>1804.1</v>
      </c>
      <c r="L33" s="572">
        <f t="shared" si="13"/>
        <v>1687.3999999999999</v>
      </c>
      <c r="M33" s="572">
        <f t="shared" si="13"/>
        <v>1744.3000000000004</v>
      </c>
      <c r="N33" s="572">
        <f t="shared" si="13"/>
        <v>1748.4781600000001</v>
      </c>
      <c r="O33" s="572">
        <f t="shared" si="13"/>
        <v>1919.3298399999999</v>
      </c>
      <c r="P33" s="572">
        <f t="shared" si="13"/>
        <v>1899.5239999999999</v>
      </c>
      <c r="Q33" s="572">
        <f t="shared" si="13"/>
        <v>1929.424</v>
      </c>
      <c r="R33" s="572">
        <f t="shared" si="13"/>
        <v>1935.4239999999995</v>
      </c>
      <c r="S33" s="572">
        <f>S31+SUM(S26:S29)+S32</f>
        <v>1929.3240000000001</v>
      </c>
      <c r="T33" s="699">
        <f>T31+SUM(T26:T29)+T32</f>
        <v>2003.6840000000002</v>
      </c>
      <c r="U33" s="699">
        <f>U31+SUM(U26:U29)+U32</f>
        <v>2013.7840000000001</v>
      </c>
      <c r="V33" s="572">
        <f>V31+SUM(V26:V29)+V32</f>
        <v>2002.924</v>
      </c>
      <c r="W33" s="572">
        <f>W31+SUM(W26:W29)+W32</f>
        <v>2013.7240000000002</v>
      </c>
      <c r="X33" s="574">
        <f t="shared" ref="X33" si="14">X31+SUM(X26:X29)+X32</f>
        <v>2019.2990000000002</v>
      </c>
      <c r="Y33" s="574">
        <f>Y31+SUM(Y26:Y29)+Y32</f>
        <v>2111.2989999999995</v>
      </c>
      <c r="Z33" s="574">
        <f t="shared" ref="Z33:AB33" si="15">Z31+SUM(Z26:Z29)+Z32</f>
        <v>2135.3989999999999</v>
      </c>
      <c r="AA33" s="574">
        <f t="shared" si="15"/>
        <v>2152.1989999999996</v>
      </c>
      <c r="AB33" s="574">
        <f t="shared" si="15"/>
        <v>2169.998</v>
      </c>
      <c r="AC33" s="574">
        <f>AC31+SUM(AC26:AC29)+AC32</f>
        <v>2262.2980000000002</v>
      </c>
      <c r="AD33" s="574">
        <f>AD31+SUM(AD26:AD29)+AD32</f>
        <v>2268.998</v>
      </c>
      <c r="AE33" s="574">
        <f t="shared" ref="AE33" si="16">AE31+SUM(AE26:AE29)+AE32</f>
        <v>2275.6980000000003</v>
      </c>
      <c r="AF33" s="574">
        <f>AF31+SUM(AF26:AF29)+AF32</f>
        <v>2266.1590000000001</v>
      </c>
      <c r="AG33" s="574">
        <f>AG31+SUM(AG26:AG29)+AG32</f>
        <v>2311.4161905010001</v>
      </c>
      <c r="AH33" s="574">
        <f>AH31+SUM(AH26:AH29)+AH32</f>
        <v>2317.3881905010003</v>
      </c>
      <c r="AI33" s="574">
        <f>AI31+SUM(AI26:AI29)+AI32</f>
        <v>2325.0881905010001</v>
      </c>
      <c r="AJ33" s="574">
        <f t="shared" ref="AJ33:AN33" si="17">AJ31+SUM(AJ26:AJ29)+AJ32</f>
        <v>2332.7881905010004</v>
      </c>
      <c r="AK33" s="574">
        <f t="shared" si="17"/>
        <v>2381.3600593835235</v>
      </c>
      <c r="AL33" s="574">
        <f t="shared" si="17"/>
        <v>2389.0600593835234</v>
      </c>
      <c r="AM33" s="574">
        <f t="shared" si="17"/>
        <v>2396.7600593835232</v>
      </c>
      <c r="AN33" s="574">
        <f t="shared" si="17"/>
        <v>2404.460059383523</v>
      </c>
    </row>
    <row r="34" spans="2:40" ht="31.4" customHeight="1" x14ac:dyDescent="0.35">
      <c r="B34" s="588"/>
      <c r="C34" s="267"/>
      <c r="D34" s="572"/>
      <c r="E34" s="572"/>
      <c r="F34" s="572"/>
      <c r="G34" s="572"/>
      <c r="H34" s="572"/>
      <c r="I34" s="572"/>
      <c r="J34" s="572"/>
      <c r="K34" s="572"/>
      <c r="L34" s="572"/>
      <c r="M34" s="572"/>
      <c r="N34" s="572"/>
      <c r="O34" s="572"/>
      <c r="P34" s="572"/>
      <c r="Q34" s="572"/>
      <c r="R34" s="572"/>
      <c r="S34" s="572"/>
      <c r="T34" s="572"/>
      <c r="U34" s="572"/>
      <c r="V34" s="572"/>
      <c r="W34" s="572"/>
      <c r="X34" s="574"/>
      <c r="Y34" s="574"/>
      <c r="Z34" s="574"/>
      <c r="AA34" s="574"/>
      <c r="AB34" s="574"/>
      <c r="AC34" s="574"/>
      <c r="AD34" s="574">
        <f>AD31+AD29-AD70</f>
        <v>580.4079999999999</v>
      </c>
      <c r="AE34" s="574">
        <f t="shared" ref="AE34:AN34" si="18">AE31+AE29-AE70</f>
        <v>577.10800000000017</v>
      </c>
      <c r="AF34" s="574">
        <f t="shared" si="18"/>
        <v>567.80800000000045</v>
      </c>
      <c r="AG34" s="574">
        <f t="shared" si="18"/>
        <v>559.73460350100049</v>
      </c>
      <c r="AH34" s="574">
        <f t="shared" si="18"/>
        <v>550.43460350100031</v>
      </c>
      <c r="AI34" s="574">
        <f t="shared" si="18"/>
        <v>541.13460350100013</v>
      </c>
      <c r="AJ34" s="574">
        <f t="shared" si="18"/>
        <v>532.8346035010004</v>
      </c>
      <c r="AK34" s="574">
        <f t="shared" si="18"/>
        <v>526.76828188252352</v>
      </c>
      <c r="AL34" s="574">
        <f t="shared" si="18"/>
        <v>520.46828188252334</v>
      </c>
      <c r="AM34" s="574">
        <f t="shared" si="18"/>
        <v>515.16828188252316</v>
      </c>
      <c r="AN34" s="574">
        <f t="shared" si="18"/>
        <v>510.86828188252298</v>
      </c>
    </row>
    <row r="35" spans="2:40" ht="31.4" customHeight="1" x14ac:dyDescent="0.35">
      <c r="B35" s="1410" t="s">
        <v>471</v>
      </c>
      <c r="C35" s="1417"/>
      <c r="D35" s="584"/>
      <c r="E35" s="585"/>
      <c r="F35" s="585"/>
      <c r="G35" s="585"/>
      <c r="H35" s="585"/>
      <c r="I35" s="585"/>
      <c r="J35" s="585"/>
      <c r="K35" s="585"/>
      <c r="L35" s="585"/>
      <c r="M35" s="585"/>
      <c r="N35" s="585"/>
      <c r="O35" s="585"/>
      <c r="P35" s="585"/>
      <c r="Q35" s="585"/>
      <c r="R35" s="585"/>
      <c r="S35" s="585"/>
      <c r="T35" s="572"/>
      <c r="U35" s="585"/>
      <c r="V35" s="572"/>
      <c r="W35" s="572"/>
      <c r="X35" s="574"/>
      <c r="Y35" s="574"/>
      <c r="Z35" s="574"/>
      <c r="AA35" s="574"/>
      <c r="AB35" s="574"/>
      <c r="AC35" s="574"/>
      <c r="AD35" s="574"/>
      <c r="AE35" s="574"/>
      <c r="AF35" s="574"/>
      <c r="AG35" s="574"/>
      <c r="AH35" s="574"/>
      <c r="AI35" s="574"/>
      <c r="AJ35" s="574"/>
      <c r="AK35" s="574"/>
      <c r="AL35" s="574"/>
      <c r="AM35" s="574"/>
      <c r="AN35" s="574"/>
    </row>
    <row r="36" spans="2:40" x14ac:dyDescent="0.35">
      <c r="B36" s="291" t="s">
        <v>803</v>
      </c>
      <c r="C36" s="249" t="s">
        <v>472</v>
      </c>
      <c r="D36" s="276">
        <f>'[1]Haver Pivoted'!GO37</f>
        <v>733.6</v>
      </c>
      <c r="E36" s="233">
        <f>'[1]Haver Pivoted'!GP37</f>
        <v>744.3</v>
      </c>
      <c r="F36" s="233">
        <f>'[1]Haver Pivoted'!GQ37</f>
        <v>762.3</v>
      </c>
      <c r="G36" s="233">
        <f>'[1]Haver Pivoted'!GR37</f>
        <v>772.2</v>
      </c>
      <c r="H36" s="233">
        <f>'[1]Haver Pivoted'!GS37</f>
        <v>772.1</v>
      </c>
      <c r="I36" s="233">
        <f>'[1]Haver Pivoted'!GT37</f>
        <v>760.8</v>
      </c>
      <c r="J36" s="233">
        <f>'[1]Haver Pivoted'!GU37</f>
        <v>811.3</v>
      </c>
      <c r="K36" s="233">
        <f>'[1]Haver Pivoted'!GV37</f>
        <v>850.3</v>
      </c>
      <c r="L36" s="233">
        <f>'[1]Haver Pivoted'!GW37</f>
        <v>840.3</v>
      </c>
      <c r="M36" s="233">
        <f>'[1]Haver Pivoted'!GX37</f>
        <v>869.7</v>
      </c>
      <c r="N36" s="233">
        <f>'[1]Haver Pivoted'!GY37</f>
        <v>913.8</v>
      </c>
      <c r="O36" s="233">
        <f>'[1]Haver Pivoted'!GZ37</f>
        <v>923.8</v>
      </c>
      <c r="P36" s="233">
        <f>'[1]Haver Pivoted'!HA37</f>
        <v>923.5</v>
      </c>
      <c r="Q36" s="233">
        <f>'[1]Haver Pivoted'!HB37</f>
        <v>973.6</v>
      </c>
      <c r="R36" s="233">
        <f>'[1]Haver Pivoted'!HC37</f>
        <v>1010.5</v>
      </c>
      <c r="S36" s="214">
        <f>'[1]Haver Pivoted'!HD37</f>
        <v>1032.5999999999999</v>
      </c>
      <c r="T36" s="214">
        <f>'[1]Haver Pivoted'!HE37</f>
        <v>1096.5999999999999</v>
      </c>
      <c r="U36" s="214">
        <f>'[1]Haver Pivoted'!HF37</f>
        <v>1083.2</v>
      </c>
      <c r="V36" s="676">
        <f>'[1]Haver Pivoted'!HG37</f>
        <v>1111.0999999999999</v>
      </c>
      <c r="W36" s="676">
        <f>'[1]Haver Pivoted'!HH37</f>
        <v>1069.4000000000001</v>
      </c>
      <c r="X36" s="676">
        <f>'[1]Haver Pivoted'!HI37</f>
        <v>1061</v>
      </c>
      <c r="Y36" s="676">
        <f>'[1]Haver Pivoted'!HJ37</f>
        <v>1113.5</v>
      </c>
      <c r="Z36" s="676">
        <f>'[1]Haver Pivoted'!HK37</f>
        <v>1136.9000000000001</v>
      </c>
      <c r="AA36" s="676">
        <f>'[1]Haver Pivoted'!HL37</f>
        <v>1154</v>
      </c>
      <c r="AB36" s="676">
        <f>'[1]Haver Pivoted'!HM37</f>
        <v>1162.5</v>
      </c>
      <c r="AC36" s="676">
        <f>'[1]Haver Pivoted'!HN37</f>
        <v>1176.2</v>
      </c>
      <c r="AD36" s="294"/>
      <c r="AE36" s="294"/>
      <c r="AF36" s="294"/>
      <c r="AG36" s="294"/>
      <c r="AH36" s="294"/>
      <c r="AI36" s="294"/>
      <c r="AJ36" s="294"/>
      <c r="AK36" s="294"/>
      <c r="AL36" s="294"/>
      <c r="AM36" s="294"/>
      <c r="AN36" s="294"/>
    </row>
    <row r="37" spans="2:40" x14ac:dyDescent="0.35">
      <c r="B37" s="571" t="s">
        <v>209</v>
      </c>
      <c r="C37" s="249"/>
      <c r="D37" s="599">
        <f>[1]Medicaid!D27</f>
        <v>589.5</v>
      </c>
      <c r="E37" s="509">
        <f>[1]Medicaid!E27</f>
        <v>598.70000000000005</v>
      </c>
      <c r="F37" s="509">
        <f>[1]Medicaid!F27</f>
        <v>614.4</v>
      </c>
      <c r="G37" s="509">
        <f>[1]Medicaid!G27</f>
        <v>622.4</v>
      </c>
      <c r="H37" s="509">
        <f>[1]Medicaid!H27</f>
        <v>620.6</v>
      </c>
      <c r="I37" s="509">
        <f>[1]Medicaid!I27</f>
        <v>606.5</v>
      </c>
      <c r="J37" s="509">
        <f>[1]Medicaid!J27</f>
        <v>654.6</v>
      </c>
      <c r="K37" s="509">
        <f>[1]Medicaid!K27</f>
        <v>690.8</v>
      </c>
      <c r="L37" s="509">
        <f>[1]Medicaid!L27</f>
        <v>678.6</v>
      </c>
      <c r="M37" s="509">
        <f>[1]Medicaid!M27</f>
        <v>704.9</v>
      </c>
      <c r="N37" s="509">
        <f>[1]Medicaid!N27</f>
        <v>745.6</v>
      </c>
      <c r="O37" s="509">
        <f>[1]Medicaid!O27</f>
        <v>749.2</v>
      </c>
      <c r="P37" s="509">
        <f>[1]Medicaid!P27</f>
        <v>746.3</v>
      </c>
      <c r="Q37" s="509">
        <f>[1]Medicaid!Q27</f>
        <v>791.9</v>
      </c>
      <c r="R37" s="509">
        <f>[1]Medicaid!R27</f>
        <v>819.2</v>
      </c>
      <c r="S37" s="214">
        <f>[1]Medicaid!S27</f>
        <v>819</v>
      </c>
      <c r="T37" s="509">
        <f>[1]Medicaid!T27</f>
        <v>827.5</v>
      </c>
      <c r="U37" s="509">
        <f>[1]Medicaid!U27</f>
        <v>877.6</v>
      </c>
      <c r="V37" s="509">
        <f>[1]Medicaid!V27</f>
        <v>911.6</v>
      </c>
      <c r="W37" s="509">
        <f>[1]Medicaid!W27</f>
        <v>867.2</v>
      </c>
      <c r="X37" s="673">
        <f>[1]Medicaid!X27</f>
        <v>856.2</v>
      </c>
      <c r="Y37" s="673">
        <f>[1]Medicaid!Y27</f>
        <v>904.8</v>
      </c>
      <c r="Z37" s="673">
        <f>[1]Medicaid!Z27</f>
        <v>924.7</v>
      </c>
      <c r="AA37" s="673">
        <f>[1]Medicaid!AA27</f>
        <v>932.4</v>
      </c>
      <c r="AB37" s="673">
        <f>[1]Medicaid!AB27</f>
        <v>944.8</v>
      </c>
      <c r="AC37" s="673">
        <f>[1]Medicaid!AC27</f>
        <v>957.6</v>
      </c>
      <c r="AD37" s="673">
        <f>[1]Medicaid!AD27</f>
        <v>969.02169234293717</v>
      </c>
      <c r="AE37" s="673">
        <f>[1]Medicaid!AE27</f>
        <v>985.63925302097391</v>
      </c>
      <c r="AF37" s="673">
        <f>[1]Medicaid!AF27</f>
        <v>1000.6374493152194</v>
      </c>
      <c r="AG37" s="673">
        <f>[1]Medicaid!AG27</f>
        <v>1015.8638689593278</v>
      </c>
      <c r="AH37" s="673">
        <f>[1]Medicaid!AH27</f>
        <v>1031.3219847640555</v>
      </c>
      <c r="AI37" s="673">
        <f>[1]Medicaid!AI27</f>
        <v>1047.0153223849477</v>
      </c>
      <c r="AJ37" s="673">
        <f>[1]Medicaid!AJ27</f>
        <v>1062.6373302089942</v>
      </c>
      <c r="AK37" s="673">
        <f>[1]Medicaid!AK27</f>
        <v>1078.4924264351268</v>
      </c>
      <c r="AL37" s="673">
        <f>[1]Medicaid!AL27</f>
        <v>1094.5840888623457</v>
      </c>
      <c r="AM37" s="673">
        <f>[1]Medicaid!AM27</f>
        <v>1110.9158471802029</v>
      </c>
      <c r="AN37" s="673" t="e">
        <f>[1]Medicaid!AN27</f>
        <v>#DIV/0!</v>
      </c>
    </row>
    <row r="38" spans="2:40" ht="14.9" customHeight="1" x14ac:dyDescent="0.35">
      <c r="B38" s="588" t="s">
        <v>804</v>
      </c>
      <c r="C38" s="267"/>
      <c r="D38" s="598">
        <f>D36-D37</f>
        <v>144.10000000000002</v>
      </c>
      <c r="E38" s="572">
        <f t="shared" ref="E38:O38" si="19">E36-E37</f>
        <v>145.59999999999991</v>
      </c>
      <c r="F38" s="572">
        <f t="shared" si="19"/>
        <v>147.89999999999998</v>
      </c>
      <c r="G38" s="572">
        <f t="shared" si="19"/>
        <v>149.80000000000007</v>
      </c>
      <c r="H38" s="572">
        <f t="shared" si="19"/>
        <v>151.5</v>
      </c>
      <c r="I38" s="572">
        <f t="shared" si="19"/>
        <v>154.29999999999995</v>
      </c>
      <c r="J38" s="572">
        <f t="shared" si="19"/>
        <v>156.69999999999993</v>
      </c>
      <c r="K38" s="572">
        <f t="shared" si="19"/>
        <v>159.5</v>
      </c>
      <c r="L38" s="572">
        <f t="shared" si="19"/>
        <v>161.69999999999993</v>
      </c>
      <c r="M38" s="572">
        <f t="shared" si="19"/>
        <v>164.80000000000007</v>
      </c>
      <c r="N38" s="572">
        <f t="shared" si="19"/>
        <v>168.19999999999993</v>
      </c>
      <c r="O38" s="572">
        <f t="shared" si="19"/>
        <v>174.59999999999991</v>
      </c>
      <c r="P38" s="572">
        <f>P36-P37</f>
        <v>177.20000000000005</v>
      </c>
      <c r="Q38" s="572">
        <f>Q36-Q37</f>
        <v>181.70000000000005</v>
      </c>
      <c r="R38" s="572">
        <f>R36-R37</f>
        <v>191.29999999999995</v>
      </c>
      <c r="S38" s="214">
        <f>S36-S37</f>
        <v>213.59999999999991</v>
      </c>
      <c r="T38" s="214">
        <f>T36-T37</f>
        <v>269.09999999999991</v>
      </c>
      <c r="U38" s="572">
        <f>T38*(1+AVERAGE($F$40:$I$40))+U39</f>
        <v>203.03380700109631</v>
      </c>
      <c r="V38" s="572">
        <f>U38*(1+AVERAGE($F$40:$I$40))+V39</f>
        <v>206.0018330562437</v>
      </c>
      <c r="W38" s="572">
        <f t="shared" ref="W38:AA38" si="20">V38*(1+AVERAGE($F$40:$I$40))</f>
        <v>209.01324685451698</v>
      </c>
      <c r="X38" s="574">
        <f>W38*(1+AVERAGE($F$40:$I$40))</f>
        <v>212.06868265458453</v>
      </c>
      <c r="Y38" s="574">
        <f t="shared" si="20"/>
        <v>215.16878398695127</v>
      </c>
      <c r="Z38" s="574">
        <f t="shared" si="20"/>
        <v>218.31420378949775</v>
      </c>
      <c r="AA38" s="574">
        <f t="shared" si="20"/>
        <v>221.50560454500092</v>
      </c>
      <c r="AB38" s="574">
        <f>AA38*(1+AVERAGE($F$40:$I$40))</f>
        <v>224.74365842066501</v>
      </c>
      <c r="AC38" s="574">
        <f>AB38*(1+AVERAGE($F$40:$I$40))</f>
        <v>228.02904740969223</v>
      </c>
      <c r="AD38" s="574">
        <f>AC38*(1+AVERAGE($F$40:$I$40))</f>
        <v>231.36246347492295</v>
      </c>
      <c r="AE38" s="574">
        <f>AD38*(1+AVERAGE($F$40:$I$40))</f>
        <v>234.7446086945757</v>
      </c>
      <c r="AF38" s="574">
        <f t="shared" ref="AF38:AI38" si="21">AE38*(1+AVERAGE($F$40:$I$40))</f>
        <v>238.17619541011769</v>
      </c>
      <c r="AG38" s="574">
        <f t="shared" si="21"/>
        <v>241.65794637629688</v>
      </c>
      <c r="AH38" s="574">
        <f t="shared" si="21"/>
        <v>245.19059491336728</v>
      </c>
      <c r="AI38" s="574">
        <f t="shared" si="21"/>
        <v>248.77488506153966</v>
      </c>
      <c r="AJ38" s="574">
        <f>AI38*(1+AVERAGE($F$40:$I$40))</f>
        <v>252.41157173768991</v>
      </c>
      <c r="AK38" s="574">
        <f t="shared" ref="AK38:AN38" si="22">AJ38*(1+AVERAGE($F$40:$I$40))</f>
        <v>256.10142089435828</v>
      </c>
      <c r="AL38" s="574">
        <f t="shared" si="22"/>
        <v>259.84520968107307</v>
      </c>
      <c r="AM38" s="574">
        <f t="shared" si="22"/>
        <v>263.64372660803241</v>
      </c>
      <c r="AN38" s="574">
        <f t="shared" si="22"/>
        <v>267.49777171217886</v>
      </c>
    </row>
    <row r="39" spans="2:40" ht="14.9" customHeight="1" x14ac:dyDescent="0.35">
      <c r="B39" s="588" t="s">
        <v>1688</v>
      </c>
      <c r="C39" s="267"/>
      <c r="D39" s="598"/>
      <c r="E39" s="572"/>
      <c r="F39" s="572"/>
      <c r="G39" s="572"/>
      <c r="H39" s="572"/>
      <c r="I39" s="572"/>
      <c r="J39" s="572"/>
      <c r="K39" s="572"/>
      <c r="L39" s="572"/>
      <c r="M39" s="572"/>
      <c r="N39" s="572"/>
      <c r="O39" s="572"/>
      <c r="P39" s="572"/>
      <c r="Q39" s="572"/>
      <c r="R39" s="572"/>
      <c r="S39" s="214"/>
      <c r="T39" s="572"/>
      <c r="U39" s="572">
        <v>-70</v>
      </c>
      <c r="V39" s="572"/>
      <c r="W39" s="572"/>
      <c r="X39" s="574"/>
      <c r="Y39" s="574"/>
      <c r="Z39" s="574"/>
      <c r="AA39" s="574"/>
      <c r="AB39" s="574"/>
      <c r="AC39" s="574"/>
      <c r="AD39" s="574"/>
      <c r="AE39" s="574"/>
      <c r="AF39" s="574"/>
      <c r="AG39" s="574"/>
      <c r="AH39" s="574"/>
      <c r="AI39" s="574"/>
      <c r="AJ39" s="574"/>
      <c r="AK39" s="574"/>
      <c r="AL39" s="574"/>
      <c r="AM39" s="574"/>
      <c r="AN39" s="574"/>
    </row>
    <row r="40" spans="2:40" x14ac:dyDescent="0.35">
      <c r="B40" s="718" t="s">
        <v>805</v>
      </c>
      <c r="C40" s="370"/>
      <c r="D40" s="600"/>
      <c r="E40" s="587">
        <f>E38/D38-1</f>
        <v>1.0409437890353201E-2</v>
      </c>
      <c r="F40" s="587">
        <f t="shared" ref="F40:N40" si="23">F38/E38-1</f>
        <v>1.5796703296703685E-2</v>
      </c>
      <c r="G40" s="587">
        <f t="shared" si="23"/>
        <v>1.2846517917512346E-2</v>
      </c>
      <c r="H40" s="587">
        <f t="shared" si="23"/>
        <v>1.1348464619492127E-2</v>
      </c>
      <c r="I40" s="587">
        <f t="shared" si="23"/>
        <v>1.8481848184818128E-2</v>
      </c>
      <c r="J40" s="587">
        <f t="shared" si="23"/>
        <v>1.5554115359688758E-2</v>
      </c>
      <c r="K40" s="587">
        <f t="shared" si="23"/>
        <v>1.7868538608807105E-2</v>
      </c>
      <c r="L40" s="587">
        <f t="shared" si="23"/>
        <v>1.3793103448275446E-2</v>
      </c>
      <c r="M40" s="587">
        <f t="shared" si="23"/>
        <v>1.9171304885591489E-2</v>
      </c>
      <c r="N40" s="587">
        <f t="shared" si="23"/>
        <v>2.0631067961164318E-2</v>
      </c>
      <c r="O40" s="587">
        <f>O38/N38-1</f>
        <v>3.8049940546967864E-2</v>
      </c>
      <c r="P40" s="587">
        <f t="shared" ref="P40:S40" si="24">P38/O38-1</f>
        <v>1.4891179839634283E-2</v>
      </c>
      <c r="Q40" s="587">
        <f t="shared" si="24"/>
        <v>2.5395033860045046E-2</v>
      </c>
      <c r="R40" s="587">
        <f t="shared" si="24"/>
        <v>5.2834342322509054E-2</v>
      </c>
      <c r="S40" s="658">
        <f t="shared" si="24"/>
        <v>0.11657083115525335</v>
      </c>
      <c r="T40" s="573"/>
      <c r="U40" s="573"/>
      <c r="V40" s="573"/>
      <c r="W40" s="573"/>
      <c r="X40" s="595"/>
      <c r="Y40" s="595"/>
      <c r="Z40" s="595"/>
      <c r="AA40" s="595"/>
      <c r="AB40" s="595"/>
      <c r="AC40" s="595"/>
      <c r="AD40" s="595"/>
      <c r="AE40" s="595"/>
      <c r="AF40" s="595"/>
      <c r="AG40" s="595"/>
      <c r="AH40" s="595"/>
      <c r="AI40" s="595"/>
      <c r="AJ40" s="595"/>
      <c r="AK40" s="595"/>
      <c r="AL40" s="595"/>
      <c r="AM40" s="595"/>
      <c r="AN40" s="595"/>
    </row>
    <row r="44" spans="2:40" x14ac:dyDescent="0.35">
      <c r="P44" s="499"/>
      <c r="Q44" s="499"/>
    </row>
    <row r="45" spans="2:40" x14ac:dyDescent="0.35">
      <c r="B45" s="529" t="s">
        <v>351</v>
      </c>
      <c r="D45" s="509"/>
      <c r="E45" s="509"/>
      <c r="F45" s="509"/>
      <c r="G45" s="509"/>
      <c r="H45" s="509"/>
      <c r="I45" s="509"/>
      <c r="J45" s="509"/>
      <c r="K45" s="509"/>
      <c r="L45" s="509"/>
      <c r="M45" s="509"/>
      <c r="N45" s="509"/>
      <c r="O45" s="509"/>
      <c r="P45" s="509"/>
      <c r="Q45" s="509"/>
      <c r="R45" s="509"/>
      <c r="S45" s="509"/>
      <c r="T45" s="509"/>
      <c r="U45" s="509"/>
      <c r="V45" s="509"/>
      <c r="W45" s="509"/>
      <c r="X45" s="509"/>
      <c r="Y45" s="509"/>
      <c r="Z45" s="509"/>
      <c r="AA45" s="509"/>
      <c r="AB45" s="509"/>
      <c r="AC45" s="509"/>
    </row>
    <row r="46" spans="2:40" ht="45.75" customHeight="1" x14ac:dyDescent="0.35">
      <c r="B46" s="1412" t="s">
        <v>475</v>
      </c>
      <c r="C46" s="1412"/>
      <c r="D46" s="1360"/>
      <c r="E46" s="1360"/>
      <c r="F46" s="1360"/>
      <c r="G46" s="1360"/>
      <c r="H46" s="1360"/>
      <c r="I46" s="1360"/>
      <c r="J46" s="1360"/>
      <c r="K46" s="1360"/>
      <c r="L46" s="1360"/>
      <c r="M46" s="1360"/>
      <c r="N46" s="1360"/>
      <c r="O46" s="1360"/>
      <c r="P46" s="1360"/>
      <c r="Q46" s="1360"/>
      <c r="R46" s="1360"/>
      <c r="S46" s="1360"/>
      <c r="T46" s="1360"/>
      <c r="U46" s="1360"/>
      <c r="V46" s="1360"/>
      <c r="W46" s="1360"/>
      <c r="X46" s="1360"/>
      <c r="Y46" s="1360"/>
      <c r="Z46" s="1360"/>
      <c r="AA46" s="1360"/>
      <c r="AB46" s="1360"/>
      <c r="AC46" s="1360"/>
    </row>
    <row r="47" spans="2:40" ht="14.9" customHeight="1" x14ac:dyDescent="0.35">
      <c r="B47" s="1325" t="s">
        <v>476</v>
      </c>
      <c r="C47" s="1418"/>
      <c r="D47" s="1333" t="s">
        <v>279</v>
      </c>
      <c r="E47" s="1333"/>
      <c r="F47" s="1333"/>
      <c r="G47" s="1333"/>
      <c r="H47" s="1333"/>
      <c r="I47" s="1333"/>
      <c r="J47" s="1333"/>
      <c r="K47" s="1333"/>
      <c r="L47" s="1333"/>
      <c r="M47" s="1333"/>
      <c r="N47" s="1333"/>
      <c r="O47" s="1333"/>
      <c r="P47" s="1333"/>
      <c r="Q47" s="1333"/>
      <c r="R47" s="1333"/>
      <c r="S47" s="1333"/>
      <c r="T47" s="1333"/>
      <c r="U47" s="1333"/>
      <c r="V47" s="1333"/>
      <c r="W47" s="1333"/>
      <c r="X47" s="1333"/>
      <c r="Y47" s="1333"/>
      <c r="Z47" s="1333"/>
      <c r="AA47" s="1333"/>
      <c r="AB47" s="1333"/>
      <c r="AC47" s="1350" t="s">
        <v>280</v>
      </c>
      <c r="AD47" s="1331"/>
      <c r="AE47" s="1331"/>
      <c r="AF47" s="1331"/>
      <c r="AG47" s="1331"/>
      <c r="AH47" s="1331"/>
      <c r="AI47" s="1331"/>
      <c r="AJ47" s="1331"/>
      <c r="AK47" s="1331"/>
      <c r="AL47" s="1331"/>
      <c r="AM47" s="1331"/>
      <c r="AN47" s="1332"/>
    </row>
    <row r="48" spans="2:40" x14ac:dyDescent="0.35">
      <c r="B48" s="1325"/>
      <c r="C48" s="1418"/>
      <c r="D48" s="296">
        <v>2018</v>
      </c>
      <c r="E48" s="1342">
        <v>2019</v>
      </c>
      <c r="F48" s="1354"/>
      <c r="G48" s="1354"/>
      <c r="H48" s="1344"/>
      <c r="I48" s="1342">
        <v>2020</v>
      </c>
      <c r="J48" s="1354"/>
      <c r="K48" s="1354"/>
      <c r="L48" s="1354"/>
      <c r="M48" s="1342">
        <v>2021</v>
      </c>
      <c r="N48" s="1354"/>
      <c r="O48" s="1354"/>
      <c r="P48" s="1354"/>
      <c r="Q48" s="1342">
        <v>2022</v>
      </c>
      <c r="R48" s="1354"/>
      <c r="S48" s="1354"/>
      <c r="T48" s="1344"/>
      <c r="U48" s="302"/>
      <c r="V48" s="302">
        <v>2023</v>
      </c>
      <c r="W48" s="302"/>
      <c r="X48" s="309"/>
      <c r="Y48" s="460"/>
      <c r="Z48" s="302">
        <v>2024</v>
      </c>
      <c r="AA48" s="302"/>
      <c r="AB48" s="309"/>
      <c r="AC48" s="1329">
        <v>2025</v>
      </c>
      <c r="AD48" s="1330"/>
      <c r="AE48" s="1330"/>
      <c r="AF48" s="1334"/>
      <c r="AG48" s="1329">
        <v>2026</v>
      </c>
      <c r="AH48" s="1330"/>
      <c r="AI48" s="1330"/>
      <c r="AJ48" s="1334"/>
      <c r="AK48" s="1329">
        <v>2027</v>
      </c>
      <c r="AL48" s="1330"/>
      <c r="AM48" s="1330"/>
      <c r="AN48" s="1334"/>
    </row>
    <row r="49" spans="2:40" x14ac:dyDescent="0.35">
      <c r="B49" s="1327"/>
      <c r="C49" s="1328"/>
      <c r="D49" s="225" t="s">
        <v>281</v>
      </c>
      <c r="E49" s="225" t="s">
        <v>282</v>
      </c>
      <c r="F49" s="226" t="s">
        <v>283</v>
      </c>
      <c r="G49" s="226" t="s">
        <v>238</v>
      </c>
      <c r="H49" s="1259" t="s">
        <v>281</v>
      </c>
      <c r="I49" s="226" t="s">
        <v>282</v>
      </c>
      <c r="J49" s="226" t="s">
        <v>283</v>
      </c>
      <c r="K49" s="226" t="s">
        <v>238</v>
      </c>
      <c r="L49" s="226" t="s">
        <v>281</v>
      </c>
      <c r="M49" s="225" t="s">
        <v>282</v>
      </c>
      <c r="N49" s="226" t="s">
        <v>283</v>
      </c>
      <c r="O49" s="226" t="s">
        <v>238</v>
      </c>
      <c r="P49" s="226" t="s">
        <v>281</v>
      </c>
      <c r="Q49" s="225" t="s">
        <v>282</v>
      </c>
      <c r="R49" s="226" t="s">
        <v>283</v>
      </c>
      <c r="S49" s="226" t="s">
        <v>238</v>
      </c>
      <c r="T49" s="1259" t="s">
        <v>281</v>
      </c>
      <c r="U49" s="226" t="s">
        <v>282</v>
      </c>
      <c r="V49" s="287" t="s">
        <v>283</v>
      </c>
      <c r="W49" s="287" t="s">
        <v>238</v>
      </c>
      <c r="X49" s="285" t="s">
        <v>281</v>
      </c>
      <c r="Y49" s="286" t="s">
        <v>282</v>
      </c>
      <c r="Z49" s="292" t="s">
        <v>283</v>
      </c>
      <c r="AA49" s="287" t="s">
        <v>238</v>
      </c>
      <c r="AB49" s="287" t="s">
        <v>281</v>
      </c>
      <c r="AC49" s="286" t="s">
        <v>282</v>
      </c>
      <c r="AD49" s="271" t="s">
        <v>283</v>
      </c>
      <c r="AE49" s="273" t="s">
        <v>238</v>
      </c>
      <c r="AF49" s="273" t="s">
        <v>281</v>
      </c>
      <c r="AG49" s="299" t="s">
        <v>282</v>
      </c>
      <c r="AH49" s="271" t="s">
        <v>283</v>
      </c>
      <c r="AI49" s="273" t="s">
        <v>238</v>
      </c>
      <c r="AJ49" s="301" t="s">
        <v>281</v>
      </c>
      <c r="AK49" s="299" t="s">
        <v>282</v>
      </c>
      <c r="AL49" s="271" t="s">
        <v>283</v>
      </c>
      <c r="AM49" s="273" t="s">
        <v>238</v>
      </c>
      <c r="AN49" s="301" t="s">
        <v>281</v>
      </c>
    </row>
    <row r="50" spans="2:40" x14ac:dyDescent="0.35">
      <c r="B50" s="571" t="s">
        <v>1428</v>
      </c>
      <c r="D50" s="260"/>
      <c r="E50" s="320"/>
      <c r="F50" s="320"/>
      <c r="G50" s="320"/>
      <c r="H50" s="320"/>
      <c r="I50" s="582">
        <f>(I51-AVERAGE($E51:$H51))</f>
        <v>6.9120000000000061</v>
      </c>
      <c r="J50" s="582">
        <f t="shared" ref="J50:AC50" si="25">(J51-AVERAGE($E51:$H51))</f>
        <v>50.955000000000005</v>
      </c>
      <c r="K50" s="582">
        <f t="shared" si="25"/>
        <v>51.173999999999999</v>
      </c>
      <c r="L50" s="582">
        <f t="shared" si="25"/>
        <v>51.893999999999998</v>
      </c>
      <c r="M50" s="582">
        <f t="shared" si="25"/>
        <v>91.075000000000017</v>
      </c>
      <c r="N50" s="582">
        <f t="shared" si="25"/>
        <v>100.63400000000001</v>
      </c>
      <c r="O50" s="582">
        <f t="shared" si="25"/>
        <v>93.89100000000002</v>
      </c>
      <c r="P50" s="582">
        <f t="shared" si="25"/>
        <v>100.22800000000001</v>
      </c>
      <c r="Q50" s="582">
        <f t="shared" si="25"/>
        <v>76.838999999999999</v>
      </c>
      <c r="R50" s="582">
        <f t="shared" si="25"/>
        <v>73.637</v>
      </c>
      <c r="S50" s="583">
        <f t="shared" si="25"/>
        <v>70.649000000000001</v>
      </c>
      <c r="T50" s="583">
        <f t="shared" si="25"/>
        <v>91.718000000000018</v>
      </c>
      <c r="U50" s="583">
        <f t="shared" si="25"/>
        <v>83.695999999999998</v>
      </c>
      <c r="V50" s="583">
        <f t="shared" si="25"/>
        <v>51.979000000000006</v>
      </c>
      <c r="W50" s="583">
        <f t="shared" si="25"/>
        <v>51.58400000000001</v>
      </c>
      <c r="X50" s="583">
        <f t="shared" si="25"/>
        <v>38.777999999999999</v>
      </c>
      <c r="Y50" s="583">
        <f t="shared" si="25"/>
        <v>37.295999999999999</v>
      </c>
      <c r="Z50" s="583">
        <f t="shared" si="25"/>
        <v>41.408000000000008</v>
      </c>
      <c r="AA50" s="583">
        <f t="shared" si="25"/>
        <v>48.07800000000001</v>
      </c>
      <c r="AB50" s="583">
        <f t="shared" si="25"/>
        <v>43.804000000000009</v>
      </c>
      <c r="AC50" s="583">
        <f t="shared" si="25"/>
        <v>40.554000000000009</v>
      </c>
      <c r="AD50" s="952">
        <f t="shared" ref="AD50:AG50" si="26">AC50</f>
        <v>40.554000000000009</v>
      </c>
      <c r="AE50" s="952">
        <f t="shared" si="26"/>
        <v>40.554000000000009</v>
      </c>
      <c r="AF50" s="952">
        <f t="shared" si="26"/>
        <v>40.554000000000009</v>
      </c>
      <c r="AG50" s="673">
        <f t="shared" si="26"/>
        <v>40.554000000000009</v>
      </c>
      <c r="AH50" s="673">
        <f>AG50</f>
        <v>40.554000000000009</v>
      </c>
      <c r="AI50" s="673">
        <f t="shared" ref="AI50" si="27">AH50</f>
        <v>40.554000000000009</v>
      </c>
      <c r="AJ50" s="673">
        <f>AI50</f>
        <v>40.554000000000009</v>
      </c>
      <c r="AK50" s="673">
        <f t="shared" ref="AK50:AN50" si="28">AJ50</f>
        <v>40.554000000000009</v>
      </c>
      <c r="AL50" s="673">
        <f t="shared" si="28"/>
        <v>40.554000000000009</v>
      </c>
      <c r="AM50" s="673">
        <f t="shared" si="28"/>
        <v>40.554000000000009</v>
      </c>
      <c r="AN50" s="673">
        <f t="shared" si="28"/>
        <v>40.554000000000009</v>
      </c>
    </row>
    <row r="51" spans="2:40" x14ac:dyDescent="0.35">
      <c r="B51" s="571" t="s">
        <v>160</v>
      </c>
      <c r="C51" s="249" t="s">
        <v>477</v>
      </c>
      <c r="D51" s="276">
        <f>'[1]Haver Pivoted'!GO66</f>
        <v>57.017000000000003</v>
      </c>
      <c r="E51" s="233">
        <f>'[1]Haver Pivoted'!GP66</f>
        <v>55.875</v>
      </c>
      <c r="F51" s="233">
        <f>'[1]Haver Pivoted'!GQ66</f>
        <v>54.335999999999999</v>
      </c>
      <c r="G51" s="233">
        <f>'[1]Haver Pivoted'!GR66</f>
        <v>54.345999999999997</v>
      </c>
      <c r="H51" s="233">
        <f>'[1]Haver Pivoted'!GS66</f>
        <v>54.290999999999997</v>
      </c>
      <c r="I51" s="233">
        <f>'[1]Haver Pivoted'!GT66</f>
        <v>61.624000000000002</v>
      </c>
      <c r="J51" s="233">
        <f>'[1]Haver Pivoted'!GU66</f>
        <v>105.667</v>
      </c>
      <c r="K51" s="233">
        <f>'[1]Haver Pivoted'!GV66</f>
        <v>105.886</v>
      </c>
      <c r="L51" s="233">
        <f>'[1]Haver Pivoted'!GW66</f>
        <v>106.60599999999999</v>
      </c>
      <c r="M51" s="233">
        <f>'[1]Haver Pivoted'!GX66</f>
        <v>145.78700000000001</v>
      </c>
      <c r="N51" s="233">
        <f>'[1]Haver Pivoted'!GY66</f>
        <v>155.346</v>
      </c>
      <c r="O51" s="233">
        <f>'[1]Haver Pivoted'!GZ66</f>
        <v>148.60300000000001</v>
      </c>
      <c r="P51" s="233">
        <f>'[1]Haver Pivoted'!HA66</f>
        <v>154.94</v>
      </c>
      <c r="Q51" s="233">
        <f>'[1]Haver Pivoted'!HB66</f>
        <v>131.55099999999999</v>
      </c>
      <c r="R51" s="233">
        <f>'[1]Haver Pivoted'!HC66</f>
        <v>128.34899999999999</v>
      </c>
      <c r="S51" s="226">
        <f>'[1]Haver Pivoted'!HD66</f>
        <v>125.361</v>
      </c>
      <c r="T51" s="226">
        <f>'[1]Haver Pivoted'!HE66</f>
        <v>146.43</v>
      </c>
      <c r="U51" s="226">
        <f>'[1]Haver Pivoted'!HF66</f>
        <v>138.40799999999999</v>
      </c>
      <c r="V51" s="226">
        <f>'[1]Haver Pivoted'!HG66</f>
        <v>106.691</v>
      </c>
      <c r="W51" s="226">
        <f>'[1]Haver Pivoted'!HH66</f>
        <v>106.29600000000001</v>
      </c>
      <c r="X51" s="226">
        <f>'[1]Haver Pivoted'!HI66</f>
        <v>93.49</v>
      </c>
      <c r="Y51" s="226">
        <f>'[1]Haver Pivoted'!HJ66</f>
        <v>92.007999999999996</v>
      </c>
      <c r="Z51" s="226">
        <f>'[1]Haver Pivoted'!HK66</f>
        <v>96.12</v>
      </c>
      <c r="AA51" s="226">
        <f>'[1]Haver Pivoted'!HL66</f>
        <v>102.79</v>
      </c>
      <c r="AB51" s="226">
        <f>'[1]Haver Pivoted'!HM66</f>
        <v>98.516000000000005</v>
      </c>
      <c r="AC51" s="226">
        <f>'[1]Haver Pivoted'!HN66</f>
        <v>95.266000000000005</v>
      </c>
      <c r="AD51" s="229"/>
      <c r="AE51" s="229"/>
      <c r="AF51" s="229"/>
      <c r="AG51" s="229"/>
      <c r="AH51" s="229"/>
      <c r="AI51" s="229"/>
      <c r="AJ51" s="229"/>
      <c r="AK51" s="229"/>
      <c r="AL51" s="229"/>
      <c r="AM51" s="229"/>
      <c r="AN51" s="229"/>
    </row>
    <row r="52" spans="2:40" ht="29.15" customHeight="1" x14ac:dyDescent="0.35">
      <c r="B52" s="570" t="s">
        <v>478</v>
      </c>
      <c r="C52" s="370"/>
      <c r="D52" s="719"/>
      <c r="E52" s="568"/>
      <c r="F52" s="568"/>
      <c r="G52" s="568"/>
      <c r="H52" s="568"/>
      <c r="I52" s="568"/>
      <c r="J52" s="568">
        <f t="shared" ref="J52:AC52" si="29">J51-$H51</f>
        <v>51.376000000000005</v>
      </c>
      <c r="K52" s="568">
        <f t="shared" si="29"/>
        <v>51.594999999999999</v>
      </c>
      <c r="L52" s="568">
        <f t="shared" si="29"/>
        <v>52.314999999999998</v>
      </c>
      <c r="M52" s="568">
        <f t="shared" si="29"/>
        <v>91.496000000000009</v>
      </c>
      <c r="N52" s="568">
        <f>N51-$H51</f>
        <v>101.05500000000001</v>
      </c>
      <c r="O52" s="568">
        <f>O51-$H51</f>
        <v>94.312000000000012</v>
      </c>
      <c r="P52" s="568">
        <f t="shared" si="29"/>
        <v>100.649</v>
      </c>
      <c r="Q52" s="568">
        <f t="shared" si="29"/>
        <v>77.259999999999991</v>
      </c>
      <c r="R52" s="568">
        <f t="shared" si="29"/>
        <v>74.057999999999993</v>
      </c>
      <c r="S52" s="287">
        <f t="shared" si="29"/>
        <v>71.070000000000007</v>
      </c>
      <c r="T52" s="287">
        <f t="shared" si="29"/>
        <v>92.13900000000001</v>
      </c>
      <c r="U52" s="287">
        <f t="shared" si="29"/>
        <v>84.11699999999999</v>
      </c>
      <c r="V52" s="287">
        <f t="shared" si="29"/>
        <v>52.400000000000006</v>
      </c>
      <c r="W52" s="287">
        <f t="shared" si="29"/>
        <v>52.00500000000001</v>
      </c>
      <c r="X52" s="287">
        <f t="shared" si="29"/>
        <v>39.198999999999998</v>
      </c>
      <c r="Y52" s="287">
        <f t="shared" si="29"/>
        <v>37.716999999999999</v>
      </c>
      <c r="Z52" s="287">
        <f t="shared" si="29"/>
        <v>41.829000000000008</v>
      </c>
      <c r="AA52" s="287">
        <f t="shared" si="29"/>
        <v>48.499000000000009</v>
      </c>
      <c r="AB52" s="287">
        <f t="shared" si="29"/>
        <v>44.225000000000009</v>
      </c>
      <c r="AC52" s="287">
        <f t="shared" si="29"/>
        <v>40.975000000000009</v>
      </c>
      <c r="AD52" s="672"/>
      <c r="AE52" s="672"/>
      <c r="AF52" s="672"/>
      <c r="AG52" s="672"/>
      <c r="AH52" s="672"/>
      <c r="AI52" s="672"/>
      <c r="AJ52" s="672"/>
      <c r="AK52" s="672"/>
      <c r="AL52" s="672"/>
      <c r="AM52" s="672"/>
      <c r="AN52" s="672"/>
    </row>
    <row r="53" spans="2:40" ht="29.15" customHeight="1" x14ac:dyDescent="0.35">
      <c r="B53" s="249"/>
      <c r="C53" s="249"/>
      <c r="D53" s="233"/>
      <c r="E53" s="233"/>
      <c r="F53" s="233"/>
      <c r="G53" s="233"/>
      <c r="H53" s="233"/>
      <c r="I53" s="233"/>
      <c r="J53" s="233"/>
      <c r="K53" s="233"/>
      <c r="L53" s="233"/>
      <c r="M53" s="233"/>
      <c r="N53" s="233"/>
      <c r="O53" s="233"/>
      <c r="P53" s="233"/>
      <c r="Q53" s="233"/>
      <c r="R53" s="233"/>
      <c r="S53" s="233"/>
      <c r="T53" s="233"/>
      <c r="U53" s="233"/>
      <c r="V53" s="233"/>
      <c r="W53" s="233"/>
      <c r="X53" s="233"/>
      <c r="Y53" s="233"/>
      <c r="Z53" s="233"/>
      <c r="AA53" s="233"/>
      <c r="AB53" s="233"/>
      <c r="AC53" s="233"/>
    </row>
    <row r="54" spans="2:40" ht="29.15" customHeight="1" x14ac:dyDescent="0.35">
      <c r="B54" s="249"/>
      <c r="C54" s="249"/>
      <c r="D54" s="233"/>
      <c r="E54" s="233"/>
      <c r="F54" s="233"/>
      <c r="G54" s="233"/>
      <c r="H54" s="233"/>
      <c r="I54" s="233"/>
      <c r="J54" s="233"/>
      <c r="K54" s="233"/>
      <c r="L54" s="233"/>
      <c r="M54" s="233"/>
      <c r="N54" s="233"/>
      <c r="O54" s="233"/>
      <c r="P54" s="233"/>
      <c r="Q54" s="233"/>
      <c r="R54" s="233"/>
      <c r="S54" s="233"/>
      <c r="T54" s="233"/>
      <c r="U54" s="233"/>
      <c r="V54" s="233"/>
      <c r="W54" s="233"/>
      <c r="X54" s="233"/>
      <c r="Y54" s="233"/>
      <c r="Z54" s="233"/>
      <c r="AA54" s="233"/>
      <c r="AB54" s="233"/>
      <c r="AC54" s="233"/>
    </row>
    <row r="55" spans="2:40" ht="29.15" customHeight="1" x14ac:dyDescent="0.35">
      <c r="B55" s="249"/>
      <c r="C55" s="249"/>
      <c r="D55" s="233"/>
      <c r="E55" s="233"/>
      <c r="F55" s="233"/>
      <c r="G55" s="233"/>
      <c r="H55" s="233"/>
      <c r="I55" s="233"/>
      <c r="J55" s="233"/>
      <c r="K55" s="233"/>
      <c r="L55" s="233"/>
      <c r="M55" s="233"/>
      <c r="N55" s="233"/>
      <c r="O55" s="233"/>
      <c r="P55" s="233"/>
      <c r="Q55" s="233"/>
      <c r="R55" s="233"/>
      <c r="S55" s="233"/>
      <c r="T55" s="233"/>
      <c r="U55" s="233"/>
      <c r="V55" s="233"/>
      <c r="W55" s="233"/>
      <c r="X55" s="233"/>
      <c r="Y55" s="233"/>
      <c r="Z55" s="233"/>
      <c r="AA55" s="233"/>
      <c r="AB55" s="233"/>
      <c r="AC55" s="233"/>
    </row>
    <row r="56" spans="2:40" ht="35.9" customHeight="1" x14ac:dyDescent="0.35"/>
    <row r="57" spans="2:40" x14ac:dyDescent="0.35">
      <c r="B57" s="529" t="s">
        <v>364</v>
      </c>
    </row>
    <row r="58" spans="2:40" x14ac:dyDescent="0.35">
      <c r="B58" s="1413" t="s">
        <v>802</v>
      </c>
      <c r="C58" s="1414"/>
      <c r="D58" s="1333" t="s">
        <v>279</v>
      </c>
      <c r="E58" s="1333"/>
      <c r="F58" s="1333"/>
      <c r="G58" s="1333"/>
      <c r="H58" s="1333"/>
      <c r="I58" s="1333"/>
      <c r="J58" s="1333"/>
      <c r="K58" s="1333"/>
      <c r="L58" s="1333"/>
      <c r="M58" s="1333"/>
      <c r="N58" s="1333"/>
      <c r="O58" s="1333"/>
      <c r="P58" s="1333"/>
      <c r="Q58" s="1333"/>
      <c r="R58" s="1333"/>
      <c r="S58" s="1333"/>
      <c r="T58" s="1333"/>
      <c r="U58" s="1333"/>
      <c r="V58" s="1333"/>
      <c r="W58" s="1333"/>
      <c r="X58" s="1333"/>
      <c r="Y58" s="1333"/>
      <c r="Z58" s="1333"/>
      <c r="AA58" s="1333"/>
      <c r="AB58" s="1333"/>
      <c r="AC58" s="1350" t="s">
        <v>280</v>
      </c>
      <c r="AD58" s="1331"/>
      <c r="AE58" s="1331"/>
      <c r="AF58" s="1331"/>
      <c r="AG58" s="1331"/>
      <c r="AH58" s="1331"/>
      <c r="AI58" s="1331"/>
      <c r="AJ58" s="1331"/>
      <c r="AK58" s="1331"/>
      <c r="AL58" s="1331"/>
      <c r="AM58" s="1331"/>
      <c r="AN58" s="1332"/>
    </row>
    <row r="59" spans="2:40" x14ac:dyDescent="0.35">
      <c r="B59" s="1415"/>
      <c r="C59" s="1416"/>
      <c r="D59" s="296">
        <v>2018</v>
      </c>
      <c r="E59" s="1342">
        <v>2019</v>
      </c>
      <c r="F59" s="1354"/>
      <c r="G59" s="1354"/>
      <c r="H59" s="1344"/>
      <c r="I59" s="1342">
        <v>2020</v>
      </c>
      <c r="J59" s="1354"/>
      <c r="K59" s="1354"/>
      <c r="L59" s="1354"/>
      <c r="M59" s="1342">
        <v>2021</v>
      </c>
      <c r="N59" s="1354"/>
      <c r="O59" s="1354"/>
      <c r="P59" s="1354"/>
      <c r="Q59" s="1342">
        <v>2022</v>
      </c>
      <c r="R59" s="1354"/>
      <c r="S59" s="1354"/>
      <c r="T59" s="1344"/>
      <c r="U59" s="302"/>
      <c r="V59" s="302">
        <v>2023</v>
      </c>
      <c r="W59" s="302"/>
      <c r="X59" s="309"/>
      <c r="Y59" s="460"/>
      <c r="Z59" s="302">
        <v>2024</v>
      </c>
      <c r="AA59" s="302"/>
      <c r="AB59" s="309"/>
      <c r="AC59" s="1329">
        <v>2025</v>
      </c>
      <c r="AD59" s="1330"/>
      <c r="AE59" s="1330"/>
      <c r="AF59" s="1334"/>
      <c r="AG59" s="1329">
        <v>2026</v>
      </c>
      <c r="AH59" s="1330"/>
      <c r="AI59" s="1330"/>
      <c r="AJ59" s="1334"/>
      <c r="AK59" s="1329">
        <v>2027</v>
      </c>
      <c r="AL59" s="1330"/>
      <c r="AM59" s="1330"/>
      <c r="AN59" s="1334"/>
    </row>
    <row r="60" spans="2:40" x14ac:dyDescent="0.35">
      <c r="B60" s="1415"/>
      <c r="C60" s="1416"/>
      <c r="D60" s="225" t="s">
        <v>281</v>
      </c>
      <c r="E60" s="225" t="s">
        <v>282</v>
      </c>
      <c r="F60" s="226" t="s">
        <v>283</v>
      </c>
      <c r="G60" s="226" t="s">
        <v>238</v>
      </c>
      <c r="H60" s="1259" t="s">
        <v>281</v>
      </c>
      <c r="I60" s="226" t="s">
        <v>282</v>
      </c>
      <c r="J60" s="226" t="s">
        <v>283</v>
      </c>
      <c r="K60" s="226" t="s">
        <v>238</v>
      </c>
      <c r="L60" s="226" t="s">
        <v>281</v>
      </c>
      <c r="M60" s="225" t="s">
        <v>282</v>
      </c>
      <c r="N60" s="226" t="s">
        <v>283</v>
      </c>
      <c r="O60" s="226" t="s">
        <v>238</v>
      </c>
      <c r="P60" s="226" t="s">
        <v>281</v>
      </c>
      <c r="Q60" s="225" t="s">
        <v>282</v>
      </c>
      <c r="R60" s="226" t="s">
        <v>283</v>
      </c>
      <c r="S60" s="226" t="s">
        <v>238</v>
      </c>
      <c r="T60" s="1259" t="s">
        <v>281</v>
      </c>
      <c r="U60" s="226" t="s">
        <v>282</v>
      </c>
      <c r="V60" s="287" t="s">
        <v>283</v>
      </c>
      <c r="W60" s="287" t="s">
        <v>238</v>
      </c>
      <c r="X60" s="285" t="s">
        <v>281</v>
      </c>
      <c r="Y60" s="286" t="s">
        <v>282</v>
      </c>
      <c r="Z60" s="292" t="s">
        <v>283</v>
      </c>
      <c r="AA60" s="287" t="s">
        <v>238</v>
      </c>
      <c r="AB60" s="287" t="s">
        <v>281</v>
      </c>
      <c r="AC60" s="286" t="s">
        <v>282</v>
      </c>
      <c r="AD60" s="271" t="s">
        <v>283</v>
      </c>
      <c r="AE60" s="273" t="s">
        <v>238</v>
      </c>
      <c r="AF60" s="273" t="s">
        <v>281</v>
      </c>
      <c r="AG60" s="299" t="s">
        <v>282</v>
      </c>
      <c r="AH60" s="271" t="s">
        <v>283</v>
      </c>
      <c r="AI60" s="273" t="s">
        <v>238</v>
      </c>
      <c r="AJ60" s="301" t="s">
        <v>281</v>
      </c>
      <c r="AK60" s="299" t="s">
        <v>282</v>
      </c>
      <c r="AL60" s="271" t="s">
        <v>283</v>
      </c>
      <c r="AM60" s="273" t="s">
        <v>238</v>
      </c>
      <c r="AN60" s="301" t="s">
        <v>281</v>
      </c>
    </row>
    <row r="61" spans="2:40" ht="25.75" customHeight="1" x14ac:dyDescent="0.35">
      <c r="B61" s="686" t="s">
        <v>465</v>
      </c>
      <c r="C61" s="604" t="s">
        <v>466</v>
      </c>
      <c r="D61" s="377">
        <f>'[1]Haver Pivoted'!GO31</f>
        <v>2223</v>
      </c>
      <c r="E61" s="378">
        <f>'[1]Haver Pivoted'!GP31</f>
        <v>2303.8000000000002</v>
      </c>
      <c r="F61" s="378">
        <f>'[1]Haver Pivoted'!GQ31</f>
        <v>2321.6999999999998</v>
      </c>
      <c r="G61" s="378">
        <f>'[1]Haver Pivoted'!GR31</f>
        <v>2337.1</v>
      </c>
      <c r="H61" s="378">
        <f>'[1]Haver Pivoted'!GS31</f>
        <v>2349.5</v>
      </c>
      <c r="I61" s="378">
        <f>'[1]Haver Pivoted'!GT31</f>
        <v>2414.4</v>
      </c>
      <c r="J61" s="378">
        <f>'[1]Haver Pivoted'!GU31</f>
        <v>4654.1000000000004</v>
      </c>
      <c r="K61" s="378">
        <f>'[1]Haver Pivoted'!GV31</f>
        <v>3504.7</v>
      </c>
      <c r="L61" s="378">
        <f>'[1]Haver Pivoted'!GW31</f>
        <v>2888.4</v>
      </c>
      <c r="M61" s="378">
        <f>'[1]Haver Pivoted'!GX31</f>
        <v>5138.1000000000004</v>
      </c>
      <c r="N61" s="378">
        <f>'[1]Haver Pivoted'!GY31</f>
        <v>3397.8</v>
      </c>
      <c r="O61" s="378">
        <f>'[1]Haver Pivoted'!GZ31</f>
        <v>3124.9</v>
      </c>
      <c r="P61" s="378">
        <f>'[1]Haver Pivoted'!HA31</f>
        <v>2952.6</v>
      </c>
      <c r="Q61" s="378">
        <f>'[1]Haver Pivoted'!HB31</f>
        <v>2970.9</v>
      </c>
      <c r="R61" s="378">
        <f>'[1]Haver Pivoted'!HC31</f>
        <v>2976.2</v>
      </c>
      <c r="S61" s="379">
        <f>'[1]Haver Pivoted'!HD31</f>
        <v>2970.4</v>
      </c>
      <c r="T61" s="379">
        <f>'[1]Haver Pivoted'!HE31</f>
        <v>3024.4</v>
      </c>
      <c r="U61" s="379">
        <f>'[1]Haver Pivoted'!HF31</f>
        <v>3038.4</v>
      </c>
      <c r="V61" s="379">
        <f>'[1]Haver Pivoted'!HG31</f>
        <v>3049.1</v>
      </c>
      <c r="W61" s="379">
        <f>'[1]Haver Pivoted'!HH31</f>
        <v>3078</v>
      </c>
      <c r="X61" s="379">
        <f>'[1]Haver Pivoted'!HI31</f>
        <v>3095.6</v>
      </c>
      <c r="Y61" s="379">
        <f>'[1]Haver Pivoted'!HJ31</f>
        <v>3201.1</v>
      </c>
      <c r="Z61" s="379">
        <f>'[1]Haver Pivoted'!HK31</f>
        <v>3243.1</v>
      </c>
      <c r="AA61" s="379">
        <f>'[1]Haver Pivoted'!HL31</f>
        <v>3283.8</v>
      </c>
      <c r="AB61" s="379">
        <f>'[1]Haver Pivoted'!HM31</f>
        <v>3328.6</v>
      </c>
      <c r="AC61" s="379">
        <f>'[1]Haver Pivoted'!HN31</f>
        <v>3452.4</v>
      </c>
      <c r="AD61" s="724"/>
      <c r="AE61" s="724"/>
      <c r="AF61" s="724"/>
      <c r="AG61" s="229"/>
      <c r="AH61" s="229"/>
      <c r="AI61" s="229"/>
      <c r="AJ61" s="229"/>
      <c r="AK61" s="229"/>
      <c r="AL61" s="229"/>
      <c r="AM61" s="229"/>
      <c r="AN61" s="229"/>
    </row>
    <row r="62" spans="2:40" ht="25.75" customHeight="1" x14ac:dyDescent="0.35">
      <c r="B62" s="494" t="s">
        <v>1841</v>
      </c>
      <c r="C62" s="249"/>
      <c r="D62" s="717">
        <f>D63+D64</f>
        <v>812.1</v>
      </c>
      <c r="E62" s="462">
        <f>E63+E64</f>
        <v>833.1</v>
      </c>
      <c r="F62" s="462">
        <f>F63+F64</f>
        <v>845.8</v>
      </c>
      <c r="G62" s="462">
        <f t="shared" ref="G62:N62" si="30">G63+G64</f>
        <v>854.4</v>
      </c>
      <c r="H62" s="462">
        <f t="shared" si="30"/>
        <v>858.7</v>
      </c>
      <c r="I62" s="462">
        <f t="shared" si="30"/>
        <v>878.91200000000003</v>
      </c>
      <c r="J62" s="462">
        <f t="shared" si="30"/>
        <v>3142.9549999999999</v>
      </c>
      <c r="K62" s="462">
        <f t="shared" si="30"/>
        <v>1863.174</v>
      </c>
      <c r="L62" s="462">
        <f t="shared" si="30"/>
        <v>1307.4940000000001</v>
      </c>
      <c r="M62" s="462">
        <f t="shared" si="30"/>
        <v>3530.9749999999999</v>
      </c>
      <c r="N62" s="462">
        <f t="shared" si="30"/>
        <v>1812.8558400000002</v>
      </c>
      <c r="O62" s="462">
        <f>O63+O64</f>
        <v>1537.1944933333332</v>
      </c>
      <c r="P62" s="462">
        <f t="shared" ref="P62:R62" si="31">P63+P64</f>
        <v>1378.037333333333</v>
      </c>
      <c r="Q62" s="462">
        <f t="shared" si="31"/>
        <v>1212.615</v>
      </c>
      <c r="R62" s="462">
        <f t="shared" si="31"/>
        <v>1208.7130000000002</v>
      </c>
      <c r="S62" s="690">
        <f>S63+S64</f>
        <v>1205.403</v>
      </c>
      <c r="T62" s="690">
        <f t="shared" ref="T62:AC62" si="32">T63+T64</f>
        <v>1228.624</v>
      </c>
      <c r="U62" s="690">
        <f t="shared" si="32"/>
        <v>1164.202</v>
      </c>
      <c r="V62" s="690">
        <f t="shared" si="32"/>
        <v>1154.0450000000001</v>
      </c>
      <c r="W62" s="690">
        <f t="shared" si="32"/>
        <v>1171.75</v>
      </c>
      <c r="X62" s="690">
        <f t="shared" si="32"/>
        <v>1164.5179999999998</v>
      </c>
      <c r="Y62" s="690">
        <f t="shared" si="32"/>
        <v>1176.5360000000001</v>
      </c>
      <c r="Z62" s="690">
        <f t="shared" si="32"/>
        <v>1198.548</v>
      </c>
      <c r="AA62" s="690">
        <f t="shared" si="32"/>
        <v>1229.1180000000002</v>
      </c>
      <c r="AB62" s="690">
        <f t="shared" si="32"/>
        <v>1253.3729999999998</v>
      </c>
      <c r="AC62" s="690">
        <f t="shared" si="32"/>
        <v>1281.6229999999998</v>
      </c>
      <c r="AD62" s="674"/>
      <c r="AE62" s="674"/>
      <c r="AF62" s="674"/>
      <c r="AG62" s="229"/>
      <c r="AH62" s="229"/>
      <c r="AI62" s="229"/>
      <c r="AJ62" s="229"/>
      <c r="AK62" s="229"/>
      <c r="AL62" s="229"/>
      <c r="AM62" s="229"/>
      <c r="AN62" s="229"/>
    </row>
    <row r="63" spans="2:40" ht="25.75" customHeight="1" x14ac:dyDescent="0.35">
      <c r="B63" s="432" t="s">
        <v>1839</v>
      </c>
      <c r="C63" s="249"/>
      <c r="D63" s="717">
        <f t="shared" ref="D63:AC63" si="33">D14+D17+D27</f>
        <v>812.1</v>
      </c>
      <c r="E63" s="717">
        <f t="shared" si="33"/>
        <v>833.1</v>
      </c>
      <c r="F63" s="462">
        <f t="shared" si="33"/>
        <v>845.8</v>
      </c>
      <c r="G63" s="462">
        <f t="shared" si="33"/>
        <v>854.4</v>
      </c>
      <c r="H63" s="462">
        <f t="shared" si="33"/>
        <v>858.7</v>
      </c>
      <c r="I63" s="462">
        <f t="shared" si="33"/>
        <v>872</v>
      </c>
      <c r="J63" s="462">
        <f t="shared" si="33"/>
        <v>1795.8</v>
      </c>
      <c r="K63" s="462">
        <f t="shared" si="33"/>
        <v>1656.8</v>
      </c>
      <c r="L63" s="462">
        <f t="shared" si="33"/>
        <v>1191.7</v>
      </c>
      <c r="M63" s="462">
        <f t="shared" si="33"/>
        <v>1473.1</v>
      </c>
      <c r="N63" s="462">
        <f t="shared" si="33"/>
        <v>1346.4</v>
      </c>
      <c r="O63" s="462">
        <f t="shared" si="33"/>
        <v>1318.833333333333</v>
      </c>
      <c r="P63" s="462">
        <f t="shared" si="33"/>
        <v>1157.333333333333</v>
      </c>
      <c r="Q63" s="462">
        <f t="shared" si="33"/>
        <v>1036.4000000000001</v>
      </c>
      <c r="R63" s="462">
        <f t="shared" si="33"/>
        <v>1042.6000000000001</v>
      </c>
      <c r="S63" s="690">
        <f t="shared" si="33"/>
        <v>1054.8</v>
      </c>
      <c r="T63" s="690">
        <f t="shared" si="33"/>
        <v>1078.7</v>
      </c>
      <c r="U63" s="690">
        <f t="shared" si="33"/>
        <v>1045.2</v>
      </c>
      <c r="V63" s="690">
        <f t="shared" si="33"/>
        <v>1066.76</v>
      </c>
      <c r="W63" s="690">
        <f t="shared" si="33"/>
        <v>1084.8599999999999</v>
      </c>
      <c r="X63" s="690">
        <f t="shared" si="33"/>
        <v>1104.5999999999999</v>
      </c>
      <c r="Y63" s="690">
        <f t="shared" si="33"/>
        <v>1118.1000000000001</v>
      </c>
      <c r="Z63" s="690">
        <f t="shared" si="33"/>
        <v>1136</v>
      </c>
      <c r="AA63" s="690">
        <f t="shared" si="33"/>
        <v>1159.9000000000001</v>
      </c>
      <c r="AB63" s="690">
        <f t="shared" si="33"/>
        <v>1188.5999999999999</v>
      </c>
      <c r="AC63" s="690">
        <f t="shared" si="33"/>
        <v>1220.0999999999999</v>
      </c>
      <c r="AD63" s="674"/>
      <c r="AE63" s="674"/>
      <c r="AF63" s="674"/>
      <c r="AG63" s="674"/>
      <c r="AH63" s="674"/>
      <c r="AI63" s="674"/>
      <c r="AJ63" s="674"/>
      <c r="AK63" s="674"/>
      <c r="AL63" s="674"/>
      <c r="AM63" s="674"/>
      <c r="AN63" s="674"/>
    </row>
    <row r="64" spans="2:40" ht="36" customHeight="1" x14ac:dyDescent="0.35">
      <c r="B64" s="432" t="s">
        <v>1840</v>
      </c>
      <c r="C64" s="249"/>
      <c r="D64" s="462">
        <f t="shared" ref="D64:AF64" si="34">D18+D21+D24+D25+D26+D28+D32</f>
        <v>0</v>
      </c>
      <c r="E64" s="462">
        <f t="shared" si="34"/>
        <v>0</v>
      </c>
      <c r="F64" s="462">
        <f t="shared" si="34"/>
        <v>0</v>
      </c>
      <c r="G64" s="462">
        <f t="shared" si="34"/>
        <v>0</v>
      </c>
      <c r="H64" s="462">
        <f t="shared" si="34"/>
        <v>0</v>
      </c>
      <c r="I64" s="462">
        <f t="shared" si="34"/>
        <v>6.9120000000000061</v>
      </c>
      <c r="J64" s="462">
        <f t="shared" si="34"/>
        <v>1347.155</v>
      </c>
      <c r="K64" s="462">
        <f t="shared" si="34"/>
        <v>206.37400000000002</v>
      </c>
      <c r="L64" s="462">
        <f t="shared" si="34"/>
        <v>115.79400000000001</v>
      </c>
      <c r="M64" s="462">
        <f t="shared" si="34"/>
        <v>2057.875</v>
      </c>
      <c r="N64" s="462">
        <f t="shared" si="34"/>
        <v>466.45584000000008</v>
      </c>
      <c r="O64" s="462">
        <f t="shared" si="34"/>
        <v>218.3611600000001</v>
      </c>
      <c r="P64" s="462">
        <f t="shared" si="34"/>
        <v>220.70400000000004</v>
      </c>
      <c r="Q64" s="462">
        <f t="shared" si="34"/>
        <v>176.215</v>
      </c>
      <c r="R64" s="462">
        <f t="shared" si="34"/>
        <v>166.113</v>
      </c>
      <c r="S64" s="462">
        <f t="shared" si="34"/>
        <v>150.60300000000001</v>
      </c>
      <c r="T64" s="462">
        <f t="shared" si="34"/>
        <v>149.92400000000004</v>
      </c>
      <c r="U64" s="462">
        <f t="shared" si="34"/>
        <v>119.002</v>
      </c>
      <c r="V64" s="462">
        <f t="shared" si="34"/>
        <v>87.285000000000011</v>
      </c>
      <c r="W64" s="462">
        <f t="shared" si="34"/>
        <v>86.890000000000015</v>
      </c>
      <c r="X64" s="674">
        <f t="shared" si="34"/>
        <v>59.917999999999999</v>
      </c>
      <c r="Y64" s="674">
        <f t="shared" si="34"/>
        <v>58.436</v>
      </c>
      <c r="Z64" s="674">
        <f t="shared" si="34"/>
        <v>62.548000000000009</v>
      </c>
      <c r="AA64" s="674">
        <f t="shared" si="34"/>
        <v>69.218000000000018</v>
      </c>
      <c r="AB64" s="674">
        <f>AB18+AB21+AB24+AB25+AB26+AB28+AB32</f>
        <v>64.77300000000001</v>
      </c>
      <c r="AC64" s="674">
        <f t="shared" si="34"/>
        <v>61.52300000000001</v>
      </c>
      <c r="AD64" s="674">
        <f t="shared" si="34"/>
        <v>61.52300000000001</v>
      </c>
      <c r="AE64" s="674">
        <f t="shared" si="34"/>
        <v>61.52300000000001</v>
      </c>
      <c r="AF64" s="674">
        <f t="shared" si="34"/>
        <v>43.443000000000012</v>
      </c>
      <c r="AG64" s="674">
        <f>AG18+AG21+AG24+AG25+AG26+AG28+AG32</f>
        <v>41.282000000000011</v>
      </c>
      <c r="AH64" s="674">
        <f t="shared" ref="AH64:AI64" si="35">AH18+AH21+AH24+AH25+AH26+AH28+AH32</f>
        <v>40.554000000000009</v>
      </c>
      <c r="AI64" s="674">
        <f t="shared" si="35"/>
        <v>40.554000000000009</v>
      </c>
      <c r="AJ64" s="674">
        <f>AJ18+AJ21+AJ24+AJ25+AJ26+AJ28+AJ32</f>
        <v>40.554000000000009</v>
      </c>
      <c r="AK64" s="674">
        <f t="shared" ref="AK64:AN64" si="36">AK18+AK21+AK24+AK25+AK26+AK28+AK32</f>
        <v>40.554000000000009</v>
      </c>
      <c r="AL64" s="674">
        <f t="shared" si="36"/>
        <v>40.554000000000009</v>
      </c>
      <c r="AM64" s="674">
        <f t="shared" si="36"/>
        <v>40.554000000000009</v>
      </c>
      <c r="AN64" s="674">
        <f t="shared" si="36"/>
        <v>40.554000000000009</v>
      </c>
    </row>
    <row r="65" spans="2:40" ht="25.75" customHeight="1" x14ac:dyDescent="0.35">
      <c r="B65" s="494" t="s">
        <v>799</v>
      </c>
      <c r="C65" s="249"/>
      <c r="D65" s="690">
        <f t="shared" ref="D65:AC65" si="37">D61-D62</f>
        <v>1410.9</v>
      </c>
      <c r="E65" s="690">
        <f t="shared" si="37"/>
        <v>1470.7000000000003</v>
      </c>
      <c r="F65" s="690">
        <f t="shared" si="37"/>
        <v>1475.8999999999999</v>
      </c>
      <c r="G65" s="690">
        <f t="shared" si="37"/>
        <v>1482.6999999999998</v>
      </c>
      <c r="H65" s="690">
        <f t="shared" si="37"/>
        <v>1490.8</v>
      </c>
      <c r="I65" s="690">
        <f t="shared" si="37"/>
        <v>1535.4880000000001</v>
      </c>
      <c r="J65" s="690">
        <f t="shared" si="37"/>
        <v>1511.1450000000004</v>
      </c>
      <c r="K65" s="690">
        <f t="shared" si="37"/>
        <v>1641.5259999999998</v>
      </c>
      <c r="L65" s="690">
        <f t="shared" si="37"/>
        <v>1580.9059999999999</v>
      </c>
      <c r="M65" s="690">
        <f t="shared" si="37"/>
        <v>1607.1250000000005</v>
      </c>
      <c r="N65" s="690">
        <f t="shared" si="37"/>
        <v>1584.94416</v>
      </c>
      <c r="O65" s="690">
        <f t="shared" si="37"/>
        <v>1587.7055066666669</v>
      </c>
      <c r="P65" s="690">
        <f t="shared" si="37"/>
        <v>1574.5626666666669</v>
      </c>
      <c r="Q65" s="690">
        <f t="shared" si="37"/>
        <v>1758.2850000000001</v>
      </c>
      <c r="R65" s="690">
        <f t="shared" si="37"/>
        <v>1767.4869999999996</v>
      </c>
      <c r="S65" s="690">
        <f t="shared" si="37"/>
        <v>1764.9970000000001</v>
      </c>
      <c r="T65" s="690">
        <f t="shared" si="37"/>
        <v>1795.7760000000001</v>
      </c>
      <c r="U65" s="690">
        <f t="shared" si="37"/>
        <v>1874.1980000000001</v>
      </c>
      <c r="V65" s="690">
        <f t="shared" si="37"/>
        <v>1895.0549999999998</v>
      </c>
      <c r="W65" s="690">
        <f t="shared" si="37"/>
        <v>1906.25</v>
      </c>
      <c r="X65" s="690">
        <f t="shared" si="37"/>
        <v>1931.0820000000001</v>
      </c>
      <c r="Y65" s="690">
        <f t="shared" si="37"/>
        <v>2024.5639999999999</v>
      </c>
      <c r="Z65" s="690">
        <f t="shared" si="37"/>
        <v>2044.5519999999999</v>
      </c>
      <c r="AA65" s="690">
        <f t="shared" si="37"/>
        <v>2054.6819999999998</v>
      </c>
      <c r="AB65" s="690">
        <f t="shared" si="37"/>
        <v>2075.2269999999999</v>
      </c>
      <c r="AC65" s="690">
        <f t="shared" si="37"/>
        <v>2170.777</v>
      </c>
      <c r="AD65" s="674"/>
      <c r="AE65" s="674"/>
      <c r="AF65" s="674"/>
      <c r="AG65" s="229"/>
      <c r="AH65" s="229"/>
      <c r="AI65" s="229"/>
      <c r="AJ65" s="229"/>
      <c r="AK65" s="229"/>
      <c r="AL65" s="229"/>
      <c r="AM65" s="229"/>
      <c r="AN65" s="229"/>
    </row>
    <row r="66" spans="2:40" ht="20.5" customHeight="1" x14ac:dyDescent="0.35">
      <c r="B66" s="700" t="s">
        <v>800</v>
      </c>
      <c r="C66" s="701"/>
      <c r="D66" s="707">
        <f t="shared" ref="D66:I66" si="38">D12-D14-D17-D27</f>
        <v>1410.9</v>
      </c>
      <c r="E66" s="678">
        <f t="shared" si="38"/>
        <v>1470.7000000000003</v>
      </c>
      <c r="F66" s="678">
        <f t="shared" si="38"/>
        <v>1475.8999999999996</v>
      </c>
      <c r="G66" s="678">
        <f t="shared" si="38"/>
        <v>1482.6999999999998</v>
      </c>
      <c r="H66" s="678">
        <f t="shared" si="38"/>
        <v>1490.8000000000002</v>
      </c>
      <c r="I66" s="678">
        <f t="shared" si="38"/>
        <v>1542.4</v>
      </c>
      <c r="J66" s="708">
        <f>I66+($H$66-$E$66)/3</f>
        <v>1549.1000000000001</v>
      </c>
      <c r="K66" s="708">
        <f>J66+($H$66-$E$66)/3</f>
        <v>1555.8000000000002</v>
      </c>
      <c r="L66" s="708">
        <f>K66+($H$66-$E$66)/3</f>
        <v>1562.5000000000002</v>
      </c>
      <c r="M66" s="709">
        <f>L66+($H$66-$E$66)/3 +(M70-L70)</f>
        <v>1586.8430000000003</v>
      </c>
      <c r="N66" s="708">
        <f>M66+($H$66-$E$66)/3</f>
        <v>1593.5430000000003</v>
      </c>
      <c r="O66" s="708">
        <f>N66+($H$66-$E$66)/3</f>
        <v>1600.2430000000004</v>
      </c>
      <c r="P66" s="708">
        <f>O66+($H$66-$E$66)/3</f>
        <v>1606.9430000000004</v>
      </c>
      <c r="Q66" s="709">
        <f>P66+($H$66-$E$66)/3 + 0.06*Q70</f>
        <v>1685.5501200000006</v>
      </c>
      <c r="R66" s="708">
        <f>Q66+($H$66-$E$66)/3</f>
        <v>1692.2501200000006</v>
      </c>
      <c r="S66" s="708">
        <f>R66+($H$66-$E$66)/3</f>
        <v>1698.9501200000007</v>
      </c>
      <c r="T66" s="708">
        <f>S66+($H$66-$E$66)/3</f>
        <v>1705.6501200000007</v>
      </c>
      <c r="U66" s="708">
        <f t="shared" ref="U66:AN66" si="39">T66+U67</f>
        <v>1818.9789730000007</v>
      </c>
      <c r="V66" s="708">
        <f t="shared" si="39"/>
        <v>1825.6789730000007</v>
      </c>
      <c r="W66" s="678">
        <f t="shared" si="39"/>
        <v>1832.3789730000008</v>
      </c>
      <c r="X66" s="702">
        <f t="shared" si="39"/>
        <v>1839.0789730000008</v>
      </c>
      <c r="Y66" s="702">
        <f t="shared" si="39"/>
        <v>1891.4284770000008</v>
      </c>
      <c r="Z66" s="702">
        <f t="shared" si="39"/>
        <v>1898.1284770000009</v>
      </c>
      <c r="AA66" s="702">
        <f t="shared" si="39"/>
        <v>1904.8284770000009</v>
      </c>
      <c r="AB66" s="702">
        <f t="shared" si="39"/>
        <v>1911.528477000001</v>
      </c>
      <c r="AC66" s="702">
        <f t="shared" si="39"/>
        <v>1956.4482020000009</v>
      </c>
      <c r="AD66" s="702">
        <f t="shared" si="39"/>
        <v>1963.148202000001</v>
      </c>
      <c r="AE66" s="702">
        <f t="shared" si="39"/>
        <v>1969.848202000001</v>
      </c>
      <c r="AF66" s="702">
        <f t="shared" si="39"/>
        <v>1976.5482020000011</v>
      </c>
      <c r="AG66" s="702">
        <f t="shared" si="39"/>
        <v>2021.8053925010011</v>
      </c>
      <c r="AH66" s="702">
        <f t="shared" si="39"/>
        <v>2028.5053925010011</v>
      </c>
      <c r="AI66" s="702">
        <f t="shared" si="39"/>
        <v>2035.2053925010011</v>
      </c>
      <c r="AJ66" s="702">
        <f t="shared" si="39"/>
        <v>2041.9053925010012</v>
      </c>
      <c r="AK66" s="702">
        <f t="shared" si="39"/>
        <v>2089.4772613835244</v>
      </c>
      <c r="AL66" s="702">
        <f t="shared" si="39"/>
        <v>2096.1772613835242</v>
      </c>
      <c r="AM66" s="702">
        <f t="shared" si="39"/>
        <v>2102.877261383524</v>
      </c>
      <c r="AN66" s="702">
        <f t="shared" si="39"/>
        <v>2109.5772613835238</v>
      </c>
    </row>
    <row r="67" spans="2:40" ht="20.5" customHeight="1" x14ac:dyDescent="0.35">
      <c r="B67" s="703" t="s">
        <v>1800</v>
      </c>
      <c r="C67" s="249"/>
      <c r="D67" s="717"/>
      <c r="E67" s="462"/>
      <c r="F67" s="462"/>
      <c r="G67" s="462"/>
      <c r="H67" s="462"/>
      <c r="I67" s="462"/>
      <c r="J67" s="691"/>
      <c r="K67" s="691"/>
      <c r="L67" s="691"/>
      <c r="M67" s="710"/>
      <c r="N67" s="691"/>
      <c r="O67" s="691"/>
      <c r="P67" s="691"/>
      <c r="Q67" s="710"/>
      <c r="R67" s="691"/>
      <c r="S67" s="691"/>
      <c r="T67" s="691"/>
      <c r="U67" s="691">
        <f>U68+U69</f>
        <v>113.32885299999995</v>
      </c>
      <c r="V67" s="691">
        <f>V68+V69</f>
        <v>6.69999999999997</v>
      </c>
      <c r="W67" s="691">
        <f>W68+W69</f>
        <v>6.69999999999997</v>
      </c>
      <c r="X67" s="674">
        <f t="shared" ref="X67:AN67" si="40">X68+X73*X70</f>
        <v>6.69999999999997</v>
      </c>
      <c r="Y67" s="674">
        <f t="shared" si="40"/>
        <v>52.349503999999968</v>
      </c>
      <c r="Z67" s="674">
        <f t="shared" si="40"/>
        <v>6.69999999999997</v>
      </c>
      <c r="AA67" s="674">
        <f t="shared" si="40"/>
        <v>6.69999999999997</v>
      </c>
      <c r="AB67" s="674">
        <f t="shared" si="40"/>
        <v>6.69999999999997</v>
      </c>
      <c r="AC67" s="674">
        <f t="shared" si="40"/>
        <v>44.919724999999971</v>
      </c>
      <c r="AD67" s="674">
        <f t="shared" si="40"/>
        <v>6.69999999999997</v>
      </c>
      <c r="AE67" s="674">
        <f t="shared" si="40"/>
        <v>6.69999999999997</v>
      </c>
      <c r="AF67" s="674">
        <f t="shared" si="40"/>
        <v>6.69999999999997</v>
      </c>
      <c r="AG67" s="674">
        <f t="shared" si="40"/>
        <v>45.257190500999961</v>
      </c>
      <c r="AH67" s="674">
        <f t="shared" si="40"/>
        <v>6.69999999999997</v>
      </c>
      <c r="AI67" s="674">
        <f t="shared" si="40"/>
        <v>6.69999999999997</v>
      </c>
      <c r="AJ67" s="674">
        <f t="shared" si="40"/>
        <v>6.69999999999997</v>
      </c>
      <c r="AK67" s="674">
        <f t="shared" si="40"/>
        <v>47.571868882522963</v>
      </c>
      <c r="AL67" s="674">
        <f t="shared" si="40"/>
        <v>6.69999999999997</v>
      </c>
      <c r="AM67" s="674">
        <f t="shared" si="40"/>
        <v>6.69999999999997</v>
      </c>
      <c r="AN67" s="674">
        <f t="shared" si="40"/>
        <v>6.69999999999997</v>
      </c>
    </row>
    <row r="68" spans="2:40" ht="28.4" customHeight="1" x14ac:dyDescent="0.35">
      <c r="B68" s="704" t="s">
        <v>1797</v>
      </c>
      <c r="C68" s="249"/>
      <c r="D68" s="717"/>
      <c r="E68" s="462"/>
      <c r="F68" s="462"/>
      <c r="G68" s="462"/>
      <c r="H68" s="462"/>
      <c r="I68" s="462"/>
      <c r="J68" s="691"/>
      <c r="K68" s="691"/>
      <c r="L68" s="691"/>
      <c r="M68" s="710"/>
      <c r="N68" s="691"/>
      <c r="O68" s="691"/>
      <c r="P68" s="691"/>
      <c r="Q68" s="710"/>
      <c r="R68" s="691"/>
      <c r="S68" s="691"/>
      <c r="T68" s="691"/>
      <c r="U68" s="691">
        <f>($H$66-$E$66)/3</f>
        <v>6.69999999999997</v>
      </c>
      <c r="V68" s="691">
        <f>($H$66-$E$66)/3</f>
        <v>6.69999999999997</v>
      </c>
      <c r="W68" s="691">
        <f>($H$66-$E$66)/3</f>
        <v>6.69999999999997</v>
      </c>
      <c r="X68" s="674">
        <f t="shared" ref="X68:AE68" si="41">W68</f>
        <v>6.69999999999997</v>
      </c>
      <c r="Y68" s="674">
        <f t="shared" si="41"/>
        <v>6.69999999999997</v>
      </c>
      <c r="Z68" s="674">
        <f t="shared" si="41"/>
        <v>6.69999999999997</v>
      </c>
      <c r="AA68" s="674">
        <f t="shared" si="41"/>
        <v>6.69999999999997</v>
      </c>
      <c r="AB68" s="674">
        <f t="shared" si="41"/>
        <v>6.69999999999997</v>
      </c>
      <c r="AC68" s="674">
        <f t="shared" si="41"/>
        <v>6.69999999999997</v>
      </c>
      <c r="AD68" s="674">
        <f t="shared" si="41"/>
        <v>6.69999999999997</v>
      </c>
      <c r="AE68" s="674">
        <f t="shared" si="41"/>
        <v>6.69999999999997</v>
      </c>
      <c r="AF68" s="674">
        <f>AE68</f>
        <v>6.69999999999997</v>
      </c>
      <c r="AG68" s="674">
        <f>AF68</f>
        <v>6.69999999999997</v>
      </c>
      <c r="AH68" s="674">
        <f>AG68</f>
        <v>6.69999999999997</v>
      </c>
      <c r="AI68" s="674">
        <f t="shared" ref="AI68:AN68" si="42">AH68</f>
        <v>6.69999999999997</v>
      </c>
      <c r="AJ68" s="674">
        <f t="shared" si="42"/>
        <v>6.69999999999997</v>
      </c>
      <c r="AK68" s="674">
        <f t="shared" si="42"/>
        <v>6.69999999999997</v>
      </c>
      <c r="AL68" s="674">
        <f t="shared" si="42"/>
        <v>6.69999999999997</v>
      </c>
      <c r="AM68" s="674">
        <f t="shared" si="42"/>
        <v>6.69999999999997</v>
      </c>
      <c r="AN68" s="674">
        <f t="shared" si="42"/>
        <v>6.69999999999997</v>
      </c>
    </row>
    <row r="69" spans="2:40" ht="30.65" customHeight="1" x14ac:dyDescent="0.35">
      <c r="B69" s="705" t="s">
        <v>1798</v>
      </c>
      <c r="C69" s="706"/>
      <c r="D69" s="711"/>
      <c r="E69" s="679"/>
      <c r="F69" s="679"/>
      <c r="G69" s="679"/>
      <c r="H69" s="679"/>
      <c r="I69" s="679"/>
      <c r="J69" s="712"/>
      <c r="K69" s="712"/>
      <c r="L69" s="712"/>
      <c r="M69" s="713"/>
      <c r="N69" s="712"/>
      <c r="O69" s="712"/>
      <c r="P69" s="712"/>
      <c r="Q69" s="713"/>
      <c r="R69" s="712"/>
      <c r="S69" s="712"/>
      <c r="T69" s="712"/>
      <c r="U69" s="712">
        <f t="shared" ref="U69:AN69" si="43">U73*T70</f>
        <v>106.62885299999998</v>
      </c>
      <c r="V69" s="712">
        <f t="shared" si="43"/>
        <v>0</v>
      </c>
      <c r="W69" s="679">
        <f t="shared" si="43"/>
        <v>0</v>
      </c>
      <c r="X69" s="714">
        <f t="shared" si="43"/>
        <v>0</v>
      </c>
      <c r="Y69" s="714">
        <f t="shared" si="43"/>
        <v>43.967424000000001</v>
      </c>
      <c r="Z69" s="714">
        <f t="shared" si="43"/>
        <v>0</v>
      </c>
      <c r="AA69" s="714">
        <f t="shared" si="43"/>
        <v>0</v>
      </c>
      <c r="AB69" s="714">
        <f t="shared" si="43"/>
        <v>0</v>
      </c>
      <c r="AC69" s="714">
        <f t="shared" si="43"/>
        <v>36.697899999999997</v>
      </c>
      <c r="AD69" s="714">
        <f t="shared" si="43"/>
        <v>0</v>
      </c>
      <c r="AE69" s="714">
        <f t="shared" si="43"/>
        <v>0</v>
      </c>
      <c r="AF69" s="714">
        <f t="shared" si="43"/>
        <v>0</v>
      </c>
      <c r="AG69" s="714">
        <f t="shared" si="43"/>
        <v>37.330587000000001</v>
      </c>
      <c r="AH69" s="714">
        <f t="shared" si="43"/>
        <v>0</v>
      </c>
      <c r="AI69" s="714">
        <f t="shared" si="43"/>
        <v>0</v>
      </c>
      <c r="AJ69" s="714">
        <f t="shared" si="43"/>
        <v>0</v>
      </c>
      <c r="AK69" s="714">
        <f t="shared" si="43"/>
        <v>39.638190500999997</v>
      </c>
      <c r="AL69" s="714">
        <f t="shared" si="43"/>
        <v>0</v>
      </c>
      <c r="AM69" s="714">
        <f t="shared" si="43"/>
        <v>0</v>
      </c>
      <c r="AN69" s="714">
        <f t="shared" si="43"/>
        <v>0</v>
      </c>
    </row>
    <row r="70" spans="2:40" ht="17.5" customHeight="1" x14ac:dyDescent="0.35">
      <c r="B70" s="571" t="s">
        <v>473</v>
      </c>
      <c r="C70" s="249" t="s">
        <v>474</v>
      </c>
      <c r="D70" s="717">
        <f>'[1]Haver Pivoted'!GO88/1000</f>
        <v>983.86099999999999</v>
      </c>
      <c r="E70" s="462">
        <f>'[1]Haver Pivoted'!GP88/1000</f>
        <v>1019.19</v>
      </c>
      <c r="F70" s="462">
        <f>'[1]Haver Pivoted'!GQ88/1000</f>
        <v>1026.704</v>
      </c>
      <c r="G70" s="462">
        <f>'[1]Haver Pivoted'!GR88/1000</f>
        <v>1034.4169999999999</v>
      </c>
      <c r="H70" s="462">
        <f>'[1]Haver Pivoted'!GS88/1000</f>
        <v>1042.6610000000001</v>
      </c>
      <c r="I70" s="462">
        <f>'[1]Haver Pivoted'!GT88/1000</f>
        <v>1068.201</v>
      </c>
      <c r="J70" s="462">
        <f>'[1]Haver Pivoted'!GU88/1000</f>
        <v>1075.075</v>
      </c>
      <c r="K70" s="462">
        <f>'[1]Haver Pivoted'!GV88/1000</f>
        <v>1080.441</v>
      </c>
      <c r="L70" s="462">
        <f>'[1]Haver Pivoted'!GW88/1000</f>
        <v>1087.9949999999999</v>
      </c>
      <c r="M70" s="462">
        <f>'[1]Haver Pivoted'!GX88/1000</f>
        <v>1105.6379999999999</v>
      </c>
      <c r="N70" s="462">
        <f>'[1]Haver Pivoted'!GY88/1000</f>
        <v>1109.6400000000001</v>
      </c>
      <c r="O70" s="462">
        <f>'[1]Haver Pivoted'!GZ88/1000</f>
        <v>1116.9480000000001</v>
      </c>
      <c r="P70" s="462">
        <f>'[1]Haver Pivoted'!HA88/1000</f>
        <v>1126.174</v>
      </c>
      <c r="Q70" s="462">
        <f>'[1]Haver Pivoted'!HB88/1000</f>
        <v>1198.452</v>
      </c>
      <c r="R70" s="462">
        <f>'[1]Haver Pivoted'!HC88/1000</f>
        <v>1207.163</v>
      </c>
      <c r="S70" s="690">
        <f>'[1]Haver Pivoted'!HD88/1000</f>
        <v>1214.7809999999999</v>
      </c>
      <c r="T70" s="690">
        <f>'[1]Haver Pivoted'!HE88/1000</f>
        <v>1225.6189999999999</v>
      </c>
      <c r="U70" s="690">
        <f>'[1]Haver Pivoted'!HF88/1000</f>
        <v>1339.904</v>
      </c>
      <c r="V70" s="690">
        <f>'[1]Haver Pivoted'!HG88/1000</f>
        <v>1353.2829999999999</v>
      </c>
      <c r="W70" s="690">
        <f>'[1]Haver Pivoted'!HH88/1000</f>
        <v>1360.723</v>
      </c>
      <c r="X70" s="690">
        <f>'[1]Haver Pivoted'!HI88/1000</f>
        <v>1373.982</v>
      </c>
      <c r="Y70" s="690">
        <f>'[1]Haver Pivoted'!HJ88/1000</f>
        <v>1426.547</v>
      </c>
      <c r="Z70" s="690">
        <f>'[1]Haver Pivoted'!HK88/1000</f>
        <v>1439.73</v>
      </c>
      <c r="AA70" s="690">
        <f>'[1]Haver Pivoted'!HL88/1000</f>
        <v>1453.1369999999999</v>
      </c>
      <c r="AB70" s="690">
        <f>'[1]Haver Pivoted'!HM88/1000</f>
        <v>1467.9159999999999</v>
      </c>
      <c r="AC70" s="690">
        <f>'[1]Haver Pivoted'!HN88/1000</f>
        <v>1528.789</v>
      </c>
      <c r="AD70" s="674">
        <f t="shared" ref="AD70:AN70" si="44">AC70+AD71</f>
        <v>1597.069</v>
      </c>
      <c r="AE70" s="674">
        <f t="shared" si="44"/>
        <v>1607.069</v>
      </c>
      <c r="AF70" s="674">
        <f t="shared" si="44"/>
        <v>1623.069</v>
      </c>
      <c r="AG70" s="674">
        <f t="shared" si="44"/>
        <v>1676.3995869999999</v>
      </c>
      <c r="AH70" s="674">
        <f t="shared" si="44"/>
        <v>1692.3995869999999</v>
      </c>
      <c r="AI70" s="674">
        <f t="shared" si="44"/>
        <v>1708.3995869999999</v>
      </c>
      <c r="AJ70" s="674">
        <f t="shared" si="44"/>
        <v>1723.3995869999999</v>
      </c>
      <c r="AK70" s="674">
        <f t="shared" si="44"/>
        <v>1777.0377775009999</v>
      </c>
      <c r="AL70" s="674">
        <f t="shared" si="44"/>
        <v>1790.0377775009999</v>
      </c>
      <c r="AM70" s="674">
        <f t="shared" si="44"/>
        <v>1802.0377775009999</v>
      </c>
      <c r="AN70" s="674">
        <f t="shared" si="44"/>
        <v>1813.0377775009999</v>
      </c>
    </row>
    <row r="71" spans="2:40" ht="17.5" customHeight="1" x14ac:dyDescent="0.35">
      <c r="B71" s="432" t="s">
        <v>1799</v>
      </c>
      <c r="C71" s="249"/>
      <c r="D71" s="717"/>
      <c r="E71" s="462"/>
      <c r="F71" s="462"/>
      <c r="G71" s="462"/>
      <c r="H71" s="462"/>
      <c r="I71" s="462"/>
      <c r="J71" s="462"/>
      <c r="K71" s="462"/>
      <c r="L71" s="462"/>
      <c r="M71" s="462"/>
      <c r="N71" s="462"/>
      <c r="O71" s="462"/>
      <c r="P71" s="462"/>
      <c r="Q71" s="462"/>
      <c r="R71" s="462"/>
      <c r="S71" s="690"/>
      <c r="T71" s="690"/>
      <c r="U71" s="690">
        <f t="shared" ref="U71:AN71" si="45">U69+U72</f>
        <v>114.62885299999998</v>
      </c>
      <c r="V71" s="462">
        <f t="shared" si="45"/>
        <v>8</v>
      </c>
      <c r="W71" s="462">
        <f t="shared" si="45"/>
        <v>11</v>
      </c>
      <c r="X71" s="674">
        <f t="shared" si="45"/>
        <v>14</v>
      </c>
      <c r="Y71" s="674">
        <f t="shared" si="45"/>
        <v>52.967424000000001</v>
      </c>
      <c r="Z71" s="674">
        <f t="shared" si="45"/>
        <v>13</v>
      </c>
      <c r="AA71" s="674">
        <f t="shared" si="45"/>
        <v>11</v>
      </c>
      <c r="AB71" s="674">
        <f t="shared" si="45"/>
        <v>14</v>
      </c>
      <c r="AC71" s="674">
        <f>AC69+AC72</f>
        <v>43.697899999999997</v>
      </c>
      <c r="AD71" s="674">
        <f t="shared" si="45"/>
        <v>68.28</v>
      </c>
      <c r="AE71" s="674">
        <f t="shared" si="45"/>
        <v>10</v>
      </c>
      <c r="AF71" s="674">
        <f t="shared" si="45"/>
        <v>16</v>
      </c>
      <c r="AG71" s="674">
        <f t="shared" si="45"/>
        <v>53.330587000000001</v>
      </c>
      <c r="AH71" s="674">
        <f t="shared" si="45"/>
        <v>16</v>
      </c>
      <c r="AI71" s="674">
        <f t="shared" si="45"/>
        <v>16</v>
      </c>
      <c r="AJ71" s="674">
        <f t="shared" si="45"/>
        <v>15</v>
      </c>
      <c r="AK71" s="674">
        <f t="shared" si="45"/>
        <v>53.638190500999997</v>
      </c>
      <c r="AL71" s="674">
        <f t="shared" si="45"/>
        <v>13</v>
      </c>
      <c r="AM71" s="674">
        <f t="shared" si="45"/>
        <v>12</v>
      </c>
      <c r="AN71" s="674">
        <f t="shared" si="45"/>
        <v>11</v>
      </c>
    </row>
    <row r="72" spans="2:40" ht="17.5" customHeight="1" x14ac:dyDescent="0.35">
      <c r="B72" s="424" t="s">
        <v>1802</v>
      </c>
      <c r="C72" s="249"/>
      <c r="D72" s="690" t="e">
        <f t="shared" ref="D72:S72" si="46">D70-C70</f>
        <v>#VALUE!</v>
      </c>
      <c r="E72" s="690">
        <f t="shared" si="46"/>
        <v>35.329000000000065</v>
      </c>
      <c r="F72" s="690">
        <f t="shared" si="46"/>
        <v>7.5139999999998963</v>
      </c>
      <c r="G72" s="690">
        <f t="shared" si="46"/>
        <v>7.7129999999999654</v>
      </c>
      <c r="H72" s="690">
        <f t="shared" si="46"/>
        <v>8.2440000000001419</v>
      </c>
      <c r="I72" s="690">
        <f t="shared" si="46"/>
        <v>25.539999999999964</v>
      </c>
      <c r="J72" s="690">
        <f t="shared" si="46"/>
        <v>6.8740000000000236</v>
      </c>
      <c r="K72" s="690">
        <f t="shared" si="46"/>
        <v>5.3659999999999854</v>
      </c>
      <c r="L72" s="690">
        <f t="shared" si="46"/>
        <v>7.5539999999998599</v>
      </c>
      <c r="M72" s="690">
        <f t="shared" si="46"/>
        <v>17.643000000000029</v>
      </c>
      <c r="N72" s="690">
        <f t="shared" si="46"/>
        <v>4.0020000000001801</v>
      </c>
      <c r="O72" s="690">
        <f t="shared" si="46"/>
        <v>7.3079999999999927</v>
      </c>
      <c r="P72" s="690">
        <f t="shared" si="46"/>
        <v>9.2259999999998854</v>
      </c>
      <c r="Q72" s="690">
        <f t="shared" si="46"/>
        <v>72.27800000000002</v>
      </c>
      <c r="R72" s="690">
        <f t="shared" si="46"/>
        <v>8.7110000000000127</v>
      </c>
      <c r="S72" s="690">
        <f t="shared" si="46"/>
        <v>7.6179999999999382</v>
      </c>
      <c r="T72" s="690">
        <f>T70-S70</f>
        <v>10.837999999999965</v>
      </c>
      <c r="U72" s="690">
        <v>8</v>
      </c>
      <c r="V72" s="462">
        <v>8</v>
      </c>
      <c r="W72" s="462">
        <v>11</v>
      </c>
      <c r="X72" s="674">
        <v>14</v>
      </c>
      <c r="Y72" s="674">
        <v>9</v>
      </c>
      <c r="Z72" s="674">
        <v>13</v>
      </c>
      <c r="AA72" s="674">
        <v>11</v>
      </c>
      <c r="AB72" s="674">
        <v>14</v>
      </c>
      <c r="AC72" s="674">
        <v>7</v>
      </c>
      <c r="AD72" s="674">
        <f>158-89.72</f>
        <v>68.28</v>
      </c>
      <c r="AE72" s="674">
        <v>10</v>
      </c>
      <c r="AF72" s="674">
        <v>16</v>
      </c>
      <c r="AG72" s="674">
        <v>16</v>
      </c>
      <c r="AH72" s="674">
        <v>16</v>
      </c>
      <c r="AI72" s="674">
        <v>16</v>
      </c>
      <c r="AJ72" s="674">
        <v>15</v>
      </c>
      <c r="AK72" s="674">
        <v>14</v>
      </c>
      <c r="AL72" s="674">
        <v>13</v>
      </c>
      <c r="AM72" s="674">
        <v>12</v>
      </c>
      <c r="AN72" s="674">
        <v>11</v>
      </c>
    </row>
    <row r="73" spans="2:40" ht="39" customHeight="1" x14ac:dyDescent="0.35">
      <c r="B73" s="424" t="s">
        <v>1803</v>
      </c>
      <c r="C73" s="249"/>
      <c r="D73" s="717"/>
      <c r="E73" s="462"/>
      <c r="F73" s="462"/>
      <c r="G73" s="462"/>
      <c r="H73" s="462"/>
      <c r="I73" s="679"/>
      <c r="J73" s="679"/>
      <c r="K73" s="679"/>
      <c r="L73" s="679"/>
      <c r="M73" s="679"/>
      <c r="N73" s="679"/>
      <c r="O73" s="679"/>
      <c r="P73" s="679"/>
      <c r="Q73" s="679"/>
      <c r="R73" s="679"/>
      <c r="S73" s="715"/>
      <c r="T73" s="715"/>
      <c r="U73" s="692">
        <v>8.6999999999999994E-2</v>
      </c>
      <c r="V73" s="680">
        <v>0</v>
      </c>
      <c r="W73" s="680">
        <v>0</v>
      </c>
      <c r="X73" s="716">
        <v>0</v>
      </c>
      <c r="Y73" s="716">
        <v>3.2000000000000001E-2</v>
      </c>
      <c r="Z73" s="716">
        <v>0</v>
      </c>
      <c r="AA73" s="716">
        <v>0</v>
      </c>
      <c r="AB73" s="716">
        <v>0</v>
      </c>
      <c r="AC73" s="716">
        <v>2.5000000000000001E-2</v>
      </c>
      <c r="AD73" s="716">
        <v>0</v>
      </c>
      <c r="AE73" s="716">
        <v>0</v>
      </c>
      <c r="AF73" s="716">
        <v>0</v>
      </c>
      <c r="AG73" s="716">
        <v>2.3E-2</v>
      </c>
      <c r="AH73" s="716">
        <v>0</v>
      </c>
      <c r="AI73" s="716">
        <v>0</v>
      </c>
      <c r="AJ73" s="716">
        <v>0</v>
      </c>
      <c r="AK73" s="716">
        <v>2.3E-2</v>
      </c>
      <c r="AL73" s="716">
        <v>0</v>
      </c>
      <c r="AM73" s="716">
        <v>0</v>
      </c>
      <c r="AN73" s="716">
        <v>0</v>
      </c>
    </row>
    <row r="74" spans="2:40" ht="49.75" customHeight="1" x14ac:dyDescent="0.35">
      <c r="B74" s="494" t="s">
        <v>1426</v>
      </c>
      <c r="C74" s="249"/>
      <c r="D74" s="717">
        <f t="shared" ref="D74:AC74" si="47">D65-D66</f>
        <v>0</v>
      </c>
      <c r="E74" s="462">
        <f t="shared" si="47"/>
        <v>0</v>
      </c>
      <c r="F74" s="462">
        <f t="shared" si="47"/>
        <v>0</v>
      </c>
      <c r="G74" s="462">
        <f t="shared" si="47"/>
        <v>0</v>
      </c>
      <c r="H74" s="462">
        <f t="shared" si="47"/>
        <v>0</v>
      </c>
      <c r="I74" s="462">
        <f t="shared" si="47"/>
        <v>-6.9120000000000346</v>
      </c>
      <c r="J74" s="462">
        <f t="shared" si="47"/>
        <v>-37.9549999999997</v>
      </c>
      <c r="K74" s="462">
        <f t="shared" si="47"/>
        <v>85.725999999999658</v>
      </c>
      <c r="L74" s="462">
        <f t="shared" si="47"/>
        <v>18.405999999999722</v>
      </c>
      <c r="M74" s="462">
        <f t="shared" si="47"/>
        <v>20.282000000000153</v>
      </c>
      <c r="N74" s="462">
        <f t="shared" si="47"/>
        <v>-8.5988400000003367</v>
      </c>
      <c r="O74" s="462">
        <f t="shared" si="47"/>
        <v>-12.537493333333487</v>
      </c>
      <c r="P74" s="462">
        <f t="shared" si="47"/>
        <v>-32.38033333333351</v>
      </c>
      <c r="Q74" s="462">
        <f t="shared" si="47"/>
        <v>72.734879999999521</v>
      </c>
      <c r="R74" s="462">
        <f t="shared" si="47"/>
        <v>75.236879999999019</v>
      </c>
      <c r="S74" s="690">
        <f t="shared" si="47"/>
        <v>66.046879999999419</v>
      </c>
      <c r="T74" s="690">
        <f t="shared" si="47"/>
        <v>90.12587999999937</v>
      </c>
      <c r="U74" s="690">
        <f t="shared" si="47"/>
        <v>55.219026999999414</v>
      </c>
      <c r="V74" s="690">
        <f t="shared" si="47"/>
        <v>69.376026999999112</v>
      </c>
      <c r="W74" s="690">
        <f t="shared" si="47"/>
        <v>73.871026999999231</v>
      </c>
      <c r="X74" s="690">
        <f t="shared" si="47"/>
        <v>92.003026999999292</v>
      </c>
      <c r="Y74" s="690">
        <f t="shared" si="47"/>
        <v>133.13552299999901</v>
      </c>
      <c r="Z74" s="690">
        <f t="shared" si="47"/>
        <v>146.42352299999902</v>
      </c>
      <c r="AA74" s="690">
        <f t="shared" si="47"/>
        <v>149.85352299999886</v>
      </c>
      <c r="AB74" s="690">
        <f t="shared" si="47"/>
        <v>163.69852299999889</v>
      </c>
      <c r="AC74" s="690">
        <f t="shared" si="47"/>
        <v>214.3287979999991</v>
      </c>
      <c r="AD74" s="674">
        <f t="shared" ref="AD74:AN74" si="48">AC74</f>
        <v>214.3287979999991</v>
      </c>
      <c r="AE74" s="674">
        <f t="shared" si="48"/>
        <v>214.3287979999991</v>
      </c>
      <c r="AF74" s="674">
        <f t="shared" si="48"/>
        <v>214.3287979999991</v>
      </c>
      <c r="AG74" s="674">
        <f t="shared" si="48"/>
        <v>214.3287979999991</v>
      </c>
      <c r="AH74" s="674">
        <f t="shared" si="48"/>
        <v>214.3287979999991</v>
      </c>
      <c r="AI74" s="674">
        <f t="shared" si="48"/>
        <v>214.3287979999991</v>
      </c>
      <c r="AJ74" s="674">
        <f t="shared" si="48"/>
        <v>214.3287979999991</v>
      </c>
      <c r="AK74" s="674">
        <f t="shared" si="48"/>
        <v>214.3287979999991</v>
      </c>
      <c r="AL74" s="674">
        <f t="shared" si="48"/>
        <v>214.3287979999991</v>
      </c>
      <c r="AM74" s="674">
        <f t="shared" si="48"/>
        <v>214.3287979999991</v>
      </c>
      <c r="AN74" s="674">
        <f t="shared" si="48"/>
        <v>214.3287979999991</v>
      </c>
    </row>
    <row r="75" spans="2:40" ht="29.5" customHeight="1" x14ac:dyDescent="0.35">
      <c r="B75" s="284"/>
      <c r="C75" s="249"/>
      <c r="D75" s="238"/>
      <c r="E75" s="238"/>
      <c r="F75" s="238"/>
      <c r="G75" s="238"/>
      <c r="H75" s="238"/>
      <c r="I75" s="238"/>
      <c r="J75" s="238"/>
      <c r="K75" s="238"/>
      <c r="L75" s="238"/>
      <c r="M75" s="238"/>
      <c r="N75" s="238"/>
      <c r="O75" s="238"/>
      <c r="P75" s="238"/>
      <c r="Q75" s="238"/>
      <c r="R75" s="238"/>
      <c r="S75" s="238"/>
      <c r="T75" s="238"/>
      <c r="U75" s="238"/>
      <c r="V75" s="238"/>
      <c r="W75" s="238"/>
      <c r="X75" s="238"/>
      <c r="Y75" s="238"/>
      <c r="Z75" s="238"/>
      <c r="AA75" s="238"/>
      <c r="AB75" s="238"/>
      <c r="AC75" s="238"/>
    </row>
    <row r="76" spans="2:40" ht="16.75" customHeight="1" x14ac:dyDescent="0.35">
      <c r="B76" s="571" t="s">
        <v>473</v>
      </c>
      <c r="C76" s="249" t="s">
        <v>474</v>
      </c>
      <c r="D76" s="717">
        <v>983.86099999999999</v>
      </c>
      <c r="E76" s="462">
        <v>1019.19</v>
      </c>
      <c r="F76" s="462">
        <v>1026.704</v>
      </c>
      <c r="G76" s="462">
        <v>1034.4169999999999</v>
      </c>
      <c r="H76" s="462">
        <v>1042.6610000000001</v>
      </c>
      <c r="I76" s="462">
        <v>1068.201</v>
      </c>
      <c r="J76" s="462">
        <v>1075.075</v>
      </c>
      <c r="K76" s="462">
        <v>1080.441</v>
      </c>
      <c r="L76" s="462">
        <v>1087.9949999999999</v>
      </c>
      <c r="M76" s="462">
        <v>1105.6379999999999</v>
      </c>
      <c r="N76" s="462">
        <v>1109.6400000000001</v>
      </c>
      <c r="O76" s="462">
        <v>1116.9480000000001</v>
      </c>
      <c r="P76" s="462">
        <v>1126.174</v>
      </c>
      <c r="Q76" s="462">
        <v>1198.452</v>
      </c>
      <c r="R76" s="462">
        <v>1207.163</v>
      </c>
      <c r="S76" s="690">
        <v>1214.7809999999999</v>
      </c>
      <c r="T76" s="690">
        <v>1225.6189999999999</v>
      </c>
      <c r="U76" s="690">
        <v>1339.904</v>
      </c>
      <c r="V76" s="690">
        <v>1353.2829999999999</v>
      </c>
      <c r="W76" s="690">
        <v>1360.723</v>
      </c>
      <c r="X76" s="690">
        <v>1373.982</v>
      </c>
      <c r="Y76" s="690">
        <v>1426.547</v>
      </c>
      <c r="Z76" s="690">
        <v>1439.73</v>
      </c>
      <c r="AA76" s="690">
        <v>1453.1369999999999</v>
      </c>
      <c r="AB76" s="690">
        <v>1467.9159999999999</v>
      </c>
      <c r="AC76" s="674">
        <v>1511.6139000000001</v>
      </c>
      <c r="AD76" s="674">
        <v>1525.6138999999998</v>
      </c>
      <c r="AE76" s="674">
        <v>1540.6138999999998</v>
      </c>
      <c r="AF76" s="674">
        <v>1556.6138999999998</v>
      </c>
      <c r="AG76" s="674">
        <v>1608.4160196999999</v>
      </c>
      <c r="AH76" s="674">
        <v>1624.4160196999999</v>
      </c>
      <c r="AI76" s="674">
        <v>1640.4160196999999</v>
      </c>
      <c r="AJ76" s="674">
        <v>1655.4160196999999</v>
      </c>
      <c r="AK76" s="674">
        <v>1707.4905881530999</v>
      </c>
      <c r="AL76" s="674">
        <v>1720.4905881530999</v>
      </c>
      <c r="AM76" s="674">
        <v>1732.4905881530999</v>
      </c>
      <c r="AN76" s="674">
        <v>1743.4905881530999</v>
      </c>
    </row>
    <row r="77" spans="2:40" ht="16.75" customHeight="1" x14ac:dyDescent="0.35">
      <c r="B77" s="432" t="s">
        <v>1799</v>
      </c>
      <c r="C77" s="249"/>
      <c r="D77" s="717"/>
      <c r="E77" s="462"/>
      <c r="F77" s="462"/>
      <c r="G77" s="462"/>
      <c r="H77" s="462"/>
      <c r="I77" s="462"/>
      <c r="J77" s="462"/>
      <c r="K77" s="462"/>
      <c r="L77" s="462"/>
      <c r="M77" s="462"/>
      <c r="N77" s="462"/>
      <c r="O77" s="462"/>
      <c r="P77" s="462"/>
      <c r="Q77" s="462"/>
      <c r="R77" s="462"/>
      <c r="S77" s="690"/>
      <c r="T77" s="690"/>
      <c r="U77" s="690">
        <v>114.62885299999998</v>
      </c>
      <c r="V77" s="462">
        <v>8</v>
      </c>
      <c r="W77" s="462">
        <v>11</v>
      </c>
      <c r="X77" s="674">
        <v>14</v>
      </c>
      <c r="Y77" s="674">
        <v>52.967424000000001</v>
      </c>
      <c r="Z77" s="674">
        <v>13</v>
      </c>
      <c r="AA77" s="674">
        <v>11</v>
      </c>
      <c r="AB77" s="674">
        <v>14</v>
      </c>
      <c r="AC77" s="674">
        <v>43.697899999999997</v>
      </c>
      <c r="AD77" s="674">
        <v>14</v>
      </c>
      <c r="AE77" s="674">
        <v>15</v>
      </c>
      <c r="AF77" s="674">
        <v>16</v>
      </c>
      <c r="AG77" s="674">
        <v>51.802119699999999</v>
      </c>
      <c r="AH77" s="674">
        <v>16</v>
      </c>
      <c r="AI77" s="674">
        <v>16</v>
      </c>
      <c r="AJ77" s="674">
        <v>15</v>
      </c>
      <c r="AK77" s="674">
        <v>52.074568453099999</v>
      </c>
      <c r="AL77" s="674">
        <v>13</v>
      </c>
      <c r="AM77" s="674">
        <v>12</v>
      </c>
      <c r="AN77" s="674">
        <v>11</v>
      </c>
    </row>
    <row r="78" spans="2:40" ht="16.75" customHeight="1" x14ac:dyDescent="0.35">
      <c r="B78" s="424" t="s">
        <v>1984</v>
      </c>
      <c r="C78" s="249"/>
      <c r="D78" s="717"/>
      <c r="E78" s="462"/>
      <c r="F78" s="690"/>
      <c r="G78" s="690"/>
      <c r="H78" s="690"/>
      <c r="I78" s="690"/>
      <c r="J78" s="690"/>
      <c r="K78" s="690"/>
      <c r="L78" s="690"/>
      <c r="M78" s="690"/>
      <c r="N78" s="690"/>
      <c r="O78" s="690"/>
      <c r="P78" s="690"/>
      <c r="Q78" s="690"/>
      <c r="R78" s="690"/>
      <c r="S78" s="690"/>
      <c r="T78" s="690"/>
      <c r="U78" s="690">
        <v>8</v>
      </c>
      <c r="V78" s="462">
        <v>8</v>
      </c>
      <c r="W78" s="462">
        <v>11</v>
      </c>
      <c r="X78" s="674">
        <v>14</v>
      </c>
      <c r="Y78" s="674">
        <v>9</v>
      </c>
      <c r="Z78" s="674">
        <v>13</v>
      </c>
      <c r="AA78" s="674">
        <v>11</v>
      </c>
      <c r="AB78" s="674">
        <v>14</v>
      </c>
      <c r="AC78" s="674">
        <v>7</v>
      </c>
      <c r="AD78" s="674">
        <v>14</v>
      </c>
      <c r="AE78" s="674">
        <v>15</v>
      </c>
      <c r="AF78" s="674">
        <v>16</v>
      </c>
      <c r="AG78" s="674">
        <v>16</v>
      </c>
      <c r="AH78" s="674">
        <v>16</v>
      </c>
      <c r="AI78" s="674">
        <v>16</v>
      </c>
      <c r="AJ78" s="674">
        <v>15</v>
      </c>
      <c r="AK78" s="674">
        <v>14</v>
      </c>
      <c r="AL78" s="674">
        <v>13</v>
      </c>
      <c r="AM78" s="674">
        <v>12</v>
      </c>
      <c r="AN78" s="674">
        <v>11</v>
      </c>
    </row>
    <row r="79" spans="2:40" ht="16.75" customHeight="1" x14ac:dyDescent="0.35">
      <c r="B79" s="424" t="s">
        <v>1985</v>
      </c>
      <c r="C79" s="249"/>
      <c r="D79" s="717"/>
      <c r="E79" s="462"/>
      <c r="F79" s="462"/>
      <c r="G79" s="462"/>
      <c r="H79" s="462"/>
      <c r="I79" s="679"/>
      <c r="J79" s="679"/>
      <c r="K79" s="679"/>
      <c r="L79" s="679"/>
      <c r="M79" s="679"/>
      <c r="N79" s="679"/>
      <c r="O79" s="679"/>
      <c r="P79" s="679"/>
      <c r="Q79" s="679"/>
      <c r="R79" s="679"/>
      <c r="S79" s="715"/>
      <c r="T79" s="715"/>
      <c r="U79" s="692">
        <v>8.6999999999999994E-2</v>
      </c>
      <c r="V79" s="680">
        <v>0</v>
      </c>
      <c r="W79" s="680">
        <v>0</v>
      </c>
      <c r="X79" s="716">
        <v>0</v>
      </c>
      <c r="Y79" s="716">
        <v>3.2000000000000001E-2</v>
      </c>
      <c r="Z79" s="716">
        <v>0</v>
      </c>
      <c r="AA79" s="716">
        <v>0</v>
      </c>
      <c r="AB79" s="716">
        <v>0</v>
      </c>
      <c r="AC79" s="716">
        <v>2.5000000000000001E-2</v>
      </c>
      <c r="AD79" s="716">
        <v>0</v>
      </c>
      <c r="AE79" s="716">
        <v>0</v>
      </c>
      <c r="AF79" s="716">
        <v>0</v>
      </c>
      <c r="AG79" s="716">
        <v>2.3E-2</v>
      </c>
      <c r="AH79" s="716">
        <v>0</v>
      </c>
      <c r="AI79" s="716">
        <v>0</v>
      </c>
      <c r="AJ79" s="716">
        <v>0</v>
      </c>
      <c r="AK79" s="716">
        <v>2.3E-2</v>
      </c>
      <c r="AL79" s="716">
        <v>0</v>
      </c>
      <c r="AM79" s="716">
        <v>0</v>
      </c>
      <c r="AN79" s="716">
        <v>0</v>
      </c>
    </row>
    <row r="80" spans="2:40" ht="16.75" customHeight="1" x14ac:dyDescent="0.35">
      <c r="B80" s="494" t="s">
        <v>1426</v>
      </c>
      <c r="C80" s="249"/>
      <c r="D80" s="717">
        <v>0</v>
      </c>
      <c r="E80" s="462">
        <v>0</v>
      </c>
      <c r="F80" s="462">
        <v>0</v>
      </c>
      <c r="G80" s="462">
        <v>0</v>
      </c>
      <c r="H80" s="462">
        <v>0</v>
      </c>
      <c r="I80" s="462">
        <v>-6.9120000000000346</v>
      </c>
      <c r="J80" s="462">
        <v>-37.9549999999997</v>
      </c>
      <c r="K80" s="462">
        <v>85.725999999999658</v>
      </c>
      <c r="L80" s="462">
        <v>18.405999999999722</v>
      </c>
      <c r="M80" s="462">
        <v>20.282000000000153</v>
      </c>
      <c r="N80" s="462">
        <v>-8.5988400000003367</v>
      </c>
      <c r="O80" s="462">
        <v>-12.537493333333487</v>
      </c>
      <c r="P80" s="462">
        <v>-32.38033333333351</v>
      </c>
      <c r="Q80" s="462">
        <v>72.734879999999521</v>
      </c>
      <c r="R80" s="462">
        <v>75.236879999999019</v>
      </c>
      <c r="S80" s="690">
        <v>66.046879999999419</v>
      </c>
      <c r="T80" s="690">
        <v>90.12587999999937</v>
      </c>
      <c r="U80" s="690">
        <v>55.219026999999414</v>
      </c>
      <c r="V80" s="690">
        <v>69.376026999999112</v>
      </c>
      <c r="W80" s="690">
        <v>73.871026999999231</v>
      </c>
      <c r="X80" s="690">
        <v>92.003026999999292</v>
      </c>
      <c r="Y80" s="690">
        <v>133.13552299999901</v>
      </c>
      <c r="Z80" s="690">
        <v>146.42352299999902</v>
      </c>
      <c r="AA80" s="690">
        <v>149.85352299999886</v>
      </c>
      <c r="AB80" s="690">
        <v>163.69852299999889</v>
      </c>
      <c r="AC80" s="674">
        <v>163.69852299999889</v>
      </c>
      <c r="AD80" s="674">
        <v>163.69852299999889</v>
      </c>
      <c r="AE80" s="674">
        <v>163.69852299999889</v>
      </c>
      <c r="AF80" s="674">
        <v>163.69852299999889</v>
      </c>
      <c r="AG80" s="674">
        <v>163.69852299999889</v>
      </c>
      <c r="AH80" s="674">
        <v>163.69852299999889</v>
      </c>
      <c r="AI80" s="674">
        <v>163.69852299999889</v>
      </c>
      <c r="AJ80" s="674">
        <v>163.69852299999889</v>
      </c>
      <c r="AK80" s="674">
        <v>163.69852299999889</v>
      </c>
      <c r="AL80" s="674">
        <v>163.69852299999889</v>
      </c>
      <c r="AM80" s="674">
        <v>163.69852299999889</v>
      </c>
      <c r="AN80" s="674">
        <v>163.69852299999889</v>
      </c>
    </row>
    <row r="81" spans="2:30" ht="16.75" customHeight="1" x14ac:dyDescent="0.35">
      <c r="B81" s="234"/>
      <c r="C81" s="249"/>
      <c r="S81" s="238"/>
      <c r="T81" s="238"/>
      <c r="U81" s="238"/>
      <c r="V81" s="238"/>
      <c r="W81" s="238"/>
      <c r="X81" s="238"/>
      <c r="Y81" s="238"/>
      <c r="Z81" s="238"/>
      <c r="AA81" s="238"/>
      <c r="AB81" s="238"/>
      <c r="AC81" s="238"/>
      <c r="AD81" s="532"/>
    </row>
    <row r="82" spans="2:30" ht="16.75" customHeight="1" x14ac:dyDescent="0.35">
      <c r="B82" s="234"/>
      <c r="C82" s="249"/>
      <c r="S82" s="238"/>
      <c r="T82" s="238"/>
      <c r="U82" s="238"/>
      <c r="V82" s="238"/>
      <c r="W82" s="238"/>
      <c r="X82" s="238"/>
      <c r="Y82" s="238"/>
      <c r="Z82" s="238"/>
      <c r="AA82" s="238"/>
      <c r="AB82" s="238"/>
      <c r="AC82" s="238"/>
      <c r="AD82" s="532"/>
    </row>
    <row r="83" spans="2:30" ht="16.75" customHeight="1" x14ac:dyDescent="0.35">
      <c r="B83" s="249"/>
      <c r="C83" s="249"/>
      <c r="S83" s="249"/>
      <c r="T83" s="249"/>
      <c r="U83" s="462"/>
      <c r="V83" s="462"/>
      <c r="W83" s="462"/>
      <c r="X83" s="462"/>
      <c r="Y83" s="462"/>
      <c r="Z83" s="462"/>
      <c r="AA83" s="462"/>
      <c r="AB83" s="462"/>
      <c r="AC83" s="462"/>
      <c r="AD83" s="532"/>
    </row>
    <row r="84" spans="2:30" ht="16.75" customHeight="1" x14ac:dyDescent="0.35">
      <c r="B84" s="234"/>
      <c r="C84" s="249"/>
      <c r="S84" s="249"/>
      <c r="T84" s="249"/>
      <c r="U84" s="462"/>
      <c r="V84" s="462"/>
      <c r="W84" s="462"/>
      <c r="X84" s="462"/>
      <c r="Y84" s="462"/>
      <c r="Z84" s="462"/>
      <c r="AA84" s="462"/>
      <c r="AB84" s="462"/>
      <c r="AC84" s="462"/>
      <c r="AD84" s="532"/>
    </row>
    <row r="85" spans="2:30" ht="16.75" customHeight="1" x14ac:dyDescent="0.35">
      <c r="B85" s="234"/>
      <c r="C85" s="249"/>
      <c r="S85" s="249"/>
      <c r="T85" s="249"/>
      <c r="U85" s="238"/>
      <c r="V85" s="238"/>
      <c r="W85" s="238"/>
      <c r="X85" s="238"/>
      <c r="Y85" s="238"/>
      <c r="Z85" s="238"/>
      <c r="AA85" s="238"/>
      <c r="AB85" s="238"/>
      <c r="AC85" s="238"/>
      <c r="AD85" s="532"/>
    </row>
    <row r="86" spans="2:30" ht="16.75" customHeight="1" x14ac:dyDescent="0.35">
      <c r="B86" s="234"/>
      <c r="C86" s="249"/>
      <c r="S86" s="249"/>
      <c r="T86" s="249"/>
      <c r="U86" s="693"/>
      <c r="V86" s="693"/>
      <c r="W86" s="693"/>
      <c r="X86" s="693"/>
      <c r="Y86" s="693"/>
      <c r="Z86" s="693"/>
      <c r="AA86" s="693"/>
      <c r="AB86" s="693"/>
      <c r="AC86" s="693"/>
      <c r="AD86" s="532"/>
    </row>
    <row r="87" spans="2:30" ht="16.75" customHeight="1" x14ac:dyDescent="0.35">
      <c r="B87" s="249"/>
      <c r="C87" s="249"/>
      <c r="S87" s="238"/>
      <c r="T87" s="238"/>
      <c r="U87" s="238"/>
      <c r="V87" s="238"/>
      <c r="W87" s="238"/>
      <c r="X87" s="238"/>
      <c r="Y87" s="238"/>
      <c r="Z87" s="238"/>
      <c r="AA87" s="238"/>
      <c r="AB87" s="238"/>
      <c r="AC87" s="238"/>
      <c r="AD87" s="532"/>
    </row>
    <row r="88" spans="2:30" ht="22.5" customHeight="1" x14ac:dyDescent="0.35">
      <c r="B88" s="284"/>
      <c r="C88" s="249"/>
      <c r="D88" s="238"/>
      <c r="E88" s="238"/>
      <c r="F88" s="238"/>
      <c r="G88" s="238"/>
      <c r="H88" s="238"/>
      <c r="I88" s="238"/>
      <c r="J88" s="238"/>
      <c r="K88" s="238"/>
      <c r="L88" s="238"/>
      <c r="M88" s="238"/>
      <c r="N88" s="238"/>
      <c r="O88" s="238"/>
      <c r="P88" s="238"/>
      <c r="Q88" s="238"/>
      <c r="R88" s="238"/>
      <c r="S88" s="238"/>
      <c r="T88" s="238"/>
      <c r="U88" s="238"/>
      <c r="V88" s="238"/>
      <c r="W88" s="238"/>
      <c r="X88" s="238"/>
      <c r="Y88" s="238"/>
      <c r="Z88" s="238"/>
      <c r="AA88" s="238"/>
      <c r="AB88" s="238"/>
      <c r="AC88" s="238"/>
    </row>
    <row r="89" spans="2:30" ht="22.5" customHeight="1" x14ac:dyDescent="0.35">
      <c r="B89" s="284"/>
      <c r="C89" s="249"/>
      <c r="D89" s="238"/>
      <c r="E89" s="238"/>
      <c r="F89" s="238"/>
      <c r="G89" s="238"/>
      <c r="H89" s="238"/>
      <c r="I89" s="238"/>
      <c r="J89" s="238"/>
      <c r="K89" s="238"/>
      <c r="L89" s="238"/>
      <c r="M89" s="238"/>
      <c r="N89" s="238"/>
      <c r="O89" s="238"/>
      <c r="P89" s="238"/>
      <c r="Q89" s="238"/>
      <c r="R89" s="238"/>
      <c r="S89" s="238"/>
      <c r="T89" s="238"/>
      <c r="U89" s="238"/>
      <c r="V89" s="238"/>
      <c r="W89" s="238"/>
      <c r="X89" s="238"/>
      <c r="Y89" s="238"/>
      <c r="Z89" s="238"/>
      <c r="AA89" s="238"/>
      <c r="AB89" s="238"/>
      <c r="AC89" s="238"/>
    </row>
    <row r="90" spans="2:30" ht="38.5" customHeight="1" x14ac:dyDescent="0.35">
      <c r="B90" s="669"/>
      <c r="C90" s="670">
        <v>2016</v>
      </c>
      <c r="D90" s="671">
        <f>C90+1</f>
        <v>2017</v>
      </c>
      <c r="E90" s="671">
        <f t="shared" ref="E90:R90" si="49">D90+1</f>
        <v>2018</v>
      </c>
      <c r="F90" s="671">
        <f t="shared" si="49"/>
        <v>2019</v>
      </c>
      <c r="G90" s="671">
        <f t="shared" si="49"/>
        <v>2020</v>
      </c>
      <c r="H90" s="671">
        <f t="shared" si="49"/>
        <v>2021</v>
      </c>
      <c r="I90" s="671">
        <f t="shared" si="49"/>
        <v>2022</v>
      </c>
      <c r="J90" s="671">
        <f t="shared" si="49"/>
        <v>2023</v>
      </c>
      <c r="K90" s="671">
        <f t="shared" si="49"/>
        <v>2024</v>
      </c>
      <c r="L90" s="671">
        <f t="shared" si="49"/>
        <v>2025</v>
      </c>
      <c r="M90" s="671">
        <f t="shared" si="49"/>
        <v>2026</v>
      </c>
      <c r="N90" s="671">
        <f t="shared" si="49"/>
        <v>2027</v>
      </c>
      <c r="O90" s="671">
        <f t="shared" si="49"/>
        <v>2028</v>
      </c>
      <c r="P90" s="671">
        <f t="shared" si="49"/>
        <v>2029</v>
      </c>
      <c r="Q90" s="671">
        <f t="shared" si="49"/>
        <v>2030</v>
      </c>
      <c r="R90" s="671">
        <f t="shared" si="49"/>
        <v>2031</v>
      </c>
      <c r="S90" s="238"/>
      <c r="T90" s="238"/>
      <c r="U90" s="238"/>
      <c r="V90" s="238"/>
      <c r="W90" s="238"/>
      <c r="X90" s="238"/>
      <c r="Y90" s="238"/>
      <c r="Z90" s="238"/>
      <c r="AA90" s="238"/>
      <c r="AB90" s="238"/>
      <c r="AC90" s="238"/>
    </row>
    <row r="91" spans="2:30" ht="38.5" customHeight="1" x14ac:dyDescent="0.35">
      <c r="B91" s="675" t="s">
        <v>1978</v>
      </c>
      <c r="C91">
        <v>910.3</v>
      </c>
      <c r="D91">
        <v>939.2</v>
      </c>
      <c r="E91">
        <v>982</v>
      </c>
      <c r="F91">
        <v>1038.5</v>
      </c>
      <c r="G91">
        <v>1089.9000000000001</v>
      </c>
      <c r="H91">
        <v>1128.8</v>
      </c>
      <c r="I91">
        <v>1212.5</v>
      </c>
      <c r="J91">
        <v>1348</v>
      </c>
      <c r="K91">
        <v>1454.424</v>
      </c>
      <c r="L91">
        <v>1572.1079999999999</v>
      </c>
      <c r="M91">
        <v>1664.223</v>
      </c>
      <c r="N91">
        <v>1760.8779999999999</v>
      </c>
      <c r="O91">
        <v>1865.222</v>
      </c>
      <c r="P91">
        <v>1967.5059999999999</v>
      </c>
      <c r="Q91">
        <v>2071.6129999999998</v>
      </c>
      <c r="R91">
        <v>2179.337</v>
      </c>
      <c r="S91" s="270">
        <v>2288.683</v>
      </c>
      <c r="T91" s="270">
        <v>2399.4650000000001</v>
      </c>
      <c r="U91" s="270">
        <v>2510.5969999999998</v>
      </c>
      <c r="V91" s="238">
        <v>2623.808</v>
      </c>
      <c r="W91" s="238"/>
      <c r="X91" s="238"/>
      <c r="Y91" s="238"/>
      <c r="Z91" s="238"/>
      <c r="AA91" s="238"/>
      <c r="AB91" s="238"/>
      <c r="AC91" s="238"/>
    </row>
    <row r="92" spans="2:30" ht="38.5" customHeight="1" x14ac:dyDescent="0.35">
      <c r="B92" s="409" t="s">
        <v>1979</v>
      </c>
      <c r="C92">
        <v>890.39374999999995</v>
      </c>
      <c r="D92">
        <v>918.71375</v>
      </c>
      <c r="E92">
        <v>960.61400000000003</v>
      </c>
      <c r="F92">
        <v>1016.043</v>
      </c>
      <c r="G92">
        <v>1066.5944999999999</v>
      </c>
      <c r="H92">
        <v>1105.0552499999999</v>
      </c>
      <c r="I92">
        <v>1186.6424999999999</v>
      </c>
      <c r="J92">
        <v>1319.8822500000001</v>
      </c>
      <c r="K92">
        <v>1423.3489999999999</v>
      </c>
      <c r="L92" s="270">
        <f>AVERAGE(AB70:AE70)</f>
        <v>1550.2107499999997</v>
      </c>
      <c r="M92" s="270">
        <f>AVERAGE(AF70:AI70)</f>
        <v>1675.0669402499998</v>
      </c>
      <c r="N92" s="270">
        <f>AVERAGE(AJ70:AM70)</f>
        <v>1773.1282298757501</v>
      </c>
      <c r="S92" s="238"/>
      <c r="T92" s="238"/>
      <c r="U92" s="238"/>
      <c r="V92" s="238"/>
      <c r="W92" s="238"/>
      <c r="X92" s="238"/>
      <c r="Y92" s="238"/>
      <c r="Z92" s="238"/>
      <c r="AA92" s="238"/>
      <c r="AB92" s="238"/>
      <c r="AC92" s="238"/>
    </row>
    <row r="93" spans="2:30" ht="69" customHeight="1" x14ac:dyDescent="0.35">
      <c r="B93" s="284" t="s">
        <v>1980</v>
      </c>
      <c r="C93" s="249">
        <f>C92/C91</f>
        <v>0.97813220916181476</v>
      </c>
      <c r="D93" s="249">
        <f t="shared" ref="D93:N93" si="50">D92/D91</f>
        <v>0.97818755323679718</v>
      </c>
      <c r="E93" s="249">
        <f t="shared" si="50"/>
        <v>0.97822199592668024</v>
      </c>
      <c r="F93" s="249">
        <f t="shared" si="50"/>
        <v>0.97837554164660567</v>
      </c>
      <c r="G93" s="249">
        <f t="shared" si="50"/>
        <v>0.97861684558216333</v>
      </c>
      <c r="H93" s="249">
        <f t="shared" si="50"/>
        <v>0.9789646084337349</v>
      </c>
      <c r="I93" s="249">
        <f t="shared" si="50"/>
        <v>0.97867422680412364</v>
      </c>
      <c r="J93" s="249">
        <f t="shared" si="50"/>
        <v>0.97914113501483691</v>
      </c>
      <c r="K93" s="249">
        <f t="shared" si="50"/>
        <v>0.97863415345181315</v>
      </c>
      <c r="L93" s="249">
        <f t="shared" si="50"/>
        <v>0.98607140858007192</v>
      </c>
      <c r="M93" s="249">
        <f t="shared" si="50"/>
        <v>1.0065159177886616</v>
      </c>
      <c r="N93" s="249">
        <f t="shared" si="50"/>
        <v>1.0069568873458299</v>
      </c>
      <c r="P93" s="238"/>
      <c r="Q93" s="238"/>
      <c r="R93" s="238"/>
      <c r="S93" s="238"/>
      <c r="T93" s="238"/>
      <c r="U93" s="238"/>
      <c r="V93" s="238"/>
      <c r="W93" s="238"/>
      <c r="X93" s="238"/>
      <c r="Y93" s="238"/>
      <c r="Z93" s="238"/>
      <c r="AA93" s="238"/>
      <c r="AB93" s="238"/>
      <c r="AC93" s="238"/>
    </row>
    <row r="94" spans="2:30" x14ac:dyDescent="0.35">
      <c r="I94" s="249"/>
      <c r="J94" s="249"/>
      <c r="K94" s="249"/>
      <c r="L94" s="249">
        <f>L91*$K$93</f>
        <v>1538.5185817148231</v>
      </c>
      <c r="M94" s="249">
        <f t="shared" ref="M94:N94" si="51">M91*$K$93</f>
        <v>1628.6654667600367</v>
      </c>
      <c r="N94" s="249">
        <f t="shared" si="51"/>
        <v>1723.2553508619217</v>
      </c>
      <c r="P94" s="249"/>
    </row>
    <row r="95" spans="2:30" x14ac:dyDescent="0.35">
      <c r="L95" s="74">
        <f>L94-L92</f>
        <v>-11.692168285176649</v>
      </c>
      <c r="M95" s="74">
        <f t="shared" ref="M95:N95" si="52">M94-M92</f>
        <v>-46.401473489963109</v>
      </c>
      <c r="N95" s="74">
        <f t="shared" si="52"/>
        <v>-49.872879013828424</v>
      </c>
      <c r="R95" s="532"/>
    </row>
    <row r="97" spans="3:14" x14ac:dyDescent="0.35">
      <c r="C97" t="e">
        <f t="shared" ref="C97:M97" si="53">C91/B91-1</f>
        <v>#VALUE!</v>
      </c>
      <c r="D97">
        <f t="shared" si="53"/>
        <v>3.1747775458640159E-2</v>
      </c>
      <c r="E97">
        <f t="shared" si="53"/>
        <v>4.557069846678008E-2</v>
      </c>
      <c r="F97">
        <f t="shared" si="53"/>
        <v>5.7535641547861616E-2</v>
      </c>
      <c r="G97">
        <f t="shared" si="53"/>
        <v>4.9494463168030967E-2</v>
      </c>
      <c r="H97">
        <f t="shared" si="53"/>
        <v>3.5691347830075992E-2</v>
      </c>
      <c r="I97">
        <f t="shared" si="53"/>
        <v>7.4149539333805858E-2</v>
      </c>
      <c r="J97">
        <f t="shared" si="53"/>
        <v>0.11175257731958754</v>
      </c>
      <c r="K97">
        <f t="shared" si="53"/>
        <v>7.8949554896142526E-2</v>
      </c>
      <c r="L97">
        <f t="shared" si="53"/>
        <v>8.0914506361281058E-2</v>
      </c>
      <c r="M97">
        <f t="shared" si="53"/>
        <v>5.8593302750192811E-2</v>
      </c>
      <c r="N97">
        <f>N91/M91-1</f>
        <v>5.8078154189672881E-2</v>
      </c>
    </row>
    <row r="98" spans="3:14" ht="13.4" customHeight="1" x14ac:dyDescent="0.35"/>
    <row r="102" spans="3:14" ht="27.65" customHeight="1" x14ac:dyDescent="0.35"/>
  </sheetData>
  <mergeCells count="35">
    <mergeCell ref="B58:C60"/>
    <mergeCell ref="D58:AB58"/>
    <mergeCell ref="AC58:AN58"/>
    <mergeCell ref="E59:H59"/>
    <mergeCell ref="I59:L59"/>
    <mergeCell ref="M59:P59"/>
    <mergeCell ref="Q59:T59"/>
    <mergeCell ref="AC59:AF59"/>
    <mergeCell ref="AG59:AJ59"/>
    <mergeCell ref="AK59:AN59"/>
    <mergeCell ref="AC47:AN47"/>
    <mergeCell ref="E48:H48"/>
    <mergeCell ref="I48:L48"/>
    <mergeCell ref="B11:C11"/>
    <mergeCell ref="B35:C35"/>
    <mergeCell ref="B46:AC46"/>
    <mergeCell ref="M48:P48"/>
    <mergeCell ref="Q48:T48"/>
    <mergeCell ref="AC48:AF48"/>
    <mergeCell ref="AG48:AJ48"/>
    <mergeCell ref="AK48:AN48"/>
    <mergeCell ref="B47:C49"/>
    <mergeCell ref="D47:AB47"/>
    <mergeCell ref="B1:AC1"/>
    <mergeCell ref="B2:AC6"/>
    <mergeCell ref="D8:AB8"/>
    <mergeCell ref="AC8:AN8"/>
    <mergeCell ref="E9:H9"/>
    <mergeCell ref="I9:L9"/>
    <mergeCell ref="M9:P9"/>
    <mergeCell ref="Q9:T9"/>
    <mergeCell ref="U9:X9"/>
    <mergeCell ref="AC9:AF9"/>
    <mergeCell ref="AG9:AJ9"/>
    <mergeCell ref="AK9:AN9"/>
  </mergeCells>
  <pageMargins left="0.7" right="0.7" top="0.75" bottom="0.75" header="0.3" footer="0.3"/>
  <pageSetup paperSize="9" orientation="portrait" horizontalDpi="300" verticalDpi="300"/>
  <drawing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CX104"/>
  <sheetViews>
    <sheetView zoomScale="85" zoomScaleNormal="85" workbookViewId="0">
      <pane xSplit="3" ySplit="10" topLeftCell="Z33" activePane="bottomRight" state="frozen"/>
      <selection pane="topRight" activeCell="D1" sqref="D1"/>
      <selection pane="bottomLeft" activeCell="A11" sqref="A11"/>
      <selection pane="bottomRight" activeCell="B53" sqref="B53"/>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09" t="s">
        <v>463</v>
      </c>
      <c r="C1" s="1409"/>
      <c r="D1" s="1409"/>
      <c r="E1" s="1409"/>
      <c r="F1" s="1409"/>
      <c r="G1" s="1409"/>
      <c r="H1" s="1409"/>
      <c r="I1" s="1409"/>
      <c r="J1" s="1409"/>
      <c r="K1" s="1409"/>
      <c r="L1" s="1409"/>
      <c r="M1" s="1409"/>
      <c r="N1" s="1409"/>
      <c r="O1" s="1409"/>
      <c r="P1" s="1409"/>
      <c r="Q1" s="1409"/>
      <c r="R1" s="1409"/>
      <c r="S1" s="1409"/>
      <c r="T1" s="1409"/>
      <c r="U1" s="1409"/>
      <c r="V1" s="1409"/>
      <c r="W1" s="1409"/>
      <c r="X1" s="1409"/>
      <c r="Y1" s="1409"/>
      <c r="Z1" s="1409"/>
      <c r="AA1" s="1409"/>
      <c r="AB1" s="1409"/>
      <c r="AC1" s="1409"/>
    </row>
    <row r="2" spans="2:40" ht="34.5" hidden="1" customHeight="1" outlineLevel="1" x14ac:dyDescent="0.35">
      <c r="B2" s="1319" t="s">
        <v>858</v>
      </c>
      <c r="C2" s="1360"/>
      <c r="D2" s="1360"/>
      <c r="E2" s="1360"/>
      <c r="F2" s="1360"/>
      <c r="G2" s="1360"/>
      <c r="H2" s="1360"/>
      <c r="I2" s="1360"/>
      <c r="J2" s="1360"/>
      <c r="K2" s="1360"/>
      <c r="L2" s="1360"/>
      <c r="M2" s="1360"/>
      <c r="N2" s="1360"/>
      <c r="O2" s="1360"/>
      <c r="P2" s="1360"/>
      <c r="Q2" s="1360"/>
      <c r="R2" s="1360"/>
      <c r="S2" s="1360"/>
      <c r="T2" s="1360"/>
      <c r="U2" s="1360"/>
      <c r="V2" s="1360"/>
      <c r="W2" s="1360"/>
      <c r="X2" s="1360"/>
      <c r="Y2" s="1360"/>
      <c r="Z2" s="1360"/>
      <c r="AA2" s="1360"/>
      <c r="AB2" s="1360"/>
      <c r="AC2" s="1360"/>
    </row>
    <row r="3" spans="2:40" ht="3" hidden="1" customHeight="1" outlineLevel="1" x14ac:dyDescent="0.35">
      <c r="B3" s="1360"/>
      <c r="C3" s="1360"/>
      <c r="D3" s="1360"/>
      <c r="E3" s="1360"/>
      <c r="F3" s="1360"/>
      <c r="G3" s="1360"/>
      <c r="H3" s="1360"/>
      <c r="I3" s="1360"/>
      <c r="J3" s="1360"/>
      <c r="K3" s="1360"/>
      <c r="L3" s="1360"/>
      <c r="M3" s="1360"/>
      <c r="N3" s="1360"/>
      <c r="O3" s="1360"/>
      <c r="P3" s="1360"/>
      <c r="Q3" s="1360"/>
      <c r="R3" s="1360"/>
      <c r="S3" s="1360"/>
      <c r="T3" s="1360"/>
      <c r="U3" s="1360"/>
      <c r="V3" s="1360"/>
      <c r="W3" s="1360"/>
      <c r="X3" s="1360"/>
      <c r="Y3" s="1360"/>
      <c r="Z3" s="1360"/>
      <c r="AA3" s="1360"/>
      <c r="AB3" s="1360"/>
      <c r="AC3" s="1360"/>
    </row>
    <row r="4" spans="2:40" ht="10.4" hidden="1" customHeight="1" outlineLevel="1" x14ac:dyDescent="0.35">
      <c r="B4" s="1360"/>
      <c r="C4" s="1360"/>
      <c r="D4" s="1360"/>
      <c r="E4" s="1360"/>
      <c r="F4" s="1360"/>
      <c r="G4" s="1360"/>
      <c r="H4" s="1360"/>
      <c r="I4" s="1360"/>
      <c r="J4" s="1360"/>
      <c r="K4" s="1360"/>
      <c r="L4" s="1360"/>
      <c r="M4" s="1360"/>
      <c r="N4" s="1360"/>
      <c r="O4" s="1360"/>
      <c r="P4" s="1360"/>
      <c r="Q4" s="1360"/>
      <c r="R4" s="1360"/>
      <c r="S4" s="1360"/>
      <c r="T4" s="1360"/>
      <c r="U4" s="1360"/>
      <c r="V4" s="1360"/>
      <c r="W4" s="1360"/>
      <c r="X4" s="1360"/>
      <c r="Y4" s="1360"/>
      <c r="Z4" s="1360"/>
      <c r="AA4" s="1360"/>
      <c r="AB4" s="1360"/>
      <c r="AC4" s="1360"/>
    </row>
    <row r="5" spans="2:40" ht="14.25" hidden="1" customHeight="1" outlineLevel="1" x14ac:dyDescent="0.35">
      <c r="B5" s="1360"/>
      <c r="C5" s="1360"/>
      <c r="D5" s="1360"/>
      <c r="E5" s="1360"/>
      <c r="F5" s="1360"/>
      <c r="G5" s="1360"/>
      <c r="H5" s="1360"/>
      <c r="I5" s="1360"/>
      <c r="J5" s="1360"/>
      <c r="K5" s="1360"/>
      <c r="L5" s="1360"/>
      <c r="M5" s="1360"/>
      <c r="N5" s="1360"/>
      <c r="O5" s="1360"/>
      <c r="P5" s="1360"/>
      <c r="Q5" s="1360"/>
      <c r="R5" s="1360"/>
      <c r="S5" s="1360"/>
      <c r="T5" s="1360"/>
      <c r="U5" s="1360"/>
      <c r="V5" s="1360"/>
      <c r="W5" s="1360"/>
      <c r="X5" s="1360"/>
      <c r="Y5" s="1360"/>
      <c r="Z5" s="1360"/>
      <c r="AA5" s="1360"/>
      <c r="AB5" s="1360"/>
      <c r="AC5" s="1360"/>
    </row>
    <row r="6" spans="2:40" ht="14.25" hidden="1" customHeight="1" outlineLevel="1" x14ac:dyDescent="0.35">
      <c r="B6" s="1360"/>
      <c r="C6" s="1360"/>
      <c r="D6" s="1360"/>
      <c r="E6" s="1360"/>
      <c r="F6" s="1360"/>
      <c r="G6" s="1360"/>
      <c r="H6" s="1360"/>
      <c r="I6" s="1360"/>
      <c r="J6" s="1360"/>
      <c r="K6" s="1360"/>
      <c r="L6" s="1360"/>
      <c r="M6" s="1360"/>
      <c r="N6" s="1360"/>
      <c r="O6" s="1360"/>
      <c r="P6" s="1360"/>
      <c r="Q6" s="1360"/>
      <c r="R6" s="1360"/>
      <c r="S6" s="1360"/>
      <c r="T6" s="1360"/>
      <c r="U6" s="1360"/>
      <c r="V6" s="1360"/>
      <c r="W6" s="1360"/>
      <c r="X6" s="1360"/>
      <c r="Y6" s="1360"/>
      <c r="Z6" s="1360"/>
      <c r="AA6" s="1360"/>
      <c r="AB6" s="1360"/>
      <c r="AC6" s="1360"/>
    </row>
    <row r="7" spans="2:40" collapsed="1" x14ac:dyDescent="0.35">
      <c r="B7" s="723" t="s">
        <v>332</v>
      </c>
      <c r="C7" s="269"/>
      <c r="D7" s="269"/>
      <c r="E7" s="269"/>
      <c r="F7" s="269"/>
      <c r="G7" s="269"/>
      <c r="H7" s="270"/>
      <c r="I7" s="270"/>
      <c r="J7" s="270"/>
      <c r="K7" s="270"/>
      <c r="L7" s="270"/>
      <c r="M7" s="270"/>
      <c r="N7" s="270"/>
      <c r="O7" s="270"/>
      <c r="P7" s="270"/>
      <c r="Q7" s="270"/>
      <c r="R7" s="270"/>
      <c r="S7" s="270"/>
      <c r="T7" s="270"/>
      <c r="U7" s="270"/>
    </row>
    <row r="8" spans="2:40" ht="14.9" customHeight="1" x14ac:dyDescent="0.35">
      <c r="B8" s="695" t="s">
        <v>303</v>
      </c>
      <c r="C8" s="696"/>
      <c r="D8" s="1347" t="s">
        <v>279</v>
      </c>
      <c r="E8" s="1348"/>
      <c r="F8" s="1348"/>
      <c r="G8" s="1348"/>
      <c r="H8" s="1348"/>
      <c r="I8" s="1348"/>
      <c r="J8" s="1348"/>
      <c r="K8" s="1348"/>
      <c r="L8" s="1348"/>
      <c r="M8" s="1348"/>
      <c r="N8" s="1348"/>
      <c r="O8" s="1348"/>
      <c r="P8" s="1348"/>
      <c r="Q8" s="1348"/>
      <c r="R8" s="1348"/>
      <c r="S8" s="1348"/>
      <c r="T8" s="1348"/>
      <c r="U8" s="1348"/>
      <c r="V8" s="1348"/>
      <c r="W8" s="1348"/>
      <c r="X8" s="1348"/>
      <c r="Y8" s="1348"/>
      <c r="Z8" s="1348"/>
      <c r="AA8" s="1348"/>
      <c r="AB8" s="1349"/>
      <c r="AC8" s="1350" t="s">
        <v>280</v>
      </c>
      <c r="AD8" s="1331"/>
      <c r="AE8" s="1331"/>
      <c r="AF8" s="1331"/>
      <c r="AG8" s="1331"/>
      <c r="AH8" s="1331"/>
      <c r="AI8" s="1331"/>
      <c r="AJ8" s="1331"/>
      <c r="AK8" s="1331"/>
      <c r="AL8" s="1331"/>
      <c r="AM8" s="1331"/>
      <c r="AN8" s="1332"/>
    </row>
    <row r="9" spans="2:40" ht="14.9" customHeight="1" x14ac:dyDescent="0.35">
      <c r="B9" s="697"/>
      <c r="C9" s="698"/>
      <c r="D9" s="296">
        <v>2018</v>
      </c>
      <c r="E9" s="1342">
        <v>2019</v>
      </c>
      <c r="F9" s="1343"/>
      <c r="G9" s="1343"/>
      <c r="H9" s="1344"/>
      <c r="I9" s="1342">
        <v>2020</v>
      </c>
      <c r="J9" s="1343"/>
      <c r="K9" s="1343"/>
      <c r="L9" s="1343"/>
      <c r="M9" s="1342">
        <v>2021</v>
      </c>
      <c r="N9" s="1343"/>
      <c r="O9" s="1343"/>
      <c r="P9" s="1343"/>
      <c r="Q9" s="1342">
        <v>2022</v>
      </c>
      <c r="R9" s="1354"/>
      <c r="S9" s="1354"/>
      <c r="T9" s="1344"/>
      <c r="U9" s="1342">
        <v>2023</v>
      </c>
      <c r="V9" s="1354"/>
      <c r="W9" s="1354"/>
      <c r="X9" s="1344"/>
      <c r="Y9" s="71"/>
      <c r="Z9" s="302">
        <v>2024</v>
      </c>
      <c r="AA9" s="442"/>
      <c r="AB9" s="309"/>
      <c r="AC9" s="1329">
        <v>2025</v>
      </c>
      <c r="AD9" s="1335"/>
      <c r="AE9" s="1335"/>
      <c r="AF9" s="1330"/>
      <c r="AG9" s="1329">
        <v>2026</v>
      </c>
      <c r="AH9" s="1335"/>
      <c r="AI9" s="1335"/>
      <c r="AJ9" s="1334"/>
      <c r="AK9" s="1329">
        <v>2027</v>
      </c>
      <c r="AL9" s="1335"/>
      <c r="AM9" s="1335"/>
      <c r="AN9" s="1334"/>
    </row>
    <row r="10" spans="2:40" x14ac:dyDescent="0.35">
      <c r="B10" s="697"/>
      <c r="C10" s="698"/>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32" t="s">
        <v>281</v>
      </c>
      <c r="U10" s="226" t="s">
        <v>282</v>
      </c>
      <c r="V10" s="287" t="s">
        <v>283</v>
      </c>
      <c r="W10" s="287" t="s">
        <v>238</v>
      </c>
      <c r="X10" s="285" t="s">
        <v>281</v>
      </c>
      <c r="Y10" s="286" t="s">
        <v>282</v>
      </c>
      <c r="Z10" s="292" t="s">
        <v>283</v>
      </c>
      <c r="AA10" s="287" t="s">
        <v>238</v>
      </c>
      <c r="AB10" s="287" t="s">
        <v>281</v>
      </c>
      <c r="AC10" s="225" t="s">
        <v>282</v>
      </c>
      <c r="AD10" s="292" t="s">
        <v>283</v>
      </c>
      <c r="AE10" s="273" t="s">
        <v>238</v>
      </c>
      <c r="AF10" s="273" t="s">
        <v>281</v>
      </c>
      <c r="AG10" s="299" t="s">
        <v>282</v>
      </c>
      <c r="AH10" s="271" t="s">
        <v>283</v>
      </c>
      <c r="AI10" s="273" t="s">
        <v>238</v>
      </c>
      <c r="AJ10" s="301" t="s">
        <v>281</v>
      </c>
      <c r="AK10" s="299" t="s">
        <v>282</v>
      </c>
      <c r="AL10" s="271" t="s">
        <v>283</v>
      </c>
      <c r="AM10" s="273" t="s">
        <v>238</v>
      </c>
      <c r="AN10" s="301" t="s">
        <v>281</v>
      </c>
    </row>
    <row r="11" spans="2:40" x14ac:dyDescent="0.35">
      <c r="B11" s="1410" t="s">
        <v>464</v>
      </c>
      <c r="C11" s="1411"/>
      <c r="D11" s="666"/>
      <c r="E11" s="720"/>
      <c r="F11" s="720"/>
      <c r="G11" s="720"/>
      <c r="H11" s="320"/>
      <c r="I11" s="320"/>
      <c r="J11" s="320"/>
      <c r="K11" s="320"/>
      <c r="L11" s="320"/>
      <c r="M11" s="582"/>
      <c r="N11" s="582"/>
      <c r="O11" s="582"/>
      <c r="P11" s="320"/>
      <c r="Q11" s="320"/>
      <c r="R11" s="320"/>
      <c r="S11" s="320"/>
      <c r="T11" s="288"/>
      <c r="U11" s="320"/>
      <c r="V11" s="320"/>
      <c r="W11" s="227"/>
      <c r="X11" s="227"/>
      <c r="Y11" s="227"/>
      <c r="Z11" s="227"/>
      <c r="AA11" s="227"/>
      <c r="AB11" s="227"/>
      <c r="AC11" s="227"/>
      <c r="AD11" s="227"/>
      <c r="AE11" s="227"/>
      <c r="AF11" s="227"/>
      <c r="AG11" s="227"/>
      <c r="AH11" s="227"/>
      <c r="AI11" s="227"/>
      <c r="AJ11" s="227"/>
      <c r="AK11" s="227"/>
      <c r="AL11" s="227"/>
      <c r="AM11" s="227"/>
      <c r="AN11" s="227"/>
    </row>
    <row r="12" spans="2:40" ht="17.149999999999999" customHeight="1" x14ac:dyDescent="0.35">
      <c r="B12" s="685" t="s">
        <v>465</v>
      </c>
      <c r="C12" s="249" t="s">
        <v>466</v>
      </c>
      <c r="D12" s="599">
        <f>'Haver Pivoted'!GO31</f>
        <v>2223</v>
      </c>
      <c r="E12" s="509">
        <f>'Haver Pivoted'!GP31</f>
        <v>2303.8000000000002</v>
      </c>
      <c r="F12" s="509">
        <f>'Haver Pivoted'!GQ31</f>
        <v>2321.6999999999998</v>
      </c>
      <c r="G12" s="509">
        <f>'Haver Pivoted'!GR31</f>
        <v>2337.1</v>
      </c>
      <c r="H12" s="509">
        <f>'Haver Pivoted'!GS31</f>
        <v>2349.5</v>
      </c>
      <c r="I12" s="509">
        <f>'Haver Pivoted'!GT31</f>
        <v>2414.4</v>
      </c>
      <c r="J12" s="509">
        <f>'Haver Pivoted'!GU31</f>
        <v>4654.1000000000004</v>
      </c>
      <c r="K12" s="509">
        <f>'Haver Pivoted'!GV31</f>
        <v>3504.7</v>
      </c>
      <c r="L12" s="509">
        <f>'Haver Pivoted'!GW31</f>
        <v>2888.4</v>
      </c>
      <c r="M12" s="509">
        <f>'Haver Pivoted'!GX31</f>
        <v>5138.1000000000004</v>
      </c>
      <c r="N12" s="509">
        <f>'Haver Pivoted'!GY31</f>
        <v>3397.8</v>
      </c>
      <c r="O12" s="509">
        <f>'Haver Pivoted'!GZ31</f>
        <v>3124.9</v>
      </c>
      <c r="P12" s="509">
        <f>'Haver Pivoted'!HA31</f>
        <v>2952.6</v>
      </c>
      <c r="Q12" s="509">
        <f>'Haver Pivoted'!HB31</f>
        <v>2970.9</v>
      </c>
      <c r="R12" s="509">
        <f>'Haver Pivoted'!HC31</f>
        <v>2976.2</v>
      </c>
      <c r="S12" s="575">
        <f>'Haver Pivoted'!HD31</f>
        <v>2970.4</v>
      </c>
      <c r="T12" s="575">
        <f>'Haver Pivoted'!HE31</f>
        <v>3024.4</v>
      </c>
      <c r="U12" s="575">
        <f>'Haver Pivoted'!HF31</f>
        <v>3038.4</v>
      </c>
      <c r="V12" s="575">
        <f>'Haver Pivoted'!HG31</f>
        <v>3049.1</v>
      </c>
      <c r="W12" s="575">
        <f>'Haver Pivoted'!HH31</f>
        <v>3078</v>
      </c>
      <c r="X12" s="575">
        <f>'Haver Pivoted'!HI31</f>
        <v>3095.6</v>
      </c>
      <c r="Y12" s="575">
        <f>'Haver Pivoted'!HJ31</f>
        <v>3201.1</v>
      </c>
      <c r="Z12" s="575">
        <f>'Haver Pivoted'!HK31</f>
        <v>3243.1</v>
      </c>
      <c r="AA12" s="575">
        <f>'Haver Pivoted'!HL31</f>
        <v>3283.8</v>
      </c>
      <c r="AB12" s="575">
        <f>'Haver Pivoted'!HM31</f>
        <v>3328.6</v>
      </c>
      <c r="AC12" s="575">
        <f>'Haver Pivoted'!HN31</f>
        <v>3452.4</v>
      </c>
      <c r="AD12" s="575">
        <f>'Haver Pivoted'!HO31</f>
        <v>3574.9</v>
      </c>
      <c r="AE12" s="673">
        <f t="shared" ref="AE12:AN12" si="0">SUM(AE14:AE32)-AE30</f>
        <v>3595.6541359637895</v>
      </c>
      <c r="AF12" s="673">
        <f t="shared" si="0"/>
        <v>3594.2285436191264</v>
      </c>
      <c r="AG12" s="673">
        <f t="shared" si="0"/>
        <v>3655.6996071483245</v>
      </c>
      <c r="AH12" s="673">
        <f t="shared" si="0"/>
        <v>3680.1272350110885</v>
      </c>
      <c r="AI12" s="673">
        <f t="shared" si="0"/>
        <v>3706.5590512833169</v>
      </c>
      <c r="AJ12" s="673">
        <f t="shared" si="0"/>
        <v>3725.2801886120578</v>
      </c>
      <c r="AK12" s="673">
        <f t="shared" si="0"/>
        <v>3794.5134037450298</v>
      </c>
      <c r="AL12" s="673">
        <f t="shared" si="0"/>
        <v>3822.97280250722</v>
      </c>
      <c r="AM12" s="673">
        <f t="shared" si="0"/>
        <v>3851.7304513207655</v>
      </c>
      <c r="AN12" s="673">
        <f t="shared" si="0"/>
        <v>3838.7854513207649</v>
      </c>
    </row>
    <row r="13" spans="2:40" x14ac:dyDescent="0.35">
      <c r="B13" s="291"/>
      <c r="C13" s="249"/>
      <c r="D13" s="599"/>
      <c r="E13" s="509"/>
      <c r="F13" s="509"/>
      <c r="G13" s="509"/>
      <c r="H13" s="509"/>
      <c r="I13" s="509"/>
      <c r="J13" s="509"/>
      <c r="K13" s="509"/>
      <c r="L13" s="509"/>
      <c r="M13" s="509"/>
      <c r="N13" s="509"/>
      <c r="O13" s="509"/>
      <c r="P13" s="249"/>
      <c r="Q13" s="233"/>
      <c r="R13" s="233"/>
      <c r="S13" s="233"/>
      <c r="T13" s="673">
        <f t="shared" ref="T13:AC13" si="1">T12-S12</f>
        <v>54</v>
      </c>
      <c r="U13" s="673">
        <f t="shared" si="1"/>
        <v>14</v>
      </c>
      <c r="V13" s="673">
        <f t="shared" si="1"/>
        <v>10.699999999999818</v>
      </c>
      <c r="W13" s="673">
        <f t="shared" si="1"/>
        <v>28.900000000000091</v>
      </c>
      <c r="X13" s="673">
        <f t="shared" si="1"/>
        <v>17.599999999999909</v>
      </c>
      <c r="Y13" s="673">
        <f t="shared" si="1"/>
        <v>105.5</v>
      </c>
      <c r="Z13" s="673">
        <f t="shared" si="1"/>
        <v>42</v>
      </c>
      <c r="AA13" s="673">
        <f t="shared" si="1"/>
        <v>40.700000000000273</v>
      </c>
      <c r="AB13" s="673">
        <f t="shared" si="1"/>
        <v>44.799999999999727</v>
      </c>
      <c r="AC13" s="673">
        <f t="shared" si="1"/>
        <v>123.80000000000018</v>
      </c>
      <c r="AD13" s="673">
        <f>AD12-AC12</f>
        <v>122.5</v>
      </c>
      <c r="AE13" s="329"/>
      <c r="AF13" s="329"/>
      <c r="AG13" s="329"/>
      <c r="AH13" s="329"/>
      <c r="AI13" s="329"/>
      <c r="AJ13" s="329"/>
      <c r="AK13" s="329"/>
      <c r="AL13" s="329"/>
      <c r="AM13" s="329"/>
      <c r="AN13" s="329"/>
    </row>
    <row r="14" spans="2:40" x14ac:dyDescent="0.35">
      <c r="B14" s="681" t="s">
        <v>1834</v>
      </c>
      <c r="C14" s="249"/>
      <c r="D14" s="599">
        <f>'Unemployment Insurance'!D21+'Unemployment Insurance'!D20</f>
        <v>27.1</v>
      </c>
      <c r="E14" s="509">
        <f>'Unemployment Insurance'!E21+'Unemployment Insurance'!E20</f>
        <v>29.6</v>
      </c>
      <c r="F14" s="509">
        <f>'Unemployment Insurance'!F21+'Unemployment Insurance'!F20</f>
        <v>27.3</v>
      </c>
      <c r="G14" s="509">
        <f>'Unemployment Insurance'!G21+'Unemployment Insurance'!G20</f>
        <v>26.4</v>
      </c>
      <c r="H14" s="509">
        <f>'Unemployment Insurance'!H21+'Unemployment Insurance'!H20</f>
        <v>26.7</v>
      </c>
      <c r="I14" s="509">
        <f>'Unemployment Insurance'!I21+'Unemployment Insurance'!I20</f>
        <v>40.1</v>
      </c>
      <c r="J14" s="509">
        <f>'Unemployment Insurance'!J21+'Unemployment Insurance'!J20</f>
        <v>951.5</v>
      </c>
      <c r="K14" s="509">
        <f>'Unemployment Insurance'!K21+'Unemployment Insurance'!K20</f>
        <v>800</v>
      </c>
      <c r="L14" s="509">
        <f>'Unemployment Insurance'!L21+'Unemployment Insurance'!L20</f>
        <v>322.7</v>
      </c>
      <c r="M14" s="509">
        <f>'Unemployment Insurance'!M21+'Unemployment Insurance'!M20</f>
        <v>583.79999999999995</v>
      </c>
      <c r="N14" s="509">
        <f>'Unemployment Insurance'!N21+'Unemployment Insurance'!N20</f>
        <v>440.8</v>
      </c>
      <c r="O14" s="509">
        <f>'Unemployment Insurance'!O21+'Unemployment Insurance'!O20</f>
        <v>212.8</v>
      </c>
      <c r="P14" s="509">
        <f>'Unemployment Insurance'!P21+'Unemployment Insurance'!P20</f>
        <v>31.8</v>
      </c>
      <c r="Q14" s="509">
        <f>'Unemployment Insurance'!Q21+'Unemployment Insurance'!Q20</f>
        <v>24.5</v>
      </c>
      <c r="R14" s="509">
        <f>'Unemployment Insurance'!R21+'Unemployment Insurance'!R20</f>
        <v>21.7</v>
      </c>
      <c r="S14" s="509">
        <f>'Unemployment Insurance'!S21+'Unemployment Insurance'!S20</f>
        <v>23.1</v>
      </c>
      <c r="T14" s="509">
        <f>'Unemployment Insurance'!T21+'Unemployment Insurance'!T20</f>
        <v>25.9</v>
      </c>
      <c r="U14" s="509">
        <f>'Unemployment Insurance'!U21+'Unemployment Insurance'!U20</f>
        <v>30.1</v>
      </c>
      <c r="V14" s="575">
        <f t="shared" ref="V14:AA14" si="2">V15+V16</f>
        <v>30.960000000000004</v>
      </c>
      <c r="W14" s="575">
        <f t="shared" si="2"/>
        <v>30.960000000000004</v>
      </c>
      <c r="X14" s="575">
        <f t="shared" si="2"/>
        <v>35.299999999999997</v>
      </c>
      <c r="Y14" s="575">
        <f t="shared" si="2"/>
        <v>34.9</v>
      </c>
      <c r="Z14" s="575">
        <f t="shared" si="2"/>
        <v>34.9</v>
      </c>
      <c r="AA14" s="575">
        <f t="shared" si="2"/>
        <v>35.700000000000003</v>
      </c>
      <c r="AB14" s="575">
        <f t="shared" ref="AB14:AC14" si="3">AB15+AB16</f>
        <v>36.1</v>
      </c>
      <c r="AC14" s="575">
        <f t="shared" si="3"/>
        <v>35.799999999999997</v>
      </c>
      <c r="AD14" s="575">
        <f>AD15+AD16</f>
        <v>36.700000000000003</v>
      </c>
      <c r="AE14" s="673">
        <f>'Unemployment Insurance'!AE21+'Unemployment Insurance'!AE20</f>
        <v>35.700000000000003</v>
      </c>
      <c r="AF14" s="673">
        <f>'Unemployment Insurance'!AF21+'Unemployment Insurance'!AF20</f>
        <v>35.700000000000003</v>
      </c>
      <c r="AG14" s="673">
        <f>'Unemployment Insurance'!AG21+'Unemployment Insurance'!AG20</f>
        <v>35.700000000000003</v>
      </c>
      <c r="AH14" s="673">
        <f>'Unemployment Insurance'!AH21+'Unemployment Insurance'!AH20</f>
        <v>35.700000000000003</v>
      </c>
      <c r="AI14" s="673">
        <f>'Unemployment Insurance'!AI21+'Unemployment Insurance'!AI20</f>
        <v>35.700000000000003</v>
      </c>
      <c r="AJ14" s="673">
        <f>'Unemployment Insurance'!AJ21+'Unemployment Insurance'!AJ20</f>
        <v>35.700000000000003</v>
      </c>
      <c r="AK14" s="673">
        <f>'Unemployment Insurance'!AK21+'Unemployment Insurance'!AK20</f>
        <v>36.700000000000003</v>
      </c>
      <c r="AL14" s="673">
        <f>'Unemployment Insurance'!AL21+'Unemployment Insurance'!AL20</f>
        <v>37.700000000000003</v>
      </c>
      <c r="AM14" s="673">
        <f>'Unemployment Insurance'!AM21+'Unemployment Insurance'!AM20</f>
        <v>38.700000000000003</v>
      </c>
      <c r="AN14" s="673">
        <f>'Unemployment Insurance'!AN21+'Unemployment Insurance'!AN20</f>
        <v>39.700000000000003</v>
      </c>
    </row>
    <row r="15" spans="2:40" x14ac:dyDescent="0.35">
      <c r="B15" s="424" t="s">
        <v>203</v>
      </c>
      <c r="C15" s="249"/>
      <c r="D15" s="599"/>
      <c r="E15" s="509"/>
      <c r="F15" s="509"/>
      <c r="G15" s="509"/>
      <c r="H15" s="509"/>
      <c r="I15" s="509"/>
      <c r="J15" s="509"/>
      <c r="K15" s="509"/>
      <c r="L15" s="509"/>
      <c r="M15" s="509"/>
      <c r="N15" s="509"/>
      <c r="O15" s="509"/>
      <c r="P15" s="509"/>
      <c r="Q15" s="509"/>
      <c r="R15" s="509"/>
      <c r="S15" s="509"/>
      <c r="T15" s="509"/>
      <c r="U15" s="509"/>
      <c r="V15" s="575">
        <f>'Unemployment Insurance'!V20</f>
        <v>0</v>
      </c>
      <c r="W15" s="575">
        <f>'Unemployment Insurance'!W20</f>
        <v>0</v>
      </c>
      <c r="X15" s="575">
        <f>'Unemployment Insurance'!X20</f>
        <v>4.632399999999997</v>
      </c>
      <c r="Y15" s="575">
        <f>'Unemployment Insurance'!Y20</f>
        <v>3.0799999999999947</v>
      </c>
      <c r="Z15" s="575">
        <f>'Unemployment Insurance'!Z20</f>
        <v>0</v>
      </c>
      <c r="AA15" s="575">
        <f>'Unemployment Insurance'!AA20</f>
        <v>0</v>
      </c>
      <c r="AB15" s="575">
        <f>'Unemployment Insurance'!AB20</f>
        <v>0.39999999999999858</v>
      </c>
      <c r="AC15" s="575">
        <f>'Unemployment Insurance'!AC20</f>
        <v>9.9999999999994316E-2</v>
      </c>
      <c r="AD15" s="575">
        <f>'Unemployment Insurance'!AD20</f>
        <v>1</v>
      </c>
      <c r="AE15" s="673"/>
      <c r="AF15" s="673"/>
      <c r="AG15" s="673"/>
      <c r="AH15" s="673"/>
      <c r="AI15" s="673"/>
      <c r="AJ15" s="673"/>
      <c r="AK15" s="673"/>
      <c r="AL15" s="673"/>
      <c r="AM15" s="673"/>
      <c r="AN15" s="673"/>
    </row>
    <row r="16" spans="2:40" x14ac:dyDescent="0.35">
      <c r="B16" s="424" t="s">
        <v>205</v>
      </c>
      <c r="C16" s="249"/>
      <c r="D16" s="599"/>
      <c r="E16" s="509"/>
      <c r="F16" s="509"/>
      <c r="G16" s="509"/>
      <c r="H16" s="509"/>
      <c r="I16" s="509"/>
      <c r="J16" s="509"/>
      <c r="K16" s="509"/>
      <c r="L16" s="509"/>
      <c r="M16" s="509"/>
      <c r="N16" s="509"/>
      <c r="O16" s="509"/>
      <c r="P16" s="509"/>
      <c r="Q16" s="509"/>
      <c r="R16" s="509"/>
      <c r="S16" s="509"/>
      <c r="T16" s="509"/>
      <c r="U16" s="509"/>
      <c r="V16" s="575">
        <f>'Unemployment Insurance'!V21</f>
        <v>30.960000000000004</v>
      </c>
      <c r="W16" s="575">
        <f>'Unemployment Insurance'!W21</f>
        <v>30.960000000000004</v>
      </c>
      <c r="X16" s="575">
        <f>'Unemployment Insurance'!X21</f>
        <v>30.6676</v>
      </c>
      <c r="Y16" s="575">
        <f>'Unemployment Insurance'!Y21</f>
        <v>31.820000000000004</v>
      </c>
      <c r="Z16" s="575">
        <f>'Unemployment Insurance'!Z21</f>
        <v>34.9</v>
      </c>
      <c r="AA16" s="575">
        <f>'Unemployment Insurance'!AA21</f>
        <v>35.700000000000003</v>
      </c>
      <c r="AB16" s="575">
        <f>'Unemployment Insurance'!AB21</f>
        <v>35.700000000000003</v>
      </c>
      <c r="AC16" s="575">
        <f>'Unemployment Insurance'!AC21</f>
        <v>35.700000000000003</v>
      </c>
      <c r="AD16" s="575">
        <f>'Unemployment Insurance'!AD21</f>
        <v>35.700000000000003</v>
      </c>
      <c r="AE16" s="673"/>
      <c r="AF16" s="673"/>
      <c r="AG16" s="673"/>
      <c r="AH16" s="673"/>
      <c r="AI16" s="673"/>
      <c r="AJ16" s="673"/>
      <c r="AK16" s="673"/>
      <c r="AL16" s="673"/>
      <c r="AM16" s="673"/>
      <c r="AN16" s="673"/>
    </row>
    <row r="17" spans="2:102" ht="17.899999999999999" customHeight="1" x14ac:dyDescent="0.35">
      <c r="B17" s="681" t="s">
        <v>55</v>
      </c>
      <c r="C17" s="249"/>
      <c r="D17" s="599">
        <f>Medicare!D10</f>
        <v>755</v>
      </c>
      <c r="E17" s="509">
        <f>Medicare!E10</f>
        <v>773.5</v>
      </c>
      <c r="F17" s="509">
        <f>Medicare!F10</f>
        <v>788.5</v>
      </c>
      <c r="G17" s="509">
        <f>Medicare!G10</f>
        <v>798</v>
      </c>
      <c r="H17" s="509">
        <f>Medicare!H10</f>
        <v>802</v>
      </c>
      <c r="I17" s="509">
        <f>Medicare!I10</f>
        <v>801.9</v>
      </c>
      <c r="J17" s="509">
        <f>Medicare!J10</f>
        <v>814.3</v>
      </c>
      <c r="K17" s="509">
        <f>Medicare!K10</f>
        <v>826.6</v>
      </c>
      <c r="L17" s="509">
        <f>Medicare!L10</f>
        <v>838.8</v>
      </c>
      <c r="M17" s="509">
        <f>Medicare!M10</f>
        <v>854.9</v>
      </c>
      <c r="N17" s="509">
        <f>Medicare!N10</f>
        <v>871.2</v>
      </c>
      <c r="O17" s="509">
        <f>Medicare!O10</f>
        <v>887.1</v>
      </c>
      <c r="P17" s="509">
        <f>Medicare!P10</f>
        <v>902.4</v>
      </c>
      <c r="Q17" s="509">
        <f>Medicare!Q10</f>
        <v>917.6</v>
      </c>
      <c r="R17" s="509">
        <f>Medicare!R10</f>
        <v>926.6</v>
      </c>
      <c r="S17" s="509">
        <f>Medicare!S10</f>
        <v>937.4</v>
      </c>
      <c r="T17" s="509">
        <f>Medicare!T10</f>
        <v>958.5</v>
      </c>
      <c r="U17" s="509">
        <f>Medicare!U10</f>
        <v>981.1</v>
      </c>
      <c r="V17" s="509">
        <f>Medicare!V10</f>
        <v>1001.8</v>
      </c>
      <c r="W17" s="509">
        <f>Medicare!W10</f>
        <v>1019.9</v>
      </c>
      <c r="X17" s="673">
        <f>Medicare!X10</f>
        <v>1035.3</v>
      </c>
      <c r="Y17" s="673">
        <f>Medicare!Y10</f>
        <v>1049.2</v>
      </c>
      <c r="Z17" s="673">
        <f>Medicare!Z10</f>
        <v>1067.0999999999999</v>
      </c>
      <c r="AA17" s="673">
        <f>Medicare!AA10</f>
        <v>1090.2</v>
      </c>
      <c r="AB17" s="673">
        <f>Medicare!AB10</f>
        <v>1118.5</v>
      </c>
      <c r="AC17" s="673">
        <f>Medicare!AC10</f>
        <v>1150.3</v>
      </c>
      <c r="AD17" s="673">
        <f>Medicare!AD10</f>
        <v>1182.0999999999999</v>
      </c>
      <c r="AE17" s="673">
        <f>Medicare!AE10</f>
        <v>1197.1541359637888</v>
      </c>
      <c r="AF17" s="673">
        <f>Medicare!AF10</f>
        <v>1215.0695436191259</v>
      </c>
      <c r="AG17" s="673">
        <f>Medicare!AG10</f>
        <v>1233.2530552903243</v>
      </c>
      <c r="AH17" s="673">
        <f>Medicare!AH10</f>
        <v>1251.7086831530878</v>
      </c>
      <c r="AI17" s="673">
        <f>Medicare!AI10</f>
        <v>1270.4404994253166</v>
      </c>
      <c r="AJ17" s="673">
        <f>Medicare!AJ10</f>
        <v>1289.616636754057</v>
      </c>
      <c r="AK17" s="673">
        <f>Medicare!AK10</f>
        <v>1309.0822203362954</v>
      </c>
      <c r="AL17" s="673">
        <f>Medicare!AL10</f>
        <v>1328.8416190984858</v>
      </c>
      <c r="AM17" s="673">
        <f>Medicare!AM10</f>
        <v>1348.8992679120313</v>
      </c>
      <c r="AN17" s="673">
        <f>Medicare!AN10</f>
        <v>1348.8992679120313</v>
      </c>
    </row>
    <row r="18" spans="2:102" ht="18" customHeight="1" x14ac:dyDescent="0.35">
      <c r="B18" s="682" t="s">
        <v>467</v>
      </c>
      <c r="C18" s="249"/>
      <c r="D18" s="276"/>
      <c r="E18" s="233"/>
      <c r="F18" s="233"/>
      <c r="G18" s="233"/>
      <c r="H18" s="509">
        <f>'Rebate Checks (expired)'!H10 +'Rebate Checks (expired)'!H11</f>
        <v>0</v>
      </c>
      <c r="I18" s="509">
        <f>'Rebate Checks (expired)'!I10 +'Rebate Checks (expired)'!I11</f>
        <v>0</v>
      </c>
      <c r="J18" s="509">
        <f>'Rebate Checks (expired)'!J10 +'Rebate Checks (expired)'!J11</f>
        <v>1078.0999999999999</v>
      </c>
      <c r="K18" s="509">
        <f>'Rebate Checks (expired)'!K10 +'Rebate Checks (expired)'!K11</f>
        <v>15.6</v>
      </c>
      <c r="L18" s="509">
        <f>'Rebate Checks (expired)'!L10 +'Rebate Checks (expired)'!L11</f>
        <v>5</v>
      </c>
      <c r="M18" s="509">
        <f>'Rebate Checks (expired)'!M10 +'Rebate Checks (expired)'!M11</f>
        <v>1933.6999999999998</v>
      </c>
      <c r="N18" s="509">
        <f>'Rebate Checks (expired)'!N10 +'Rebate Checks (expired)'!N11</f>
        <v>290.10000000000002</v>
      </c>
      <c r="O18" s="509">
        <f>'Rebate Checks (expired)'!O10 +'Rebate Checks (expired)'!O11</f>
        <v>38.9</v>
      </c>
      <c r="P18" s="509">
        <f>'Rebate Checks (expired)'!P10 +'Rebate Checks (expired)'!P11</f>
        <v>14.2</v>
      </c>
      <c r="Q18" s="509">
        <f>'Rebate Checks (expired)'!Q10 +'Rebate Checks (expired)'!Q11</f>
        <v>0</v>
      </c>
      <c r="R18" s="509">
        <f>'Rebate Checks (expired)'!Q10 +'Rebate Checks (expired)'!R11</f>
        <v>0</v>
      </c>
      <c r="S18" s="509">
        <f>'Rebate Checks (expired)'!S10 +'Rebate Checks (expired)'!S11</f>
        <v>0</v>
      </c>
      <c r="T18" s="509">
        <f>'Rebate Checks (expired)'!T10 +'Rebate Checks (expired)'!T11</f>
        <v>0</v>
      </c>
      <c r="U18" s="509">
        <f>'Rebate Checks (expired)'!U10 +'Rebate Checks (expired)'!U11</f>
        <v>0</v>
      </c>
      <c r="V18" s="575">
        <f t="shared" ref="V18:AA18" si="4">V19+V20</f>
        <v>0</v>
      </c>
      <c r="W18" s="575">
        <f t="shared" si="4"/>
        <v>0</v>
      </c>
      <c r="X18" s="575">
        <f t="shared" si="4"/>
        <v>0</v>
      </c>
      <c r="Y18" s="575">
        <f t="shared" si="4"/>
        <v>0</v>
      </c>
      <c r="Z18" s="575">
        <f t="shared" si="4"/>
        <v>0</v>
      </c>
      <c r="AA18" s="575">
        <f t="shared" si="4"/>
        <v>0</v>
      </c>
      <c r="AB18" s="575">
        <f>AB19+AB20</f>
        <v>0</v>
      </c>
      <c r="AC18" s="575">
        <f>AC19+AC20</f>
        <v>0</v>
      </c>
      <c r="AD18" s="575">
        <f>AD19+AD20</f>
        <v>0</v>
      </c>
      <c r="AE18" s="673">
        <f>'Rebate Checks (expired)'!AE10 +'Rebate Checks (expired)'!AE11</f>
        <v>0</v>
      </c>
      <c r="AF18" s="673">
        <f>'Rebate Checks (expired)'!AF10 +'Rebate Checks (expired)'!AF11</f>
        <v>0</v>
      </c>
      <c r="AG18" s="673">
        <f>'Rebate Checks (expired)'!AG10 +'Rebate Checks (expired)'!AG11</f>
        <v>0</v>
      </c>
      <c r="AH18" s="673">
        <f>'Rebate Checks (expired)'!AH10 +'Rebate Checks (expired)'!AH11</f>
        <v>0</v>
      </c>
      <c r="AI18" s="673">
        <f>'Rebate Checks (expired)'!AI10 +'Rebate Checks (expired)'!AI11</f>
        <v>0</v>
      </c>
      <c r="AJ18" s="673">
        <f>'Rebate Checks (expired)'!AJ10 +'Rebate Checks (expired)'!AJ11</f>
        <v>0</v>
      </c>
      <c r="AK18" s="673">
        <f>'Rebate Checks (expired)'!AK10 +'Rebate Checks (expired)'!AK11</f>
        <v>0</v>
      </c>
      <c r="AL18" s="673">
        <f>'Rebate Checks (expired)'!AL10 +'Rebate Checks (expired)'!AL11</f>
        <v>0</v>
      </c>
      <c r="AM18" s="673">
        <f>'Rebate Checks (expired)'!AM10 +'Rebate Checks (expired)'!AM11</f>
        <v>0</v>
      </c>
      <c r="AN18" s="673">
        <f>'Rebate Checks (expired)'!AN10 +'Rebate Checks (expired)'!AN11</f>
        <v>0</v>
      </c>
    </row>
    <row r="19" spans="2:102" ht="18" customHeight="1" x14ac:dyDescent="0.35">
      <c r="B19" s="683" t="s">
        <v>1835</v>
      </c>
      <c r="C19" s="249"/>
      <c r="D19" s="276"/>
      <c r="E19" s="233"/>
      <c r="F19" s="233"/>
      <c r="G19" s="233"/>
      <c r="H19" s="509"/>
      <c r="I19" s="509"/>
      <c r="J19" s="509"/>
      <c r="K19" s="509"/>
      <c r="L19" s="509"/>
      <c r="M19" s="509"/>
      <c r="N19" s="509"/>
      <c r="O19" s="509"/>
      <c r="P19" s="509"/>
      <c r="Q19" s="509"/>
      <c r="R19" s="509"/>
      <c r="S19" s="509"/>
      <c r="T19" s="509"/>
      <c r="U19" s="509"/>
      <c r="V19" s="509">
        <v>0</v>
      </c>
      <c r="W19" s="509"/>
      <c r="X19" s="673"/>
      <c r="Y19" s="673"/>
      <c r="Z19" s="673"/>
      <c r="AA19" s="673"/>
      <c r="AB19" s="673"/>
      <c r="AC19" s="673"/>
      <c r="AD19" s="673"/>
      <c r="AE19" s="673"/>
      <c r="AF19" s="673"/>
      <c r="AG19" s="673"/>
      <c r="AH19" s="673"/>
      <c r="AI19" s="673"/>
      <c r="AJ19" s="673"/>
      <c r="AK19" s="673"/>
      <c r="AL19" s="673"/>
      <c r="AM19" s="673"/>
      <c r="AN19" s="673"/>
    </row>
    <row r="20" spans="2:102" ht="18" customHeight="1" x14ac:dyDescent="0.35">
      <c r="B20" s="683" t="s">
        <v>1836</v>
      </c>
      <c r="C20" s="249"/>
      <c r="D20" s="276"/>
      <c r="E20" s="233"/>
      <c r="F20" s="233"/>
      <c r="G20" s="233"/>
      <c r="H20" s="509"/>
      <c r="I20" s="509"/>
      <c r="J20" s="509"/>
      <c r="K20" s="509"/>
      <c r="L20" s="509"/>
      <c r="M20" s="509"/>
      <c r="N20" s="509"/>
      <c r="O20" s="509"/>
      <c r="P20" s="509"/>
      <c r="Q20" s="509"/>
      <c r="R20" s="509"/>
      <c r="S20" s="509"/>
      <c r="T20" s="509"/>
      <c r="U20" s="509"/>
      <c r="V20" s="509">
        <v>0</v>
      </c>
      <c r="W20" s="509"/>
      <c r="X20" s="673"/>
      <c r="Y20" s="673"/>
      <c r="Z20" s="673"/>
      <c r="AA20" s="673"/>
      <c r="AB20" s="673"/>
      <c r="AC20" s="673"/>
      <c r="AD20" s="673"/>
      <c r="AE20" s="673"/>
      <c r="AF20" s="673"/>
      <c r="AG20" s="673"/>
      <c r="AH20" s="673"/>
      <c r="AI20" s="673"/>
      <c r="AJ20" s="673"/>
      <c r="AK20" s="673"/>
      <c r="AL20" s="673"/>
      <c r="AM20" s="673"/>
      <c r="AN20" s="673"/>
    </row>
    <row r="21" spans="2:102" ht="18" customHeight="1" x14ac:dyDescent="0.35">
      <c r="B21" s="684" t="s">
        <v>49</v>
      </c>
      <c r="C21" s="249"/>
      <c r="D21" s="275">
        <f>'Provider Relief (expired)'!D11</f>
        <v>0</v>
      </c>
      <c r="E21" s="245">
        <f>'Provider Relief (expired)'!E11</f>
        <v>0</v>
      </c>
      <c r="F21" s="245">
        <f>'Provider Relief (expired)'!F11</f>
        <v>0</v>
      </c>
      <c r="G21" s="245">
        <f>'Provider Relief (expired)'!G11</f>
        <v>0</v>
      </c>
      <c r="H21" s="245">
        <f>'Provider Relief (expired)'!H11</f>
        <v>0</v>
      </c>
      <c r="I21" s="245">
        <f>'Provider Relief (expired)'!I11</f>
        <v>0</v>
      </c>
      <c r="J21" s="245">
        <f>'Provider Relief (expired)'!J11</f>
        <v>160.9</v>
      </c>
      <c r="K21" s="245">
        <f>'Provider Relief (expired)'!K11</f>
        <v>58.4</v>
      </c>
      <c r="L21" s="245">
        <f>'Provider Relief (expired)'!L11</f>
        <v>34.5</v>
      </c>
      <c r="M21" s="245">
        <f>'Provider Relief (expired)'!M11</f>
        <v>21.4</v>
      </c>
      <c r="N21" s="245">
        <f>'Provider Relief (expired)'!N11</f>
        <v>13.3</v>
      </c>
      <c r="O21" s="245">
        <f>'Provider Relief (expired)'!O11</f>
        <v>18.7</v>
      </c>
      <c r="P21" s="245">
        <f>'Provider Relief (expired)'!P11</f>
        <v>32.200000000000003</v>
      </c>
      <c r="Q21" s="245">
        <f>'Provider Relief (expired)'!Q11</f>
        <v>26.9</v>
      </c>
      <c r="R21" s="245">
        <f>'Provider Relief (expired)'!R11</f>
        <v>20</v>
      </c>
      <c r="S21" s="245">
        <f>'Provider Relief (expired)'!S11</f>
        <v>8.1</v>
      </c>
      <c r="T21" s="245">
        <f>'Provider Relief (expired)'!T11</f>
        <v>4.9000000000000004</v>
      </c>
      <c r="U21" s="245">
        <v>0</v>
      </c>
      <c r="V21" s="509">
        <v>0</v>
      </c>
      <c r="W21" s="509">
        <v>0</v>
      </c>
      <c r="X21" s="673">
        <v>0</v>
      </c>
      <c r="Y21" s="673">
        <v>0</v>
      </c>
      <c r="Z21" s="673">
        <v>0</v>
      </c>
      <c r="AA21" s="673">
        <v>0</v>
      </c>
      <c r="AB21" s="673">
        <v>0</v>
      </c>
      <c r="AC21" s="673">
        <v>0</v>
      </c>
      <c r="AD21" s="673">
        <v>0</v>
      </c>
      <c r="AE21" s="673">
        <v>0</v>
      </c>
      <c r="AF21" s="673">
        <v>0</v>
      </c>
      <c r="AG21" s="673">
        <v>0</v>
      </c>
      <c r="AH21" s="673">
        <v>0</v>
      </c>
      <c r="AI21" s="673">
        <v>0</v>
      </c>
      <c r="AJ21" s="673">
        <v>0</v>
      </c>
      <c r="AK21" s="673">
        <v>0</v>
      </c>
      <c r="AL21" s="673">
        <v>0</v>
      </c>
      <c r="AM21" s="673">
        <v>0</v>
      </c>
      <c r="AN21" s="673">
        <v>0</v>
      </c>
    </row>
    <row r="22" spans="2:102" ht="18" customHeight="1" x14ac:dyDescent="0.35">
      <c r="B22" s="291" t="s">
        <v>1837</v>
      </c>
      <c r="C22" s="249"/>
      <c r="D22" s="275"/>
      <c r="E22" s="245"/>
      <c r="F22" s="245"/>
      <c r="G22" s="245"/>
      <c r="H22" s="245"/>
      <c r="I22" s="245"/>
      <c r="J22" s="245"/>
      <c r="K22" s="245"/>
      <c r="L22" s="245"/>
      <c r="M22" s="245"/>
      <c r="N22" s="245"/>
      <c r="O22" s="245"/>
      <c r="P22" s="245"/>
      <c r="Q22" s="245"/>
      <c r="R22" s="245"/>
      <c r="S22" s="245"/>
      <c r="T22" s="245"/>
      <c r="U22" s="245"/>
      <c r="V22" s="509"/>
      <c r="W22" s="509"/>
      <c r="X22" s="673"/>
      <c r="Y22" s="673"/>
      <c r="Z22" s="673"/>
      <c r="AA22" s="673"/>
      <c r="AB22" s="673"/>
      <c r="AC22" s="673"/>
      <c r="AD22" s="673"/>
      <c r="AE22" s="673"/>
      <c r="AF22" s="673"/>
      <c r="AG22" s="673"/>
      <c r="AH22" s="673"/>
      <c r="AI22" s="673"/>
      <c r="AJ22" s="673"/>
      <c r="AK22" s="673"/>
      <c r="AL22" s="673"/>
      <c r="AM22" s="673"/>
      <c r="AN22" s="673"/>
    </row>
    <row r="23" spans="2:102" ht="18" customHeight="1" x14ac:dyDescent="0.35">
      <c r="B23" s="291" t="s">
        <v>1838</v>
      </c>
      <c r="C23" s="249"/>
      <c r="D23" s="275"/>
      <c r="E23" s="245"/>
      <c r="F23" s="245"/>
      <c r="G23" s="245"/>
      <c r="H23" s="245"/>
      <c r="I23" s="245"/>
      <c r="J23" s="245"/>
      <c r="K23" s="245"/>
      <c r="L23" s="245"/>
      <c r="M23" s="245"/>
      <c r="N23" s="245"/>
      <c r="O23" s="245"/>
      <c r="P23" s="245"/>
      <c r="Q23" s="245"/>
      <c r="R23" s="245"/>
      <c r="S23" s="245"/>
      <c r="T23" s="245"/>
      <c r="U23" s="245"/>
      <c r="V23" s="509"/>
      <c r="W23" s="509"/>
      <c r="X23" s="673"/>
      <c r="Y23" s="673"/>
      <c r="Z23" s="673"/>
      <c r="AA23" s="673"/>
      <c r="AB23" s="673"/>
      <c r="AC23" s="673"/>
      <c r="AD23" s="673"/>
      <c r="AE23" s="673"/>
      <c r="AF23" s="673"/>
      <c r="AG23" s="673"/>
      <c r="AH23" s="673"/>
      <c r="AI23" s="673"/>
      <c r="AJ23" s="673"/>
      <c r="AK23" s="673"/>
      <c r="AL23" s="673"/>
      <c r="AM23" s="673"/>
      <c r="AN23" s="673"/>
    </row>
    <row r="24" spans="2:102" ht="20.149999999999999" customHeight="1" x14ac:dyDescent="0.35">
      <c r="B24" s="272" t="s">
        <v>470</v>
      </c>
      <c r="C24" s="267"/>
      <c r="D24" s="721"/>
      <c r="E24" s="639"/>
      <c r="F24" s="639"/>
      <c r="G24" s="639"/>
      <c r="H24" s="572"/>
      <c r="I24" s="572"/>
      <c r="J24" s="572"/>
      <c r="K24" s="572"/>
      <c r="L24" s="572"/>
      <c r="M24" s="572">
        <f>'ARP Quarterly'!C5</f>
        <v>0</v>
      </c>
      <c r="N24" s="572">
        <f>'ARP Quarterly'!D5</f>
        <v>33.921840000000024</v>
      </c>
      <c r="O24" s="572">
        <f>'ARP Quarterly'!E5</f>
        <v>44.966160000000031</v>
      </c>
      <c r="P24" s="572">
        <f>'ARP Quarterly'!F5</f>
        <v>52.756999999999998</v>
      </c>
      <c r="Q24" s="572">
        <f>'ARP Quarterly'!G5</f>
        <v>52.756999999999998</v>
      </c>
      <c r="R24" s="572">
        <f>'ARP Quarterly'!H5</f>
        <v>52.756999999999998</v>
      </c>
      <c r="S24" s="572">
        <f>'ARP Quarterly'!I5</f>
        <v>52.756999999999998</v>
      </c>
      <c r="T24" s="572">
        <v>30</v>
      </c>
      <c r="U24" s="572">
        <f>'ARP Quarterly'!K5</f>
        <v>12</v>
      </c>
      <c r="V24" s="572">
        <f>'ARP Quarterly'!L5</f>
        <v>12</v>
      </c>
      <c r="W24" s="572">
        <f>'ARP Quarterly'!M5</f>
        <v>12</v>
      </c>
      <c r="X24" s="574">
        <f>'ARP Quarterly'!N5</f>
        <v>4.2219999999999995</v>
      </c>
      <c r="Y24" s="574">
        <f>'ARP Quarterly'!O5</f>
        <v>4.2219999999999995</v>
      </c>
      <c r="Z24" s="574">
        <f>'ARP Quarterly'!P5</f>
        <v>4.2219999999999995</v>
      </c>
      <c r="AA24" s="574">
        <f>'ARP Quarterly'!Q5</f>
        <v>4.2219999999999995</v>
      </c>
      <c r="AB24" s="574">
        <f>'ARP Quarterly'!R5</f>
        <v>2.3719999999999999</v>
      </c>
      <c r="AC24" s="574">
        <f>'ARP Quarterly'!S5</f>
        <v>2.3719999999999999</v>
      </c>
      <c r="AD24" s="574">
        <f>'ARP Quarterly'!T5</f>
        <v>2.3719999999999999</v>
      </c>
      <c r="AE24" s="574">
        <f>'ARP Quarterly'!U5</f>
        <v>2.3719999999999999</v>
      </c>
      <c r="AF24" s="574">
        <f>'ARP Quarterly'!V5</f>
        <v>0.49</v>
      </c>
      <c r="AG24" s="519">
        <v>0</v>
      </c>
      <c r="AH24" s="519">
        <v>0</v>
      </c>
      <c r="AI24" s="519">
        <v>0</v>
      </c>
      <c r="AJ24" s="519">
        <v>0</v>
      </c>
      <c r="AK24" s="519">
        <v>0</v>
      </c>
      <c r="AL24" s="519">
        <v>0</v>
      </c>
      <c r="AM24" s="519">
        <v>0</v>
      </c>
      <c r="AN24" s="519">
        <v>0</v>
      </c>
    </row>
    <row r="25" spans="2:102" ht="22.4" customHeight="1" x14ac:dyDescent="0.35">
      <c r="B25" s="256" t="s">
        <v>218</v>
      </c>
      <c r="C25" s="689"/>
      <c r="D25" s="275"/>
      <c r="E25" s="245"/>
      <c r="F25" s="245"/>
      <c r="G25" s="245"/>
      <c r="H25" s="245"/>
      <c r="I25" s="245"/>
      <c r="J25" s="245"/>
      <c r="K25" s="245"/>
      <c r="L25" s="245"/>
      <c r="M25" s="509">
        <f>'ARP Quarterly'!C4</f>
        <v>0</v>
      </c>
      <c r="N25" s="509">
        <f>'ARP Quarterly'!D4</f>
        <v>0</v>
      </c>
      <c r="O25" s="509">
        <f>'ARP Quarterly'!E4</f>
        <v>3.1040000000000418</v>
      </c>
      <c r="P25" s="509">
        <f>'ARP Quarterly'!F4</f>
        <v>19.719000000000005</v>
      </c>
      <c r="Q25" s="509">
        <f>'ARP Quarterly'!G4</f>
        <v>19.719000000000005</v>
      </c>
      <c r="R25" s="509">
        <f>'ARP Quarterly'!H4</f>
        <v>19.719000000000005</v>
      </c>
      <c r="S25" s="509">
        <f>'ARP Quarterly'!I4</f>
        <v>19.719000000000005</v>
      </c>
      <c r="T25" s="509">
        <f>'ARP Quarterly'!J4</f>
        <v>1.4159999999999999</v>
      </c>
      <c r="U25" s="509">
        <f>'ARP Quarterly'!K4</f>
        <v>1.4159999999999999</v>
      </c>
      <c r="V25" s="509">
        <f>'ARP Quarterly'!L4</f>
        <v>1.4159999999999999</v>
      </c>
      <c r="W25" s="509">
        <f>'ARP Quarterly'!M4</f>
        <v>1.4159999999999999</v>
      </c>
      <c r="X25" s="673">
        <f>'ARP Quarterly'!N4</f>
        <v>1.4790000000000001</v>
      </c>
      <c r="Y25" s="673">
        <f>'ARP Quarterly'!O4</f>
        <v>1.4790000000000001</v>
      </c>
      <c r="Z25" s="673">
        <f>'ARP Quarterly'!P4</f>
        <v>1.4790000000000001</v>
      </c>
      <c r="AA25" s="673">
        <f>'ARP Quarterly'!Q4</f>
        <v>1.4790000000000001</v>
      </c>
      <c r="AB25" s="673">
        <f>'ARP Quarterly'!R4</f>
        <v>1.63</v>
      </c>
      <c r="AC25" s="673">
        <f>'ARP Quarterly'!S4</f>
        <v>1.63</v>
      </c>
      <c r="AD25" s="673">
        <f>'ARP Quarterly'!T4</f>
        <v>1.63</v>
      </c>
      <c r="AE25" s="673">
        <f>'ARP Quarterly'!U4</f>
        <v>1.63</v>
      </c>
      <c r="AF25" s="673">
        <f>'ARP Quarterly'!V4</f>
        <v>1.671</v>
      </c>
      <c r="AG25" s="687">
        <v>0</v>
      </c>
      <c r="AH25" s="687">
        <v>0</v>
      </c>
      <c r="AI25" s="687">
        <v>0</v>
      </c>
      <c r="AJ25" s="687">
        <v>0</v>
      </c>
      <c r="AK25" s="687">
        <v>0</v>
      </c>
      <c r="AL25" s="687">
        <v>0</v>
      </c>
      <c r="AM25" s="687">
        <v>0</v>
      </c>
      <c r="AN25" s="687">
        <v>0</v>
      </c>
      <c r="AO25" s="689"/>
      <c r="AP25" s="689"/>
      <c r="AQ25" s="689"/>
      <c r="AR25" s="689"/>
      <c r="AS25" s="689"/>
      <c r="AT25" s="689"/>
      <c r="AU25" s="689"/>
      <c r="AV25" s="689"/>
      <c r="AW25" s="689"/>
      <c r="AX25" s="689"/>
      <c r="AY25" s="689"/>
      <c r="AZ25" s="689"/>
      <c r="BA25" s="689"/>
      <c r="BB25" s="689"/>
      <c r="BC25" s="689"/>
      <c r="BD25" s="689"/>
      <c r="BE25" s="689"/>
      <c r="BF25" s="689"/>
      <c r="BG25" s="689"/>
      <c r="BH25" s="689"/>
      <c r="BI25" s="689"/>
      <c r="BJ25" s="689"/>
      <c r="BK25" s="689"/>
      <c r="BL25" s="689"/>
      <c r="BM25" s="689"/>
      <c r="BN25" s="689"/>
      <c r="BO25" s="689"/>
      <c r="BP25" s="689"/>
      <c r="BQ25" s="689"/>
      <c r="BR25" s="689"/>
      <c r="BS25" s="689"/>
      <c r="BT25" s="689"/>
      <c r="BU25" s="689"/>
      <c r="BV25" s="689"/>
      <c r="BW25" s="689"/>
      <c r="BX25" s="689"/>
      <c r="BY25" s="689"/>
      <c r="BZ25" s="689"/>
      <c r="CA25" s="689"/>
      <c r="CB25" s="689"/>
      <c r="CC25" s="689"/>
      <c r="CD25" s="689"/>
      <c r="CE25" s="689"/>
      <c r="CF25" s="689"/>
      <c r="CG25" s="689"/>
      <c r="CH25" s="689"/>
      <c r="CI25" s="689"/>
      <c r="CJ25" s="689"/>
      <c r="CK25" s="689"/>
      <c r="CL25" s="689"/>
      <c r="CM25" s="689"/>
      <c r="CN25" s="689"/>
      <c r="CO25" s="689"/>
      <c r="CP25" s="689"/>
      <c r="CQ25" s="689"/>
      <c r="CR25" s="689"/>
      <c r="CS25" s="689"/>
      <c r="CT25" s="689"/>
      <c r="CU25" s="689"/>
      <c r="CV25" s="689"/>
      <c r="CW25" s="689"/>
      <c r="CX25" s="689"/>
    </row>
    <row r="26" spans="2:102" ht="36.65" customHeight="1" x14ac:dyDescent="0.35">
      <c r="B26" s="256" t="s">
        <v>1427</v>
      </c>
      <c r="C26" s="249"/>
      <c r="D26" s="276">
        <f>D51</f>
        <v>0</v>
      </c>
      <c r="E26" s="233">
        <f t="shared" ref="E26:AE26" si="5">E51</f>
        <v>0</v>
      </c>
      <c r="F26" s="233">
        <f t="shared" si="5"/>
        <v>0</v>
      </c>
      <c r="G26" s="233">
        <f t="shared" si="5"/>
        <v>0</v>
      </c>
      <c r="H26" s="233">
        <f t="shared" si="5"/>
        <v>0</v>
      </c>
      <c r="I26" s="509">
        <f t="shared" si="5"/>
        <v>6.9120000000000061</v>
      </c>
      <c r="J26" s="509">
        <f t="shared" si="5"/>
        <v>50.955000000000005</v>
      </c>
      <c r="K26" s="509">
        <f t="shared" si="5"/>
        <v>51.173999999999999</v>
      </c>
      <c r="L26" s="509">
        <f t="shared" si="5"/>
        <v>51.893999999999998</v>
      </c>
      <c r="M26" s="509">
        <f t="shared" si="5"/>
        <v>91.075000000000017</v>
      </c>
      <c r="N26" s="509">
        <f t="shared" si="5"/>
        <v>100.63400000000001</v>
      </c>
      <c r="O26" s="509">
        <f t="shared" si="5"/>
        <v>93.89100000000002</v>
      </c>
      <c r="P26" s="509">
        <f t="shared" si="5"/>
        <v>100.22800000000001</v>
      </c>
      <c r="Q26" s="509">
        <f t="shared" si="5"/>
        <v>76.838999999999999</v>
      </c>
      <c r="R26" s="509">
        <f t="shared" si="5"/>
        <v>73.637</v>
      </c>
      <c r="S26" s="509">
        <f t="shared" si="5"/>
        <v>70.649000000000001</v>
      </c>
      <c r="T26" s="509">
        <f t="shared" si="5"/>
        <v>91.718000000000018</v>
      </c>
      <c r="U26" s="509">
        <f t="shared" si="5"/>
        <v>83.695999999999998</v>
      </c>
      <c r="V26" s="509">
        <f>V51</f>
        <v>51.979000000000006</v>
      </c>
      <c r="W26" s="509">
        <f>W51</f>
        <v>51.58400000000001</v>
      </c>
      <c r="X26" s="673">
        <f t="shared" si="5"/>
        <v>38.777999999999999</v>
      </c>
      <c r="Y26" s="673">
        <f t="shared" si="5"/>
        <v>37.295999999999999</v>
      </c>
      <c r="Z26" s="673">
        <f t="shared" si="5"/>
        <v>41.408000000000008</v>
      </c>
      <c r="AA26" s="673">
        <f t="shared" si="5"/>
        <v>48.07800000000001</v>
      </c>
      <c r="AB26" s="673">
        <f t="shared" si="5"/>
        <v>43.804000000000009</v>
      </c>
      <c r="AC26" s="673">
        <f t="shared" si="5"/>
        <v>40.554000000000009</v>
      </c>
      <c r="AD26" s="673">
        <f t="shared" si="5"/>
        <v>38.098000000000006</v>
      </c>
      <c r="AE26" s="673">
        <f t="shared" si="5"/>
        <v>38.098000000000006</v>
      </c>
      <c r="AF26" s="673">
        <f>AF51</f>
        <v>30.137000000000008</v>
      </c>
      <c r="AG26" s="673">
        <f>AG51</f>
        <v>30.137000000000008</v>
      </c>
      <c r="AH26" s="673">
        <f>AH51</f>
        <v>30.137000000000008</v>
      </c>
      <c r="AI26" s="673">
        <f>AI51</f>
        <v>30.137000000000008</v>
      </c>
      <c r="AJ26" s="673">
        <f>AJ51</f>
        <v>21.982000000000006</v>
      </c>
      <c r="AK26" s="673">
        <f t="shared" ref="AK26:AN26" si="6">AK51</f>
        <v>21.982000000000006</v>
      </c>
      <c r="AL26" s="673">
        <f t="shared" si="6"/>
        <v>21.982000000000006</v>
      </c>
      <c r="AM26" s="673">
        <f t="shared" si="6"/>
        <v>21.982000000000006</v>
      </c>
      <c r="AN26" s="673">
        <f t="shared" si="6"/>
        <v>0.33700000000000685</v>
      </c>
      <c r="AO26" s="249"/>
      <c r="AP26" s="249"/>
      <c r="AQ26" s="249"/>
      <c r="AR26" s="249"/>
      <c r="AS26" s="249"/>
      <c r="AT26" s="249"/>
      <c r="AU26" s="249"/>
      <c r="AV26" s="249"/>
      <c r="AW26" s="249"/>
      <c r="AX26" s="249"/>
      <c r="AY26" s="249"/>
      <c r="AZ26" s="249"/>
      <c r="BA26" s="249"/>
      <c r="BB26" s="249"/>
      <c r="BC26" s="249"/>
      <c r="BD26" s="249"/>
      <c r="BE26" s="249"/>
      <c r="BF26" s="249"/>
      <c r="BG26" s="249"/>
      <c r="BH26" s="249"/>
      <c r="BI26" s="249"/>
      <c r="BJ26" s="249"/>
      <c r="BK26" s="249"/>
      <c r="BL26" s="249"/>
      <c r="BM26" s="249"/>
      <c r="BN26" s="249"/>
      <c r="BO26" s="249"/>
      <c r="BP26" s="249"/>
      <c r="BQ26" s="249"/>
      <c r="BR26" s="249"/>
      <c r="BS26" s="249"/>
      <c r="BT26" s="249"/>
      <c r="BU26" s="249"/>
      <c r="BV26" s="249"/>
      <c r="BW26" s="249"/>
      <c r="BX26" s="249"/>
      <c r="BY26" s="249"/>
      <c r="BZ26" s="249"/>
      <c r="CA26" s="249"/>
      <c r="CB26" s="249"/>
      <c r="CC26" s="249"/>
      <c r="CD26" s="249"/>
      <c r="CE26" s="249"/>
      <c r="CF26" s="249"/>
      <c r="CG26" s="249"/>
      <c r="CH26" s="249"/>
      <c r="CI26" s="249"/>
      <c r="CJ26" s="249"/>
      <c r="CK26" s="249"/>
      <c r="CL26" s="249"/>
      <c r="CM26" s="249"/>
      <c r="CN26" s="249"/>
      <c r="CO26" s="249"/>
      <c r="CP26" s="249"/>
      <c r="CQ26" s="249"/>
      <c r="CR26" s="249"/>
      <c r="CS26" s="249"/>
      <c r="CT26" s="249"/>
      <c r="CU26" s="249"/>
      <c r="CV26" s="249"/>
      <c r="CW26" s="249"/>
    </row>
    <row r="27" spans="2:102" ht="15.65" customHeight="1" x14ac:dyDescent="0.35">
      <c r="B27" s="256" t="s">
        <v>796</v>
      </c>
      <c r="C27" s="249" t="s">
        <v>823</v>
      </c>
      <c r="D27" s="275">
        <v>30</v>
      </c>
      <c r="E27" s="245">
        <v>30</v>
      </c>
      <c r="F27" s="245">
        <v>30</v>
      </c>
      <c r="G27" s="245">
        <v>30</v>
      </c>
      <c r="H27" s="245">
        <v>30</v>
      </c>
      <c r="I27" s="245">
        <v>30</v>
      </c>
      <c r="J27" s="245">
        <v>30</v>
      </c>
      <c r="K27" s="241">
        <v>30.2</v>
      </c>
      <c r="L27" s="241">
        <v>30.2</v>
      </c>
      <c r="M27" s="241">
        <f>'Haver Pivoted'!GX89</f>
        <v>34.4</v>
      </c>
      <c r="N27" s="241">
        <f>'Haver Pivoted'!GY89</f>
        <v>34.4</v>
      </c>
      <c r="O27" s="241">
        <f>'Haver Pivoted'!GZ89</f>
        <v>218.933333333333</v>
      </c>
      <c r="P27" s="241">
        <f>'Haver Pivoted'!HA89</f>
        <v>223.13333333333301</v>
      </c>
      <c r="Q27" s="241">
        <f>'Haver Pivoted'!HB89</f>
        <v>94.3</v>
      </c>
      <c r="R27" s="241">
        <f>'Haver Pivoted'!HC89</f>
        <v>94.3</v>
      </c>
      <c r="S27" s="467">
        <f>'Haver Pivoted'!HD89</f>
        <v>94.3</v>
      </c>
      <c r="T27" s="467">
        <f>'Haver Pivoted'!HE89</f>
        <v>94.3</v>
      </c>
      <c r="U27" s="673">
        <v>34</v>
      </c>
      <c r="V27" s="509">
        <v>34</v>
      </c>
      <c r="W27" s="509">
        <v>34</v>
      </c>
      <c r="X27" s="673">
        <v>34</v>
      </c>
      <c r="Y27" s="673">
        <v>34</v>
      </c>
      <c r="Z27" s="673">
        <v>34</v>
      </c>
      <c r="AA27" s="673">
        <v>34</v>
      </c>
      <c r="AB27" s="673">
        <v>34</v>
      </c>
      <c r="AC27" s="673">
        <v>34</v>
      </c>
      <c r="AD27" s="673">
        <v>34</v>
      </c>
      <c r="AE27" s="673">
        <v>34</v>
      </c>
      <c r="AF27" s="673">
        <v>34</v>
      </c>
      <c r="AG27" s="673">
        <v>34</v>
      </c>
      <c r="AH27" s="673">
        <v>34</v>
      </c>
      <c r="AI27" s="673">
        <v>35</v>
      </c>
      <c r="AJ27" s="673">
        <v>36</v>
      </c>
      <c r="AK27" s="673">
        <v>37</v>
      </c>
      <c r="AL27" s="673">
        <v>38</v>
      </c>
      <c r="AM27" s="673">
        <v>39</v>
      </c>
      <c r="AN27" s="673">
        <v>40</v>
      </c>
    </row>
    <row r="28" spans="2:102" ht="21.65" customHeight="1" x14ac:dyDescent="0.35">
      <c r="B28" s="256" t="s">
        <v>468</v>
      </c>
      <c r="C28" s="249"/>
      <c r="D28" s="276"/>
      <c r="E28" s="233"/>
      <c r="F28" s="233"/>
      <c r="G28" s="233"/>
      <c r="H28" s="509"/>
      <c r="I28" s="509"/>
      <c r="J28" s="509">
        <f>'PPP (expired)'!J53</f>
        <v>57.2</v>
      </c>
      <c r="K28" s="509">
        <f>'PPP (expired)'!K53</f>
        <v>81.2</v>
      </c>
      <c r="L28" s="509">
        <f>'PPP (expired)'!L53</f>
        <v>24.4</v>
      </c>
      <c r="M28" s="509">
        <f>'PPP (expired)'!M53</f>
        <v>11.7</v>
      </c>
      <c r="N28" s="509">
        <f>'PPP (expired)'!N53</f>
        <v>28.5</v>
      </c>
      <c r="O28" s="509">
        <f>'PPP (expired)'!O53</f>
        <v>18.8</v>
      </c>
      <c r="P28" s="509">
        <f>'PPP (expired)'!P53</f>
        <v>1.6</v>
      </c>
      <c r="Q28" s="509">
        <f>'PPP (expired)'!Q53</f>
        <v>0</v>
      </c>
      <c r="R28" s="509">
        <f>'PPP (expired)'!Q61</f>
        <v>0</v>
      </c>
      <c r="S28" s="509">
        <f>'PPP (expired)'!S53</f>
        <v>0</v>
      </c>
      <c r="T28" s="509">
        <f>'PPP (expired)'!T53</f>
        <v>0</v>
      </c>
      <c r="U28" s="509">
        <f>'PPP (expired)'!U53</f>
        <v>0</v>
      </c>
      <c r="V28" s="509">
        <f>'PPP (expired)'!V53</f>
        <v>0</v>
      </c>
      <c r="W28" s="509">
        <f>'PPP (expired)'!W53</f>
        <v>0</v>
      </c>
      <c r="X28" s="673">
        <f>'PPP (expired)'!X53</f>
        <v>0</v>
      </c>
      <c r="Y28" s="673">
        <f>'PPP (expired)'!Y53</f>
        <v>0</v>
      </c>
      <c r="Z28" s="673">
        <f>'PPP (expired)'!Z53</f>
        <v>0</v>
      </c>
      <c r="AA28" s="673">
        <f>'PPP (expired)'!AA53</f>
        <v>0</v>
      </c>
      <c r="AB28" s="673">
        <f>'PPP (expired)'!AB53</f>
        <v>0</v>
      </c>
      <c r="AC28" s="673">
        <f>'PPP (expired)'!AC53</f>
        <v>0</v>
      </c>
      <c r="AD28" s="673">
        <f>'PPP (expired)'!AD53</f>
        <v>0</v>
      </c>
      <c r="AE28" s="673">
        <f>'PPP (expired)'!AE53</f>
        <v>0</v>
      </c>
      <c r="AF28" s="673">
        <f>'PPP (expired)'!AF53</f>
        <v>0</v>
      </c>
      <c r="AG28" s="673">
        <f>'PPP (expired)'!AG53</f>
        <v>0</v>
      </c>
      <c r="AH28" s="673">
        <f>'PPP (expired)'!AH53</f>
        <v>0</v>
      </c>
      <c r="AI28" s="673">
        <f>'PPP (expired)'!AI53</f>
        <v>0</v>
      </c>
      <c r="AJ28" s="673">
        <f>'PPP (expired)'!AJ53</f>
        <v>0</v>
      </c>
      <c r="AK28" s="673">
        <f>'PPP (expired)'!AK53</f>
        <v>0</v>
      </c>
      <c r="AL28" s="673">
        <f>'PPP (expired)'!AL53</f>
        <v>0</v>
      </c>
      <c r="AM28" s="673">
        <f>'PPP (expired)'!AM53</f>
        <v>0</v>
      </c>
      <c r="AN28" s="673">
        <f>'PPP (expired)'!AN53</f>
        <v>0</v>
      </c>
    </row>
    <row r="29" spans="2:102" ht="21.65" customHeight="1" x14ac:dyDescent="0.35">
      <c r="B29" s="291" t="s">
        <v>797</v>
      </c>
      <c r="C29" s="249"/>
      <c r="D29" s="599">
        <f t="shared" ref="D29:AH29" si="7">D76</f>
        <v>0</v>
      </c>
      <c r="E29" s="509">
        <f t="shared" si="7"/>
        <v>0</v>
      </c>
      <c r="F29" s="509">
        <f t="shared" si="7"/>
        <v>0</v>
      </c>
      <c r="G29" s="509">
        <f t="shared" si="7"/>
        <v>0</v>
      </c>
      <c r="H29" s="509">
        <f t="shared" si="7"/>
        <v>0</v>
      </c>
      <c r="I29" s="509">
        <f t="shared" si="7"/>
        <v>-6.9120000000000346</v>
      </c>
      <c r="J29" s="509">
        <f t="shared" si="7"/>
        <v>-37.9549999999997</v>
      </c>
      <c r="K29" s="509">
        <f t="shared" si="7"/>
        <v>85.725999999999658</v>
      </c>
      <c r="L29" s="509">
        <f t="shared" si="7"/>
        <v>18.405999999999722</v>
      </c>
      <c r="M29" s="509">
        <f t="shared" si="7"/>
        <v>20.282000000000153</v>
      </c>
      <c r="N29" s="509">
        <f t="shared" si="7"/>
        <v>-8.5988400000003367</v>
      </c>
      <c r="O29" s="509">
        <f t="shared" si="7"/>
        <v>-12.537493333333487</v>
      </c>
      <c r="P29" s="509">
        <f t="shared" si="7"/>
        <v>-32.38033333333351</v>
      </c>
      <c r="Q29" s="509">
        <f t="shared" si="7"/>
        <v>72.734879999999521</v>
      </c>
      <c r="R29" s="509">
        <f t="shared" si="7"/>
        <v>75.236879999999019</v>
      </c>
      <c r="S29" s="509">
        <f t="shared" si="7"/>
        <v>66.046879999999419</v>
      </c>
      <c r="T29" s="509">
        <f t="shared" si="7"/>
        <v>90.12587999999937</v>
      </c>
      <c r="U29" s="509">
        <f t="shared" si="7"/>
        <v>55.219026999999414</v>
      </c>
      <c r="V29" s="509">
        <f t="shared" si="7"/>
        <v>69.376026999999112</v>
      </c>
      <c r="W29" s="509">
        <f t="shared" si="7"/>
        <v>73.871026999999231</v>
      </c>
      <c r="X29" s="673">
        <f t="shared" si="7"/>
        <v>92.003026999999292</v>
      </c>
      <c r="Y29" s="673">
        <f t="shared" si="7"/>
        <v>133.13552299999901</v>
      </c>
      <c r="Z29" s="673">
        <f t="shared" si="7"/>
        <v>146.42352299999902</v>
      </c>
      <c r="AA29" s="673">
        <f t="shared" si="7"/>
        <v>149.85352299999886</v>
      </c>
      <c r="AB29" s="673">
        <f t="shared" si="7"/>
        <v>163.69852299999889</v>
      </c>
      <c r="AC29" s="673">
        <f t="shared" si="7"/>
        <v>214.3287979999991</v>
      </c>
      <c r="AD29" s="673">
        <f t="shared" si="7"/>
        <v>299.88479799999936</v>
      </c>
      <c r="AE29" s="673">
        <f t="shared" si="7"/>
        <v>299.88479799999936</v>
      </c>
      <c r="AF29" s="673">
        <f t="shared" si="7"/>
        <v>299.88479799999936</v>
      </c>
      <c r="AG29" s="673">
        <f t="shared" si="7"/>
        <v>299.88479799999936</v>
      </c>
      <c r="AH29" s="673">
        <f t="shared" si="7"/>
        <v>299.88479799999936</v>
      </c>
      <c r="AI29" s="673">
        <f t="shared" ref="AI29:AJ29" si="8">AI76</f>
        <v>299.88479799999936</v>
      </c>
      <c r="AJ29" s="673">
        <f t="shared" si="8"/>
        <v>299.88479799999936</v>
      </c>
      <c r="AK29" s="673">
        <f t="shared" ref="AK29:AN29" si="9">AK76</f>
        <v>299.88479799999936</v>
      </c>
      <c r="AL29" s="673">
        <f t="shared" si="9"/>
        <v>299.88479799999936</v>
      </c>
      <c r="AM29" s="673">
        <f t="shared" si="9"/>
        <v>299.88479799999936</v>
      </c>
      <c r="AN29" s="673">
        <f t="shared" si="9"/>
        <v>299.88479799999936</v>
      </c>
    </row>
    <row r="30" spans="2:102" ht="21" customHeight="1" x14ac:dyDescent="0.35">
      <c r="B30" s="272" t="s">
        <v>794</v>
      </c>
      <c r="C30" s="267"/>
      <c r="D30" s="721">
        <f t="shared" ref="D30:W30" si="10">D25+D21</f>
        <v>0</v>
      </c>
      <c r="E30" s="639">
        <f t="shared" si="10"/>
        <v>0</v>
      </c>
      <c r="F30" s="639">
        <f t="shared" si="10"/>
        <v>0</v>
      </c>
      <c r="G30" s="639">
        <f t="shared" si="10"/>
        <v>0</v>
      </c>
      <c r="H30" s="639">
        <f t="shared" si="10"/>
        <v>0</v>
      </c>
      <c r="I30" s="639">
        <f t="shared" si="10"/>
        <v>0</v>
      </c>
      <c r="J30" s="639">
        <f t="shared" si="10"/>
        <v>160.9</v>
      </c>
      <c r="K30" s="639">
        <f t="shared" si="10"/>
        <v>58.4</v>
      </c>
      <c r="L30" s="639">
        <f t="shared" si="10"/>
        <v>34.5</v>
      </c>
      <c r="M30" s="639">
        <f t="shared" si="10"/>
        <v>21.4</v>
      </c>
      <c r="N30" s="639">
        <f t="shared" si="10"/>
        <v>13.3</v>
      </c>
      <c r="O30" s="639">
        <f t="shared" si="10"/>
        <v>21.804000000000041</v>
      </c>
      <c r="P30" s="572">
        <f t="shared" si="10"/>
        <v>51.919000000000011</v>
      </c>
      <c r="Q30" s="639">
        <f t="shared" si="10"/>
        <v>46.619</v>
      </c>
      <c r="R30" s="639">
        <f t="shared" si="10"/>
        <v>39.719000000000008</v>
      </c>
      <c r="S30" s="639">
        <f t="shared" si="10"/>
        <v>27.819000000000003</v>
      </c>
      <c r="T30" s="572">
        <f t="shared" si="10"/>
        <v>6.3160000000000007</v>
      </c>
      <c r="U30" s="572">
        <f t="shared" si="10"/>
        <v>1.4159999999999999</v>
      </c>
      <c r="V30" s="572">
        <f t="shared" si="10"/>
        <v>1.4159999999999999</v>
      </c>
      <c r="W30" s="572">
        <f t="shared" si="10"/>
        <v>1.4159999999999999</v>
      </c>
      <c r="X30" s="574">
        <f t="shared" ref="X30:AB30" si="11">X25+X21</f>
        <v>1.4790000000000001</v>
      </c>
      <c r="Y30" s="574">
        <f t="shared" si="11"/>
        <v>1.4790000000000001</v>
      </c>
      <c r="Z30" s="574">
        <f t="shared" si="11"/>
        <v>1.4790000000000001</v>
      </c>
      <c r="AA30" s="574">
        <f t="shared" si="11"/>
        <v>1.4790000000000001</v>
      </c>
      <c r="AB30" s="574">
        <f t="shared" si="11"/>
        <v>1.63</v>
      </c>
      <c r="AC30" s="574">
        <f>AC25+AC21</f>
        <v>1.63</v>
      </c>
      <c r="AD30" s="574">
        <f t="shared" ref="AD30:AE30" si="12">AD25+AD21</f>
        <v>1.63</v>
      </c>
      <c r="AE30" s="574">
        <f t="shared" si="12"/>
        <v>1.63</v>
      </c>
      <c r="AF30" s="574">
        <f>AF25+AF21</f>
        <v>1.671</v>
      </c>
      <c r="AG30" s="574">
        <f>AG25+AG21</f>
        <v>0</v>
      </c>
      <c r="AH30" s="574">
        <f>AH25+AH21</f>
        <v>0</v>
      </c>
      <c r="AI30" s="574">
        <f t="shared" ref="AI30:AJ30" si="13">AI25+AI21</f>
        <v>0</v>
      </c>
      <c r="AJ30" s="574">
        <f t="shared" si="13"/>
        <v>0</v>
      </c>
      <c r="AK30" s="574">
        <f t="shared" ref="AK30:AN30" si="14">AK25+AK21</f>
        <v>0</v>
      </c>
      <c r="AL30" s="574">
        <f t="shared" si="14"/>
        <v>0</v>
      </c>
      <c r="AM30" s="574">
        <f t="shared" si="14"/>
        <v>0</v>
      </c>
      <c r="AN30" s="574">
        <f t="shared" si="14"/>
        <v>0</v>
      </c>
    </row>
    <row r="31" spans="2:102" ht="44.9" customHeight="1" x14ac:dyDescent="0.35">
      <c r="B31" s="433" t="s">
        <v>1179</v>
      </c>
      <c r="D31" s="599"/>
      <c r="E31" s="509"/>
      <c r="F31" s="509"/>
      <c r="G31" s="509"/>
      <c r="H31" s="509"/>
      <c r="I31" s="509"/>
      <c r="J31" s="509"/>
      <c r="K31" s="509"/>
      <c r="L31" s="509"/>
      <c r="M31" s="509"/>
      <c r="N31" s="509"/>
      <c r="O31" s="509"/>
      <c r="P31" s="509"/>
      <c r="Q31" s="509"/>
      <c r="R31" s="509"/>
      <c r="S31" s="677">
        <f>'IRA and CHIPS'!E191</f>
        <v>-0.622</v>
      </c>
      <c r="T31" s="677">
        <f>'IRA and CHIPS'!F191</f>
        <v>21.89</v>
      </c>
      <c r="U31" s="677">
        <f>'IRA and CHIPS'!G191</f>
        <v>21.89</v>
      </c>
      <c r="V31" s="677">
        <f>'IRA and CHIPS'!H191</f>
        <v>21.89</v>
      </c>
      <c r="W31" s="677">
        <f>'IRA and CHIPS'!I191</f>
        <v>21.89</v>
      </c>
      <c r="X31" s="688">
        <f>'IRA and CHIPS'!J191</f>
        <v>15.439</v>
      </c>
      <c r="Y31" s="688">
        <f>'IRA and CHIPS'!K191</f>
        <v>15.439</v>
      </c>
      <c r="Z31" s="688">
        <f>'IRA and CHIPS'!L191</f>
        <v>15.439</v>
      </c>
      <c r="AA31" s="688">
        <f>'IRA and CHIPS'!M191</f>
        <v>15.439</v>
      </c>
      <c r="AB31" s="688">
        <f>'IRA and CHIPS'!N191</f>
        <v>16.966999999999999</v>
      </c>
      <c r="AC31" s="688">
        <f>'IRA and CHIPS'!O191</f>
        <v>16.966999999999999</v>
      </c>
      <c r="AD31" s="688">
        <f>'IRA and CHIPS'!P191</f>
        <v>16.966999999999999</v>
      </c>
      <c r="AE31" s="688">
        <f>'IRA and CHIPS'!Q191</f>
        <v>16.966999999999999</v>
      </c>
      <c r="AF31" s="688">
        <f>'IRA and CHIPS'!R191</f>
        <v>0.72799999999999998</v>
      </c>
      <c r="AG31" s="688">
        <f>'IRA and CHIPS'!S191</f>
        <v>0.72799999999999998</v>
      </c>
      <c r="AH31" s="688">
        <f>0</f>
        <v>0</v>
      </c>
      <c r="AI31" s="688">
        <f>0</f>
        <v>0</v>
      </c>
      <c r="AJ31" s="688">
        <f>0</f>
        <v>0</v>
      </c>
      <c r="AK31" s="688">
        <f>0</f>
        <v>0</v>
      </c>
      <c r="AL31" s="688">
        <f>0</f>
        <v>0</v>
      </c>
      <c r="AM31" s="688">
        <f>0</f>
        <v>0</v>
      </c>
      <c r="AN31" s="688">
        <f>0</f>
        <v>0</v>
      </c>
    </row>
    <row r="32" spans="2:102" ht="44.9" customHeight="1" x14ac:dyDescent="0.35">
      <c r="B32" s="256" t="s">
        <v>801</v>
      </c>
      <c r="C32" s="249"/>
      <c r="D32" s="599">
        <f t="shared" ref="D32:AD32" si="15">D68</f>
        <v>427.0390000000001</v>
      </c>
      <c r="E32" s="509">
        <f t="shared" si="15"/>
        <v>1470.7000000000003</v>
      </c>
      <c r="F32" s="509">
        <f t="shared" si="15"/>
        <v>1475.8999999999996</v>
      </c>
      <c r="G32" s="509">
        <f t="shared" si="15"/>
        <v>1482.6999999999998</v>
      </c>
      <c r="H32" s="509">
        <f t="shared" si="15"/>
        <v>1490.8000000000002</v>
      </c>
      <c r="I32" s="509">
        <f t="shared" si="15"/>
        <v>1542.4</v>
      </c>
      <c r="J32" s="509">
        <f t="shared" si="15"/>
        <v>1549.1000000000001</v>
      </c>
      <c r="K32" s="509">
        <f t="shared" si="15"/>
        <v>1555.8000000000002</v>
      </c>
      <c r="L32" s="509">
        <f t="shared" si="15"/>
        <v>1562.5000000000002</v>
      </c>
      <c r="M32" s="509">
        <f t="shared" si="15"/>
        <v>1586.8430000000003</v>
      </c>
      <c r="N32" s="509">
        <f t="shared" si="15"/>
        <v>1593.5430000000003</v>
      </c>
      <c r="O32" s="509">
        <f t="shared" si="15"/>
        <v>1600.2430000000004</v>
      </c>
      <c r="P32" s="509">
        <f t="shared" si="15"/>
        <v>1606.9430000000004</v>
      </c>
      <c r="Q32" s="509">
        <f t="shared" si="15"/>
        <v>1685.5501200000006</v>
      </c>
      <c r="R32" s="509">
        <f t="shared" si="15"/>
        <v>1692.2501200000006</v>
      </c>
      <c r="S32" s="509">
        <f t="shared" si="15"/>
        <v>1698.9501200000007</v>
      </c>
      <c r="T32" s="509">
        <f t="shared" si="15"/>
        <v>1705.6501200000007</v>
      </c>
      <c r="U32" s="509">
        <f t="shared" si="15"/>
        <v>1818.9789730000007</v>
      </c>
      <c r="V32" s="509">
        <f t="shared" si="15"/>
        <v>1825.6789730000007</v>
      </c>
      <c r="W32" s="509">
        <f t="shared" si="15"/>
        <v>1832.3789730000008</v>
      </c>
      <c r="X32" s="673">
        <f t="shared" si="15"/>
        <v>1839.0789730000008</v>
      </c>
      <c r="Y32" s="673">
        <f t="shared" si="15"/>
        <v>1891.4284770000008</v>
      </c>
      <c r="Z32" s="673">
        <f t="shared" si="15"/>
        <v>1898.1284770000009</v>
      </c>
      <c r="AA32" s="673">
        <f t="shared" si="15"/>
        <v>1904.8284770000009</v>
      </c>
      <c r="AB32" s="673">
        <f>AB68</f>
        <v>1911.528477000001</v>
      </c>
      <c r="AC32" s="673">
        <f>AC68</f>
        <v>1956.4482020000009</v>
      </c>
      <c r="AD32" s="673">
        <f t="shared" si="15"/>
        <v>1963.148202000001</v>
      </c>
      <c r="AE32" s="673">
        <f>AE68</f>
        <v>1969.848202000001</v>
      </c>
      <c r="AF32" s="673">
        <f>AF68</f>
        <v>1976.5482020000011</v>
      </c>
      <c r="AG32" s="673">
        <f>AG68</f>
        <v>2021.9967538580011</v>
      </c>
      <c r="AH32" s="673">
        <f>AH68</f>
        <v>2028.6967538580011</v>
      </c>
      <c r="AI32" s="673">
        <f t="shared" ref="AI32:AJ32" si="16">AI68</f>
        <v>2035.3967538580011</v>
      </c>
      <c r="AJ32" s="673">
        <f t="shared" si="16"/>
        <v>2042.0967538580012</v>
      </c>
      <c r="AK32" s="673">
        <f t="shared" ref="AK32:AN32" si="17">AK68</f>
        <v>2089.864385408735</v>
      </c>
      <c r="AL32" s="673">
        <f t="shared" si="17"/>
        <v>2096.5643854087348</v>
      </c>
      <c r="AM32" s="673">
        <f t="shared" si="17"/>
        <v>2103.2643854087346</v>
      </c>
      <c r="AN32" s="673">
        <f t="shared" si="17"/>
        <v>2109.9643854087344</v>
      </c>
    </row>
    <row r="33" spans="2:40" ht="31.4" customHeight="1" x14ac:dyDescent="0.35">
      <c r="B33" s="588" t="s">
        <v>798</v>
      </c>
      <c r="C33" s="267"/>
      <c r="D33" s="572">
        <f t="shared" ref="D33:AN33" si="18">D32+SUM(D26:D29)+D31</f>
        <v>457.0390000000001</v>
      </c>
      <c r="E33" s="572">
        <f t="shared" si="18"/>
        <v>1500.7000000000003</v>
      </c>
      <c r="F33" s="572">
        <f t="shared" si="18"/>
        <v>1505.8999999999996</v>
      </c>
      <c r="G33" s="572">
        <f t="shared" si="18"/>
        <v>1512.6999999999998</v>
      </c>
      <c r="H33" s="572">
        <f t="shared" si="18"/>
        <v>1520.8000000000002</v>
      </c>
      <c r="I33" s="572">
        <f t="shared" si="18"/>
        <v>1572.4</v>
      </c>
      <c r="J33" s="572">
        <f t="shared" si="18"/>
        <v>1649.3000000000004</v>
      </c>
      <c r="K33" s="572">
        <f t="shared" si="18"/>
        <v>1804.1</v>
      </c>
      <c r="L33" s="572">
        <f t="shared" si="18"/>
        <v>1687.3999999999999</v>
      </c>
      <c r="M33" s="572">
        <f t="shared" si="18"/>
        <v>1744.3000000000004</v>
      </c>
      <c r="N33" s="572">
        <f t="shared" si="18"/>
        <v>1748.4781600000001</v>
      </c>
      <c r="O33" s="572">
        <f t="shared" si="18"/>
        <v>1919.3298399999999</v>
      </c>
      <c r="P33" s="572">
        <f t="shared" si="18"/>
        <v>1899.5239999999999</v>
      </c>
      <c r="Q33" s="572">
        <f t="shared" si="18"/>
        <v>1929.424</v>
      </c>
      <c r="R33" s="572">
        <f t="shared" si="18"/>
        <v>1935.4239999999995</v>
      </c>
      <c r="S33" s="572">
        <f t="shared" si="18"/>
        <v>1929.3240000000001</v>
      </c>
      <c r="T33" s="699">
        <f t="shared" si="18"/>
        <v>2003.6840000000002</v>
      </c>
      <c r="U33" s="699">
        <f t="shared" si="18"/>
        <v>2013.7840000000001</v>
      </c>
      <c r="V33" s="572">
        <f t="shared" si="18"/>
        <v>2002.924</v>
      </c>
      <c r="W33" s="572">
        <f t="shared" si="18"/>
        <v>2013.7240000000002</v>
      </c>
      <c r="X33" s="574">
        <f t="shared" si="18"/>
        <v>2019.2990000000002</v>
      </c>
      <c r="Y33" s="574">
        <f t="shared" si="18"/>
        <v>2111.2989999999995</v>
      </c>
      <c r="Z33" s="574">
        <f t="shared" si="18"/>
        <v>2135.3989999999999</v>
      </c>
      <c r="AA33" s="574">
        <f t="shared" si="18"/>
        <v>2152.1989999999996</v>
      </c>
      <c r="AB33" s="574">
        <f t="shared" si="18"/>
        <v>2169.998</v>
      </c>
      <c r="AC33" s="574">
        <f t="shared" si="18"/>
        <v>2262.2980000000002</v>
      </c>
      <c r="AD33" s="574">
        <f t="shared" si="18"/>
        <v>2352.0980000000004</v>
      </c>
      <c r="AE33" s="574">
        <f t="shared" si="18"/>
        <v>2358.7980000000007</v>
      </c>
      <c r="AF33" s="574">
        <f t="shared" si="18"/>
        <v>2341.2980000000007</v>
      </c>
      <c r="AG33" s="574">
        <f t="shared" si="18"/>
        <v>2386.7465518580007</v>
      </c>
      <c r="AH33" s="574">
        <f t="shared" si="18"/>
        <v>2392.7185518580004</v>
      </c>
      <c r="AI33" s="574">
        <f t="shared" si="18"/>
        <v>2400.4185518580007</v>
      </c>
      <c r="AJ33" s="574">
        <f t="shared" si="18"/>
        <v>2399.9635518580008</v>
      </c>
      <c r="AK33" s="574">
        <f t="shared" si="18"/>
        <v>2448.7311834087345</v>
      </c>
      <c r="AL33" s="574">
        <f t="shared" si="18"/>
        <v>2456.4311834087343</v>
      </c>
      <c r="AM33" s="574">
        <f t="shared" si="18"/>
        <v>2464.1311834087342</v>
      </c>
      <c r="AN33" s="574">
        <f t="shared" si="18"/>
        <v>2450.186183408734</v>
      </c>
    </row>
    <row r="34" spans="2:40" ht="31.4" customHeight="1" x14ac:dyDescent="0.35">
      <c r="B34" s="588"/>
      <c r="C34" s="267"/>
      <c r="D34" s="572">
        <f t="shared" ref="D34:P34" si="19">D29+D32</f>
        <v>427.0390000000001</v>
      </c>
      <c r="E34" s="572">
        <f t="shared" si="19"/>
        <v>1470.7000000000003</v>
      </c>
      <c r="F34" s="572">
        <f t="shared" si="19"/>
        <v>1475.8999999999996</v>
      </c>
      <c r="G34" s="572">
        <f t="shared" si="19"/>
        <v>1482.6999999999998</v>
      </c>
      <c r="H34" s="572">
        <f t="shared" si="19"/>
        <v>1490.8000000000002</v>
      </c>
      <c r="I34" s="572">
        <f t="shared" si="19"/>
        <v>1535.4880000000001</v>
      </c>
      <c r="J34" s="572">
        <f t="shared" si="19"/>
        <v>1511.1450000000004</v>
      </c>
      <c r="K34" s="572">
        <f t="shared" si="19"/>
        <v>1641.5259999999998</v>
      </c>
      <c r="L34" s="572">
        <f t="shared" si="19"/>
        <v>1580.9059999999999</v>
      </c>
      <c r="M34" s="572">
        <f t="shared" si="19"/>
        <v>1607.1250000000005</v>
      </c>
      <c r="N34" s="572">
        <f t="shared" si="19"/>
        <v>1584.94416</v>
      </c>
      <c r="O34" s="572">
        <f t="shared" si="19"/>
        <v>1587.7055066666669</v>
      </c>
      <c r="P34" s="572">
        <f t="shared" si="19"/>
        <v>1574.5626666666669</v>
      </c>
      <c r="Q34" s="572">
        <f>Q29+Q32</f>
        <v>1758.2850000000001</v>
      </c>
      <c r="R34" s="572">
        <f t="shared" ref="R34:AN34" si="20">R29+R32</f>
        <v>1767.4869999999996</v>
      </c>
      <c r="S34" s="572">
        <f t="shared" si="20"/>
        <v>1764.9970000000001</v>
      </c>
      <c r="T34" s="572">
        <f t="shared" si="20"/>
        <v>1795.7760000000001</v>
      </c>
      <c r="U34" s="572">
        <f t="shared" si="20"/>
        <v>1874.1980000000001</v>
      </c>
      <c r="V34" s="572">
        <f t="shared" si="20"/>
        <v>1895.0549999999998</v>
      </c>
      <c r="W34" s="572">
        <f t="shared" si="20"/>
        <v>1906.25</v>
      </c>
      <c r="X34" s="572">
        <f t="shared" si="20"/>
        <v>1931.0820000000001</v>
      </c>
      <c r="Y34" s="572">
        <f t="shared" si="20"/>
        <v>2024.5639999999999</v>
      </c>
      <c r="Z34" s="572">
        <f t="shared" si="20"/>
        <v>2044.5519999999999</v>
      </c>
      <c r="AA34" s="572">
        <f t="shared" si="20"/>
        <v>2054.6819999999998</v>
      </c>
      <c r="AB34" s="572">
        <f t="shared" si="20"/>
        <v>2075.2269999999999</v>
      </c>
      <c r="AC34" s="572">
        <f t="shared" si="20"/>
        <v>2170.777</v>
      </c>
      <c r="AD34" s="572">
        <f t="shared" si="20"/>
        <v>2263.0330000000004</v>
      </c>
      <c r="AE34" s="572">
        <f t="shared" si="20"/>
        <v>2269.7330000000002</v>
      </c>
      <c r="AF34" s="572">
        <f t="shared" si="20"/>
        <v>2276.4330000000004</v>
      </c>
      <c r="AG34" s="572">
        <f t="shared" si="20"/>
        <v>2321.8815518580004</v>
      </c>
      <c r="AH34" s="572">
        <f t="shared" si="20"/>
        <v>2328.5815518580002</v>
      </c>
      <c r="AI34" s="572">
        <f t="shared" si="20"/>
        <v>2335.2815518580005</v>
      </c>
      <c r="AJ34" s="572">
        <f t="shared" si="20"/>
        <v>2341.9815518580008</v>
      </c>
      <c r="AK34" s="572">
        <f t="shared" si="20"/>
        <v>2389.7491834087341</v>
      </c>
      <c r="AL34" s="572">
        <f t="shared" si="20"/>
        <v>2396.4491834087339</v>
      </c>
      <c r="AM34" s="572">
        <f t="shared" si="20"/>
        <v>2403.1491834087337</v>
      </c>
      <c r="AN34" s="572">
        <f t="shared" si="20"/>
        <v>2409.8491834087336</v>
      </c>
    </row>
    <row r="35" spans="2:40" ht="31.4" customHeight="1" x14ac:dyDescent="0.35">
      <c r="B35" s="588"/>
      <c r="C35" s="267"/>
      <c r="D35" s="572"/>
      <c r="E35" s="572"/>
      <c r="F35" s="572"/>
      <c r="G35" s="572"/>
      <c r="H35" s="572"/>
      <c r="I35" s="572"/>
      <c r="J35" s="572"/>
      <c r="K35" s="572"/>
      <c r="L35" s="572"/>
      <c r="M35" s="572"/>
      <c r="N35" s="572"/>
      <c r="O35" s="572"/>
      <c r="P35" s="572"/>
      <c r="Q35" s="572"/>
      <c r="R35" s="572"/>
      <c r="S35" s="572"/>
      <c r="T35" s="572"/>
      <c r="U35" s="572"/>
      <c r="V35" s="572"/>
      <c r="W35" s="572"/>
      <c r="X35" s="574"/>
      <c r="Y35" s="574"/>
      <c r="Z35" s="574"/>
      <c r="AA35" s="574"/>
      <c r="AB35" s="574"/>
      <c r="AC35" s="574"/>
      <c r="AD35" s="574"/>
      <c r="AE35" s="574"/>
      <c r="AF35" s="574"/>
      <c r="AG35" s="574"/>
      <c r="AH35" s="574"/>
      <c r="AI35" s="574"/>
      <c r="AJ35" s="574"/>
      <c r="AK35" s="574"/>
      <c r="AL35" s="574"/>
      <c r="AM35" s="574"/>
      <c r="AN35" s="574"/>
    </row>
    <row r="36" spans="2:40" ht="31.4" customHeight="1" x14ac:dyDescent="0.35">
      <c r="B36" s="1410" t="s">
        <v>471</v>
      </c>
      <c r="C36" s="1411"/>
      <c r="D36" s="584"/>
      <c r="E36" s="585"/>
      <c r="F36" s="585"/>
      <c r="G36" s="585"/>
      <c r="H36" s="585"/>
      <c r="I36" s="585"/>
      <c r="J36" s="585"/>
      <c r="K36" s="585"/>
      <c r="L36" s="585"/>
      <c r="M36" s="585"/>
      <c r="N36" s="585"/>
      <c r="O36" s="585"/>
      <c r="P36" s="585"/>
      <c r="Q36" s="585"/>
      <c r="R36" s="585"/>
      <c r="S36" s="585"/>
      <c r="T36" s="572"/>
      <c r="U36" s="585"/>
      <c r="V36" s="572"/>
      <c r="W36" s="572"/>
      <c r="X36" s="574"/>
      <c r="Y36" s="574"/>
      <c r="Z36" s="574"/>
      <c r="AA36" s="574"/>
      <c r="AB36" s="574"/>
      <c r="AC36" s="574"/>
      <c r="AD36" s="574"/>
      <c r="AE36" s="574"/>
      <c r="AF36" s="574"/>
      <c r="AG36" s="574"/>
      <c r="AH36" s="574"/>
      <c r="AI36" s="574"/>
      <c r="AJ36" s="574"/>
      <c r="AK36" s="574"/>
      <c r="AL36" s="574"/>
      <c r="AM36" s="574"/>
      <c r="AN36" s="574"/>
    </row>
    <row r="37" spans="2:40" x14ac:dyDescent="0.35">
      <c r="B37" s="291" t="s">
        <v>803</v>
      </c>
      <c r="C37" s="249" t="s">
        <v>472</v>
      </c>
      <c r="D37" s="276">
        <f>'Haver Pivoted'!GO37</f>
        <v>733.6</v>
      </c>
      <c r="E37" s="233">
        <f>'Haver Pivoted'!GP37</f>
        <v>744.3</v>
      </c>
      <c r="F37" s="233">
        <f>'Haver Pivoted'!GQ37</f>
        <v>762.3</v>
      </c>
      <c r="G37" s="233">
        <f>'Haver Pivoted'!GR37</f>
        <v>772.2</v>
      </c>
      <c r="H37" s="233">
        <f>'Haver Pivoted'!GS37</f>
        <v>772.1</v>
      </c>
      <c r="I37" s="233">
        <f>'Haver Pivoted'!GT37</f>
        <v>760.8</v>
      </c>
      <c r="J37" s="233">
        <f>'Haver Pivoted'!GU37</f>
        <v>811.3</v>
      </c>
      <c r="K37" s="233">
        <f>'Haver Pivoted'!GV37</f>
        <v>850.3</v>
      </c>
      <c r="L37" s="233">
        <f>'Haver Pivoted'!GW37</f>
        <v>840.3</v>
      </c>
      <c r="M37" s="233">
        <f>'Haver Pivoted'!GX37</f>
        <v>869.7</v>
      </c>
      <c r="N37" s="233">
        <f>'Haver Pivoted'!GY37</f>
        <v>913.8</v>
      </c>
      <c r="O37" s="233">
        <f>'Haver Pivoted'!GZ37</f>
        <v>923.8</v>
      </c>
      <c r="P37" s="233">
        <f>'Haver Pivoted'!HA37</f>
        <v>923.5</v>
      </c>
      <c r="Q37" s="233">
        <f>'Haver Pivoted'!HB37</f>
        <v>973.6</v>
      </c>
      <c r="R37" s="233">
        <f>'Haver Pivoted'!HC37</f>
        <v>1010.5</v>
      </c>
      <c r="S37" s="214">
        <f>'Haver Pivoted'!HD37</f>
        <v>1032.5999999999999</v>
      </c>
      <c r="T37" s="214">
        <f>'Haver Pivoted'!HE37</f>
        <v>1096.5999999999999</v>
      </c>
      <c r="U37" s="214">
        <f>'Haver Pivoted'!HF37</f>
        <v>1083.2</v>
      </c>
      <c r="V37" s="676">
        <f>'Haver Pivoted'!HG37</f>
        <v>1111.0999999999999</v>
      </c>
      <c r="W37" s="676">
        <f>'Haver Pivoted'!HH37</f>
        <v>1069.4000000000001</v>
      </c>
      <c r="X37" s="676">
        <f>'Haver Pivoted'!HI37</f>
        <v>1061</v>
      </c>
      <c r="Y37" s="676">
        <f>'Haver Pivoted'!HJ37</f>
        <v>1113.5</v>
      </c>
      <c r="Z37" s="676">
        <f>'Haver Pivoted'!HK37</f>
        <v>1136.9000000000001</v>
      </c>
      <c r="AA37" s="676">
        <f>'Haver Pivoted'!HL37</f>
        <v>1154</v>
      </c>
      <c r="AB37" s="676">
        <f>'Haver Pivoted'!HM37</f>
        <v>1162.5</v>
      </c>
      <c r="AC37" s="676">
        <f>'Haver Pivoted'!HN37</f>
        <v>1176.2</v>
      </c>
      <c r="AD37" s="676">
        <f>'Haver Pivoted'!HO37</f>
        <v>1202</v>
      </c>
      <c r="AE37" s="294"/>
      <c r="AF37" s="294"/>
      <c r="AG37" s="294"/>
      <c r="AH37" s="294"/>
      <c r="AI37" s="294"/>
      <c r="AJ37" s="294"/>
      <c r="AK37" s="294"/>
      <c r="AL37" s="294"/>
      <c r="AM37" s="294"/>
      <c r="AN37" s="294"/>
    </row>
    <row r="38" spans="2:40" x14ac:dyDescent="0.35">
      <c r="B38" s="571" t="s">
        <v>209</v>
      </c>
      <c r="C38" s="249"/>
      <c r="D38" s="599">
        <f>Medicaid!D26</f>
        <v>589.5</v>
      </c>
      <c r="E38" s="509">
        <f>Medicaid!E26</f>
        <v>598.70000000000005</v>
      </c>
      <c r="F38" s="509">
        <f>Medicaid!F26</f>
        <v>614.4</v>
      </c>
      <c r="G38" s="509">
        <f>Medicaid!G26</f>
        <v>622.4</v>
      </c>
      <c r="H38" s="509">
        <f>Medicaid!H26</f>
        <v>620.6</v>
      </c>
      <c r="I38" s="509">
        <f>Medicaid!I26</f>
        <v>606.5</v>
      </c>
      <c r="J38" s="509">
        <f>Medicaid!J26</f>
        <v>654.6</v>
      </c>
      <c r="K38" s="509">
        <f>Medicaid!K26</f>
        <v>690.8</v>
      </c>
      <c r="L38" s="509">
        <f>Medicaid!L26</f>
        <v>678.6</v>
      </c>
      <c r="M38" s="509">
        <f>Medicaid!M26</f>
        <v>704.9</v>
      </c>
      <c r="N38" s="509">
        <f>Medicaid!N26</f>
        <v>745.6</v>
      </c>
      <c r="O38" s="509">
        <f>Medicaid!O26</f>
        <v>749.2</v>
      </c>
      <c r="P38" s="509">
        <f>Medicaid!P26</f>
        <v>746.3</v>
      </c>
      <c r="Q38" s="509">
        <f>Medicaid!Q26</f>
        <v>791.9</v>
      </c>
      <c r="R38" s="509">
        <f>Medicaid!R26</f>
        <v>819.2</v>
      </c>
      <c r="S38" s="214">
        <f>Medicaid!S26</f>
        <v>819</v>
      </c>
      <c r="T38" s="509">
        <f>Medicaid!T26</f>
        <v>827.5</v>
      </c>
      <c r="U38" s="509">
        <f>Medicaid!U26</f>
        <v>877.6</v>
      </c>
      <c r="V38" s="509">
        <f>Medicaid!V26</f>
        <v>911.6</v>
      </c>
      <c r="W38" s="509">
        <f>Medicaid!W26</f>
        <v>867.2</v>
      </c>
      <c r="X38" s="673">
        <f>Medicaid!X26</f>
        <v>856.2</v>
      </c>
      <c r="Y38" s="673">
        <f>Medicaid!Y26</f>
        <v>904.8</v>
      </c>
      <c r="Z38" s="673">
        <f>Medicaid!Z26</f>
        <v>924.7</v>
      </c>
      <c r="AA38" s="673">
        <f>Medicaid!AA26</f>
        <v>932.4</v>
      </c>
      <c r="AB38" s="673">
        <f>Medicaid!AB26</f>
        <v>944.8</v>
      </c>
      <c r="AC38" s="673">
        <f>Medicaid!AC26</f>
        <v>957.6</v>
      </c>
      <c r="AD38" s="673">
        <f>Medicaid!AD26</f>
        <v>983.1</v>
      </c>
      <c r="AE38" s="673">
        <f>Medicaid!AE26</f>
        <v>999.95898678189383</v>
      </c>
      <c r="AF38" s="673">
        <f>Medicaid!AF26</f>
        <v>1014.1688795114242</v>
      </c>
      <c r="AG38" s="673">
        <f>Medicaid!AG26</f>
        <v>1028.6263410455106</v>
      </c>
      <c r="AH38" s="673">
        <f>Medicaid!AH26</f>
        <v>1043.2899005956497</v>
      </c>
      <c r="AI38" s="673">
        <f>Medicaid!AI26</f>
        <v>1058.1624961874497</v>
      </c>
      <c r="AJ38" s="673">
        <f>Medicaid!AJ26</f>
        <v>1055.5046787071888</v>
      </c>
      <c r="AK38" s="673">
        <f>Medicaid!AK26</f>
        <v>1071.2571955433457</v>
      </c>
      <c r="AL38" s="673">
        <f>Medicaid!AL26</f>
        <v>1087.2448054034173</v>
      </c>
      <c r="AM38" s="673">
        <f>Medicaid!AM26</f>
        <v>1103.4710168524455</v>
      </c>
      <c r="AN38" s="673" t="e">
        <f>Medicaid!AN26</f>
        <v>#DIV/0!</v>
      </c>
    </row>
    <row r="39" spans="2:40" ht="14.9" customHeight="1" x14ac:dyDescent="0.35">
      <c r="B39" s="588" t="s">
        <v>804</v>
      </c>
      <c r="C39" s="267"/>
      <c r="D39" s="598">
        <f>D37-D38</f>
        <v>144.10000000000002</v>
      </c>
      <c r="E39" s="572">
        <f t="shared" ref="E39:O39" si="21">E37-E38</f>
        <v>145.59999999999991</v>
      </c>
      <c r="F39" s="572">
        <f t="shared" si="21"/>
        <v>147.89999999999998</v>
      </c>
      <c r="G39" s="572">
        <f>G37-G38</f>
        <v>149.80000000000007</v>
      </c>
      <c r="H39" s="572">
        <f t="shared" si="21"/>
        <v>151.5</v>
      </c>
      <c r="I39" s="572">
        <f t="shared" si="21"/>
        <v>154.29999999999995</v>
      </c>
      <c r="J39" s="572">
        <f t="shared" si="21"/>
        <v>156.69999999999993</v>
      </c>
      <c r="K39" s="572">
        <f t="shared" si="21"/>
        <v>159.5</v>
      </c>
      <c r="L39" s="572">
        <f t="shared" si="21"/>
        <v>161.69999999999993</v>
      </c>
      <c r="M39" s="572">
        <f t="shared" si="21"/>
        <v>164.80000000000007</v>
      </c>
      <c r="N39" s="572">
        <f t="shared" si="21"/>
        <v>168.19999999999993</v>
      </c>
      <c r="O39" s="572">
        <f t="shared" si="21"/>
        <v>174.59999999999991</v>
      </c>
      <c r="P39" s="572">
        <f>P37-P38</f>
        <v>177.20000000000005</v>
      </c>
      <c r="Q39" s="572">
        <f>Q37-Q38</f>
        <v>181.70000000000005</v>
      </c>
      <c r="R39" s="572">
        <f>R37-R38</f>
        <v>191.29999999999995</v>
      </c>
      <c r="S39" s="214">
        <f>S37-S38</f>
        <v>213.59999999999991</v>
      </c>
      <c r="T39" s="214">
        <f>T37-T38</f>
        <v>269.09999999999991</v>
      </c>
      <c r="U39" s="572">
        <f>T39*(1+AVERAGE($F$41:$I$41))+U40</f>
        <v>203.03380700109631</v>
      </c>
      <c r="V39" s="572">
        <f>U39*(1+AVERAGE($F$41:$I$41))+V40</f>
        <v>206.0018330562437</v>
      </c>
      <c r="W39" s="572">
        <f t="shared" ref="W39:AA39" si="22">V39*(1+AVERAGE($F$41:$I$41))</f>
        <v>209.01324685451698</v>
      </c>
      <c r="X39" s="574">
        <f>W39*(1+AVERAGE($F$41:$I$41))</f>
        <v>212.06868265458453</v>
      </c>
      <c r="Y39" s="574">
        <f t="shared" si="22"/>
        <v>215.16878398695127</v>
      </c>
      <c r="Z39" s="574">
        <f t="shared" si="22"/>
        <v>218.31420378949775</v>
      </c>
      <c r="AA39" s="574">
        <f t="shared" si="22"/>
        <v>221.50560454500092</v>
      </c>
      <c r="AB39" s="574">
        <f>AA39*(1+AVERAGE($F$41:$I$41))</f>
        <v>224.74365842066501</v>
      </c>
      <c r="AC39" s="574">
        <f>AB39*(1+AVERAGE($F$41:$I$41))</f>
        <v>228.02904740969223</v>
      </c>
      <c r="AD39" s="574">
        <f>AC39*(1+AVERAGE($F$41:$I$41))</f>
        <v>231.36246347492295</v>
      </c>
      <c r="AE39" s="574">
        <f>AD39*(1+AVERAGE($F$41:$I$41))</f>
        <v>234.7446086945757</v>
      </c>
      <c r="AF39" s="574">
        <f t="shared" ref="AF39:AH39" si="23">AE39*(1+AVERAGE($F$41:$I$41))</f>
        <v>238.17619541011769</v>
      </c>
      <c r="AG39" s="574">
        <f>AF39*(1+AVERAGE($F$41:$I$41))</f>
        <v>241.65794637629688</v>
      </c>
      <c r="AH39" s="574">
        <f t="shared" si="23"/>
        <v>245.19059491336728</v>
      </c>
      <c r="AI39" s="574">
        <f t="shared" ref="AI39" si="24">AH39*(1+AVERAGE($F$41:$I$41))</f>
        <v>248.77488506153966</v>
      </c>
      <c r="AJ39" s="574">
        <f>AI39*(1+AVERAGE($F$41:$I$41))</f>
        <v>252.41157173768991</v>
      </c>
      <c r="AK39" s="574">
        <f t="shared" ref="AK39:AN39" si="25">AJ39*(1+AVERAGE($F$41:$I$41))</f>
        <v>256.10142089435828</v>
      </c>
      <c r="AL39" s="574">
        <f t="shared" si="25"/>
        <v>259.84520968107307</v>
      </c>
      <c r="AM39" s="574">
        <f t="shared" si="25"/>
        <v>263.64372660803241</v>
      </c>
      <c r="AN39" s="574">
        <f t="shared" si="25"/>
        <v>267.49777171217886</v>
      </c>
    </row>
    <row r="40" spans="2:40" ht="14.9" customHeight="1" x14ac:dyDescent="0.35">
      <c r="B40" s="588" t="s">
        <v>1688</v>
      </c>
      <c r="C40" s="267"/>
      <c r="D40" s="598"/>
      <c r="E40" s="572"/>
      <c r="F40" s="572"/>
      <c r="G40" s="572"/>
      <c r="H40" s="572"/>
      <c r="I40" s="572"/>
      <c r="J40" s="572"/>
      <c r="K40" s="572"/>
      <c r="L40" s="572"/>
      <c r="M40" s="572"/>
      <c r="N40" s="572"/>
      <c r="O40" s="572"/>
      <c r="P40" s="572"/>
      <c r="Q40" s="572"/>
      <c r="R40" s="572"/>
      <c r="S40" s="214"/>
      <c r="T40" s="572"/>
      <c r="U40" s="572">
        <v>-70</v>
      </c>
      <c r="V40" s="572"/>
      <c r="W40" s="572"/>
      <c r="X40" s="574"/>
      <c r="Y40" s="574"/>
      <c r="Z40" s="574"/>
      <c r="AA40" s="574"/>
      <c r="AB40" s="574"/>
      <c r="AC40" s="574"/>
      <c r="AD40" s="574"/>
      <c r="AE40" s="574"/>
      <c r="AF40" s="574"/>
      <c r="AG40" s="574"/>
      <c r="AH40" s="574"/>
      <c r="AI40" s="574"/>
      <c r="AJ40" s="574"/>
      <c r="AK40" s="574"/>
      <c r="AL40" s="574"/>
      <c r="AM40" s="574"/>
      <c r="AN40" s="574"/>
    </row>
    <row r="41" spans="2:40" x14ac:dyDescent="0.35">
      <c r="B41" s="718" t="s">
        <v>805</v>
      </c>
      <c r="C41" s="370"/>
      <c r="D41" s="600"/>
      <c r="E41" s="587">
        <f>E39/D39-1</f>
        <v>1.0409437890353201E-2</v>
      </c>
      <c r="F41" s="587">
        <f t="shared" ref="F41:N41" si="26">F39/E39-1</f>
        <v>1.5796703296703685E-2</v>
      </c>
      <c r="G41" s="587">
        <f>G39/F39-1</f>
        <v>1.2846517917512346E-2</v>
      </c>
      <c r="H41" s="587">
        <f t="shared" si="26"/>
        <v>1.1348464619492127E-2</v>
      </c>
      <c r="I41" s="587">
        <f t="shared" si="26"/>
        <v>1.8481848184818128E-2</v>
      </c>
      <c r="J41" s="587">
        <f t="shared" si="26"/>
        <v>1.5554115359688758E-2</v>
      </c>
      <c r="K41" s="587">
        <f t="shared" si="26"/>
        <v>1.7868538608807105E-2</v>
      </c>
      <c r="L41" s="587">
        <f t="shared" si="26"/>
        <v>1.3793103448275446E-2</v>
      </c>
      <c r="M41" s="587">
        <f t="shared" si="26"/>
        <v>1.9171304885591489E-2</v>
      </c>
      <c r="N41" s="587">
        <f t="shared" si="26"/>
        <v>2.0631067961164318E-2</v>
      </c>
      <c r="O41" s="587">
        <f>O39/N39-1</f>
        <v>3.8049940546967864E-2</v>
      </c>
      <c r="P41" s="587">
        <f t="shared" ref="P41:S41" si="27">P39/O39-1</f>
        <v>1.4891179839634283E-2</v>
      </c>
      <c r="Q41" s="587">
        <f t="shared" si="27"/>
        <v>2.5395033860045046E-2</v>
      </c>
      <c r="R41" s="587">
        <f t="shared" si="27"/>
        <v>5.2834342322509054E-2</v>
      </c>
      <c r="S41" s="658">
        <f t="shared" si="27"/>
        <v>0.11657083115525335</v>
      </c>
      <c r="T41" s="573"/>
      <c r="U41" s="573"/>
      <c r="V41" s="573"/>
      <c r="W41" s="573"/>
      <c r="X41" s="595"/>
      <c r="Y41" s="595"/>
      <c r="Z41" s="595"/>
      <c r="AA41" s="595"/>
      <c r="AB41" s="595"/>
      <c r="AC41" s="595"/>
      <c r="AD41" s="595"/>
      <c r="AE41" s="595"/>
      <c r="AF41" s="595"/>
      <c r="AG41" s="595"/>
      <c r="AH41" s="595"/>
      <c r="AI41" s="595"/>
      <c r="AJ41" s="595"/>
      <c r="AK41" s="595"/>
      <c r="AL41" s="595"/>
      <c r="AM41" s="595"/>
      <c r="AN41" s="595"/>
    </row>
    <row r="45" spans="2:40" x14ac:dyDescent="0.35">
      <c r="P45" s="499"/>
      <c r="Q45" s="499"/>
    </row>
    <row r="46" spans="2:40" x14ac:dyDescent="0.35">
      <c r="B46" s="529" t="s">
        <v>351</v>
      </c>
      <c r="D46" s="509"/>
      <c r="E46" s="509"/>
      <c r="F46" s="509"/>
      <c r="G46" s="509"/>
      <c r="H46" s="509"/>
      <c r="I46" s="509"/>
      <c r="J46" s="509"/>
      <c r="K46" s="509"/>
      <c r="L46" s="509"/>
      <c r="M46" s="509"/>
      <c r="N46" s="509"/>
      <c r="O46" s="509"/>
      <c r="P46" s="509"/>
      <c r="Q46" s="509"/>
      <c r="R46" s="509"/>
      <c r="S46" s="509"/>
      <c r="T46" s="509"/>
      <c r="U46" s="509"/>
      <c r="V46" s="509"/>
      <c r="W46" s="509"/>
      <c r="X46" s="509"/>
      <c r="Y46" s="509"/>
      <c r="Z46" s="509"/>
      <c r="AA46" s="509"/>
      <c r="AB46" s="509"/>
      <c r="AC46" s="509"/>
    </row>
    <row r="47" spans="2:40" ht="45.75" customHeight="1" x14ac:dyDescent="0.35">
      <c r="B47" s="1412" t="s">
        <v>475</v>
      </c>
      <c r="C47" s="1412"/>
      <c r="D47" s="1360"/>
      <c r="E47" s="1360"/>
      <c r="F47" s="1360"/>
      <c r="G47" s="1360"/>
      <c r="H47" s="1360"/>
      <c r="I47" s="1360"/>
      <c r="J47" s="1360"/>
      <c r="K47" s="1360"/>
      <c r="L47" s="1360"/>
      <c r="M47" s="1360"/>
      <c r="N47" s="1360"/>
      <c r="O47" s="1360"/>
      <c r="P47" s="1360"/>
      <c r="Q47" s="1360"/>
      <c r="R47" s="1360"/>
      <c r="S47" s="1360"/>
      <c r="T47" s="1360"/>
      <c r="U47" s="1360"/>
      <c r="V47" s="1360"/>
      <c r="W47" s="1360"/>
      <c r="X47" s="1360"/>
      <c r="Y47" s="1360"/>
      <c r="Z47" s="1360"/>
      <c r="AA47" s="1360"/>
      <c r="AB47" s="1360"/>
      <c r="AC47" s="1360"/>
    </row>
    <row r="48" spans="2:40" ht="14.9" customHeight="1" x14ac:dyDescent="0.35">
      <c r="B48" s="1325" t="s">
        <v>476</v>
      </c>
      <c r="C48" s="1326"/>
      <c r="D48" s="1333" t="s">
        <v>279</v>
      </c>
      <c r="E48" s="1333"/>
      <c r="F48" s="1333"/>
      <c r="G48" s="1333"/>
      <c r="H48" s="1333"/>
      <c r="I48" s="1333"/>
      <c r="J48" s="1333"/>
      <c r="K48" s="1333"/>
      <c r="L48" s="1333"/>
      <c r="M48" s="1333"/>
      <c r="N48" s="1333"/>
      <c r="O48" s="1333"/>
      <c r="P48" s="1333"/>
      <c r="Q48" s="1333"/>
      <c r="R48" s="1333"/>
      <c r="S48" s="1333"/>
      <c r="T48" s="1333"/>
      <c r="U48" s="1333"/>
      <c r="V48" s="1333"/>
      <c r="W48" s="1333"/>
      <c r="X48" s="1333"/>
      <c r="Y48" s="1333"/>
      <c r="Z48" s="1333"/>
      <c r="AA48" s="1333"/>
      <c r="AB48" s="1333"/>
      <c r="AC48" s="1350" t="s">
        <v>280</v>
      </c>
      <c r="AD48" s="1331"/>
      <c r="AE48" s="1331"/>
      <c r="AF48" s="1331"/>
      <c r="AG48" s="1331"/>
      <c r="AH48" s="1331"/>
      <c r="AI48" s="1331"/>
      <c r="AJ48" s="1331"/>
      <c r="AK48" s="1331"/>
      <c r="AL48" s="1331"/>
      <c r="AM48" s="1331"/>
      <c r="AN48" s="1332"/>
    </row>
    <row r="49" spans="2:40" x14ac:dyDescent="0.35">
      <c r="B49" s="1325"/>
      <c r="C49" s="1326"/>
      <c r="D49" s="296">
        <v>2018</v>
      </c>
      <c r="E49" s="1342">
        <v>2019</v>
      </c>
      <c r="F49" s="1343"/>
      <c r="G49" s="1343"/>
      <c r="H49" s="1344"/>
      <c r="I49" s="1342">
        <v>2020</v>
      </c>
      <c r="J49" s="1343"/>
      <c r="K49" s="1343"/>
      <c r="L49" s="1343"/>
      <c r="M49" s="1342">
        <v>2021</v>
      </c>
      <c r="N49" s="1343"/>
      <c r="O49" s="1343"/>
      <c r="P49" s="1343"/>
      <c r="Q49" s="1342">
        <v>2022</v>
      </c>
      <c r="R49" s="1354"/>
      <c r="S49" s="1354"/>
      <c r="T49" s="1344"/>
      <c r="U49" s="302"/>
      <c r="V49" s="442">
        <v>2023</v>
      </c>
      <c r="W49" s="442"/>
      <c r="X49" s="309"/>
      <c r="Y49" s="460"/>
      <c r="Z49" s="442">
        <v>2024</v>
      </c>
      <c r="AA49" s="442"/>
      <c r="AB49" s="309"/>
      <c r="AC49" s="1329">
        <v>2025</v>
      </c>
      <c r="AD49" s="1335"/>
      <c r="AE49" s="1335"/>
      <c r="AF49" s="1334"/>
      <c r="AG49" s="1329">
        <v>2026</v>
      </c>
      <c r="AH49" s="1335"/>
      <c r="AI49" s="1335"/>
      <c r="AJ49" s="1334"/>
      <c r="AK49" s="1329">
        <v>2027</v>
      </c>
      <c r="AL49" s="1335"/>
      <c r="AM49" s="1335"/>
      <c r="AN49" s="1334"/>
    </row>
    <row r="50" spans="2:40" x14ac:dyDescent="0.35">
      <c r="B50" s="1327"/>
      <c r="C50" s="1328"/>
      <c r="D50" s="225" t="s">
        <v>281</v>
      </c>
      <c r="E50" s="225" t="s">
        <v>282</v>
      </c>
      <c r="F50" s="226" t="s">
        <v>283</v>
      </c>
      <c r="G50" s="226" t="s">
        <v>238</v>
      </c>
      <c r="H50" s="232" t="s">
        <v>281</v>
      </c>
      <c r="I50" s="226" t="s">
        <v>282</v>
      </c>
      <c r="J50" s="226" t="s">
        <v>283</v>
      </c>
      <c r="K50" s="226" t="s">
        <v>238</v>
      </c>
      <c r="L50" s="226" t="s">
        <v>281</v>
      </c>
      <c r="M50" s="225" t="s">
        <v>282</v>
      </c>
      <c r="N50" s="226" t="s">
        <v>283</v>
      </c>
      <c r="O50" s="226" t="s">
        <v>238</v>
      </c>
      <c r="P50" s="226" t="s">
        <v>281</v>
      </c>
      <c r="Q50" s="225" t="s">
        <v>282</v>
      </c>
      <c r="R50" s="226" t="s">
        <v>283</v>
      </c>
      <c r="S50" s="226" t="s">
        <v>238</v>
      </c>
      <c r="T50" s="232" t="s">
        <v>281</v>
      </c>
      <c r="U50" s="226" t="s">
        <v>282</v>
      </c>
      <c r="V50" s="287" t="s">
        <v>283</v>
      </c>
      <c r="W50" s="287" t="s">
        <v>238</v>
      </c>
      <c r="X50" s="285" t="s">
        <v>281</v>
      </c>
      <c r="Y50" s="286" t="s">
        <v>282</v>
      </c>
      <c r="Z50" s="292" t="s">
        <v>283</v>
      </c>
      <c r="AA50" s="287" t="s">
        <v>238</v>
      </c>
      <c r="AB50" s="287" t="s">
        <v>281</v>
      </c>
      <c r="AC50" s="286" t="s">
        <v>282</v>
      </c>
      <c r="AD50" s="292" t="s">
        <v>283</v>
      </c>
      <c r="AE50" s="273" t="s">
        <v>238</v>
      </c>
      <c r="AF50" s="273" t="s">
        <v>281</v>
      </c>
      <c r="AG50" s="299" t="s">
        <v>282</v>
      </c>
      <c r="AH50" s="271" t="s">
        <v>283</v>
      </c>
      <c r="AI50" s="273" t="s">
        <v>238</v>
      </c>
      <c r="AJ50" s="301" t="s">
        <v>281</v>
      </c>
      <c r="AK50" s="299" t="s">
        <v>282</v>
      </c>
      <c r="AL50" s="271" t="s">
        <v>283</v>
      </c>
      <c r="AM50" s="273" t="s">
        <v>238</v>
      </c>
      <c r="AN50" s="301" t="s">
        <v>281</v>
      </c>
    </row>
    <row r="51" spans="2:40" x14ac:dyDescent="0.35">
      <c r="B51" s="571" t="s">
        <v>1999</v>
      </c>
      <c r="D51" s="260"/>
      <c r="E51" s="320"/>
      <c r="F51" s="320"/>
      <c r="G51" s="320"/>
      <c r="H51" s="320"/>
      <c r="I51" s="582">
        <f>(I52-AVERAGE($E52:$H52))</f>
        <v>6.9120000000000061</v>
      </c>
      <c r="J51" s="582">
        <f t="shared" ref="J51:N51" si="28">(J52-AVERAGE($E52:$H52))</f>
        <v>50.955000000000005</v>
      </c>
      <c r="K51" s="582">
        <f t="shared" si="28"/>
        <v>51.173999999999999</v>
      </c>
      <c r="L51" s="582">
        <f t="shared" si="28"/>
        <v>51.893999999999998</v>
      </c>
      <c r="M51" s="582">
        <f t="shared" si="28"/>
        <v>91.075000000000017</v>
      </c>
      <c r="N51" s="582">
        <f t="shared" si="28"/>
        <v>100.63400000000001</v>
      </c>
      <c r="O51" s="582">
        <f t="shared" ref="O51:U51" si="29">(O52-AVERAGE($E52:$H52))</f>
        <v>93.89100000000002</v>
      </c>
      <c r="P51" s="582">
        <f t="shared" si="29"/>
        <v>100.22800000000001</v>
      </c>
      <c r="Q51" s="582">
        <f t="shared" si="29"/>
        <v>76.838999999999999</v>
      </c>
      <c r="R51" s="582">
        <f t="shared" si="29"/>
        <v>73.637</v>
      </c>
      <c r="S51" s="583">
        <f t="shared" si="29"/>
        <v>70.649000000000001</v>
      </c>
      <c r="T51" s="668">
        <f t="shared" si="29"/>
        <v>91.718000000000018</v>
      </c>
      <c r="U51" s="583">
        <f t="shared" si="29"/>
        <v>83.695999999999998</v>
      </c>
      <c r="V51" s="583">
        <f t="shared" ref="V51:AD51" si="30">(V52-AVERAGE($E52:$H52))</f>
        <v>51.979000000000006</v>
      </c>
      <c r="W51" s="583">
        <f t="shared" si="30"/>
        <v>51.58400000000001</v>
      </c>
      <c r="X51" s="583">
        <f t="shared" si="30"/>
        <v>38.777999999999999</v>
      </c>
      <c r="Y51" s="583">
        <f t="shared" si="30"/>
        <v>37.295999999999999</v>
      </c>
      <c r="Z51" s="583">
        <f t="shared" si="30"/>
        <v>41.408000000000008</v>
      </c>
      <c r="AA51" s="583">
        <f t="shared" si="30"/>
        <v>48.07800000000001</v>
      </c>
      <c r="AB51" s="583">
        <f t="shared" si="30"/>
        <v>43.804000000000009</v>
      </c>
      <c r="AC51" s="583">
        <f t="shared" si="30"/>
        <v>40.554000000000009</v>
      </c>
      <c r="AD51" s="583">
        <f t="shared" si="30"/>
        <v>38.098000000000006</v>
      </c>
      <c r="AE51" s="722">
        <f t="shared" ref="AE51:AF51" si="31">AD51+AE53</f>
        <v>38.098000000000006</v>
      </c>
      <c r="AF51" s="722">
        <f t="shared" si="31"/>
        <v>30.137000000000008</v>
      </c>
      <c r="AG51" s="722">
        <f t="shared" ref="AG51:AM51" si="32">AF51+AG53</f>
        <v>30.137000000000008</v>
      </c>
      <c r="AH51" s="722">
        <f t="shared" si="32"/>
        <v>30.137000000000008</v>
      </c>
      <c r="AI51" s="722">
        <f t="shared" si="32"/>
        <v>30.137000000000008</v>
      </c>
      <c r="AJ51" s="722">
        <f t="shared" si="32"/>
        <v>21.982000000000006</v>
      </c>
      <c r="AK51" s="722">
        <f t="shared" si="32"/>
        <v>21.982000000000006</v>
      </c>
      <c r="AL51" s="722">
        <f t="shared" si="32"/>
        <v>21.982000000000006</v>
      </c>
      <c r="AM51" s="722">
        <f t="shared" si="32"/>
        <v>21.982000000000006</v>
      </c>
      <c r="AN51" s="722">
        <f>AM51+AN53</f>
        <v>0.33700000000000685</v>
      </c>
    </row>
    <row r="52" spans="2:40" x14ac:dyDescent="0.35">
      <c r="B52" s="571" t="s">
        <v>1994</v>
      </c>
      <c r="C52" s="249" t="s">
        <v>477</v>
      </c>
      <c r="D52" s="276">
        <f>'Haver Pivoted'!GO66</f>
        <v>57.017000000000003</v>
      </c>
      <c r="E52" s="233">
        <f>'Haver Pivoted'!GP66</f>
        <v>55.875</v>
      </c>
      <c r="F52" s="233">
        <f>'Haver Pivoted'!GQ66</f>
        <v>54.335999999999999</v>
      </c>
      <c r="G52" s="233">
        <f>'Haver Pivoted'!GR66</f>
        <v>54.345999999999997</v>
      </c>
      <c r="H52" s="233">
        <f>'Haver Pivoted'!GS66</f>
        <v>54.290999999999997</v>
      </c>
      <c r="I52" s="233">
        <f>'Haver Pivoted'!GT66</f>
        <v>61.624000000000002</v>
      </c>
      <c r="J52" s="233">
        <f>'Haver Pivoted'!GU66</f>
        <v>105.667</v>
      </c>
      <c r="K52" s="233">
        <f>'Haver Pivoted'!GV66</f>
        <v>105.886</v>
      </c>
      <c r="L52" s="233">
        <f>'Haver Pivoted'!GW66</f>
        <v>106.60599999999999</v>
      </c>
      <c r="M52" s="233">
        <f>'Haver Pivoted'!GX66</f>
        <v>145.78700000000001</v>
      </c>
      <c r="N52" s="233">
        <f>'Haver Pivoted'!GY66</f>
        <v>155.346</v>
      </c>
      <c r="O52" s="233">
        <f>'Haver Pivoted'!GZ66</f>
        <v>148.60300000000001</v>
      </c>
      <c r="P52" s="233">
        <f>'Haver Pivoted'!HA66</f>
        <v>154.94</v>
      </c>
      <c r="Q52" s="233">
        <f>'Haver Pivoted'!HB66</f>
        <v>131.55099999999999</v>
      </c>
      <c r="R52" s="233">
        <f>'Haver Pivoted'!HC66</f>
        <v>128.34899999999999</v>
      </c>
      <c r="S52" s="226">
        <f>'Haver Pivoted'!HD66</f>
        <v>125.361</v>
      </c>
      <c r="T52" s="226">
        <f>'Haver Pivoted'!HE66</f>
        <v>146.43</v>
      </c>
      <c r="U52" s="226">
        <f>'Haver Pivoted'!HF66</f>
        <v>138.40799999999999</v>
      </c>
      <c r="V52" s="226">
        <f>'Haver Pivoted'!HG66</f>
        <v>106.691</v>
      </c>
      <c r="W52" s="226">
        <f>'Haver Pivoted'!HH66</f>
        <v>106.29600000000001</v>
      </c>
      <c r="X52" s="226">
        <f>'Haver Pivoted'!HI66</f>
        <v>93.49</v>
      </c>
      <c r="Y52" s="226">
        <f>'Haver Pivoted'!HJ66</f>
        <v>92.007999999999996</v>
      </c>
      <c r="Z52" s="226">
        <f>'Haver Pivoted'!HK66</f>
        <v>96.12</v>
      </c>
      <c r="AA52" s="226">
        <f>'Haver Pivoted'!HL66</f>
        <v>102.79</v>
      </c>
      <c r="AB52" s="226">
        <f>'Haver Pivoted'!HM66</f>
        <v>98.516000000000005</v>
      </c>
      <c r="AC52" s="226">
        <f>'Haver Pivoted'!HN66</f>
        <v>95.266000000000005</v>
      </c>
      <c r="AD52" s="226">
        <f>'Haver Pivoted'!HO66</f>
        <v>92.81</v>
      </c>
      <c r="AE52" s="229"/>
      <c r="AF52" s="229"/>
      <c r="AG52" s="229"/>
      <c r="AH52" s="229"/>
      <c r="AI52" s="229"/>
      <c r="AJ52" s="229"/>
      <c r="AK52" s="229"/>
      <c r="AL52" s="229"/>
      <c r="AM52" s="229"/>
      <c r="AN52" s="229"/>
    </row>
    <row r="53" spans="2:40" x14ac:dyDescent="0.35">
      <c r="B53" s="664" t="s">
        <v>1998</v>
      </c>
      <c r="C53" s="249"/>
      <c r="D53" s="276"/>
      <c r="E53" s="233"/>
      <c r="F53" s="233"/>
      <c r="G53" s="233"/>
      <c r="H53" s="233"/>
      <c r="I53" s="233"/>
      <c r="J53" s="233"/>
      <c r="K53" s="233"/>
      <c r="L53" s="233"/>
      <c r="M53" s="233"/>
      <c r="N53" s="233"/>
      <c r="O53" s="233"/>
      <c r="P53" s="233"/>
      <c r="Q53" s="233"/>
      <c r="R53" s="233"/>
      <c r="S53" s="226"/>
      <c r="T53" s="226"/>
      <c r="U53" s="226"/>
      <c r="V53" s="226"/>
      <c r="W53" s="226"/>
      <c r="X53" s="226"/>
      <c r="Y53" s="226"/>
      <c r="Z53" s="226"/>
      <c r="AA53" s="226"/>
      <c r="AB53" s="226"/>
      <c r="AC53" s="226"/>
      <c r="AD53" s="226"/>
      <c r="AE53" s="229">
        <v>0</v>
      </c>
      <c r="AF53" s="665">
        <v>-7.9610000000000003</v>
      </c>
      <c r="AG53" s="665">
        <v>0</v>
      </c>
      <c r="AH53" s="665">
        <v>0</v>
      </c>
      <c r="AI53" s="665">
        <v>0</v>
      </c>
      <c r="AJ53" s="665">
        <v>-8.1549999999999994</v>
      </c>
      <c r="AK53" s="665">
        <v>0</v>
      </c>
      <c r="AL53" s="665">
        <v>0</v>
      </c>
      <c r="AM53" s="665">
        <v>0</v>
      </c>
      <c r="AN53" s="665">
        <v>-21.645</v>
      </c>
    </row>
    <row r="54" spans="2:40" ht="29.15" customHeight="1" x14ac:dyDescent="0.35">
      <c r="B54" s="570" t="s">
        <v>478</v>
      </c>
      <c r="C54" s="370"/>
      <c r="D54" s="719"/>
      <c r="E54" s="568"/>
      <c r="F54" s="568"/>
      <c r="G54" s="568"/>
      <c r="H54" s="568"/>
      <c r="I54" s="568"/>
      <c r="J54" s="568">
        <f t="shared" ref="J54:W54" si="33">J52-$H52</f>
        <v>51.376000000000005</v>
      </c>
      <c r="K54" s="568">
        <f t="shared" si="33"/>
        <v>51.594999999999999</v>
      </c>
      <c r="L54" s="568">
        <f t="shared" si="33"/>
        <v>52.314999999999998</v>
      </c>
      <c r="M54" s="568">
        <f t="shared" si="33"/>
        <v>91.496000000000009</v>
      </c>
      <c r="N54" s="568">
        <f>N52-$H52</f>
        <v>101.05500000000001</v>
      </c>
      <c r="O54" s="568">
        <f>O52-$H52</f>
        <v>94.312000000000012</v>
      </c>
      <c r="P54" s="568">
        <f t="shared" si="33"/>
        <v>100.649</v>
      </c>
      <c r="Q54" s="568">
        <f t="shared" si="33"/>
        <v>77.259999999999991</v>
      </c>
      <c r="R54" s="568">
        <f t="shared" si="33"/>
        <v>74.057999999999993</v>
      </c>
      <c r="S54" s="287">
        <f t="shared" si="33"/>
        <v>71.070000000000007</v>
      </c>
      <c r="T54" s="287">
        <f t="shared" si="33"/>
        <v>92.13900000000001</v>
      </c>
      <c r="U54" s="287">
        <f t="shared" si="33"/>
        <v>84.11699999999999</v>
      </c>
      <c r="V54" s="287">
        <f t="shared" si="33"/>
        <v>52.400000000000006</v>
      </c>
      <c r="W54" s="287">
        <f t="shared" si="33"/>
        <v>52.00500000000001</v>
      </c>
      <c r="X54" s="287">
        <f t="shared" ref="X54:Y54" si="34">X52-$H52</f>
        <v>39.198999999999998</v>
      </c>
      <c r="Y54" s="287">
        <f t="shared" si="34"/>
        <v>37.716999999999999</v>
      </c>
      <c r="Z54" s="287">
        <f t="shared" ref="Z54" si="35">Z52-$H52</f>
        <v>41.829000000000008</v>
      </c>
      <c r="AA54" s="287">
        <f t="shared" ref="AA54" si="36">AA52-$H52</f>
        <v>48.499000000000009</v>
      </c>
      <c r="AB54" s="287">
        <f t="shared" ref="AB54:AC54" si="37">AB52-$H52</f>
        <v>44.225000000000009</v>
      </c>
      <c r="AC54" s="287">
        <f t="shared" si="37"/>
        <v>40.975000000000009</v>
      </c>
      <c r="AD54" s="287">
        <f t="shared" ref="AD54" si="38">AD52-$H52</f>
        <v>38.519000000000005</v>
      </c>
      <c r="AE54" s="672"/>
      <c r="AF54" s="672"/>
      <c r="AG54" s="672"/>
      <c r="AH54" s="672"/>
      <c r="AI54" s="672"/>
      <c r="AJ54" s="672"/>
      <c r="AK54" s="672"/>
      <c r="AL54" s="672"/>
      <c r="AM54" s="672"/>
      <c r="AN54" s="672"/>
    </row>
    <row r="55" spans="2:40" ht="29.15" customHeight="1" x14ac:dyDescent="0.35">
      <c r="B55" s="249"/>
      <c r="C55" s="249"/>
      <c r="D55" s="233"/>
      <c r="E55" s="233"/>
      <c r="F55" s="233"/>
      <c r="G55" s="233"/>
      <c r="H55" s="233"/>
      <c r="I55" s="233"/>
      <c r="J55" s="233"/>
      <c r="K55" s="233"/>
      <c r="L55" s="233"/>
      <c r="M55" s="233"/>
      <c r="N55" s="233"/>
      <c r="O55" s="233"/>
      <c r="P55" s="233"/>
      <c r="Q55" s="233" t="s">
        <v>1997</v>
      </c>
      <c r="R55" s="233"/>
      <c r="S55" s="233"/>
      <c r="T55" s="233"/>
      <c r="U55" s="233" t="s">
        <v>1995</v>
      </c>
      <c r="V55" s="233"/>
      <c r="W55" s="233" t="s">
        <v>1996</v>
      </c>
      <c r="X55" s="233"/>
      <c r="Y55" s="233"/>
      <c r="Z55" s="233"/>
      <c r="AA55" s="233"/>
      <c r="AB55" s="233"/>
      <c r="AC55" s="233"/>
    </row>
    <row r="56" spans="2:40" ht="29.15" customHeight="1" x14ac:dyDescent="0.35">
      <c r="B56" s="249"/>
      <c r="C56" s="249"/>
      <c r="D56" s="233"/>
      <c r="E56" s="233"/>
      <c r="F56" s="233"/>
      <c r="G56" s="233"/>
      <c r="H56" s="233"/>
      <c r="I56" s="233"/>
      <c r="J56" s="233"/>
      <c r="K56" s="233"/>
      <c r="L56" s="233"/>
      <c r="M56" s="233"/>
      <c r="N56" s="233"/>
      <c r="O56" s="233"/>
      <c r="P56" s="233"/>
      <c r="Q56" s="233">
        <f>SUM(P52:S52)</f>
        <v>540.20100000000002</v>
      </c>
      <c r="R56" s="233"/>
      <c r="S56" s="233"/>
      <c r="T56" s="233"/>
      <c r="U56" s="233">
        <f>SUM(T52:W52)</f>
        <v>497.82499999999999</v>
      </c>
      <c r="V56" s="233"/>
      <c r="W56">
        <v>112</v>
      </c>
      <c r="X56" s="233"/>
      <c r="Y56" s="233"/>
      <c r="Z56" s="233"/>
      <c r="AA56" s="233"/>
      <c r="AB56" s="233"/>
      <c r="AC56" s="233"/>
    </row>
    <row r="57" spans="2:40" ht="29.15" customHeight="1" x14ac:dyDescent="0.35">
      <c r="B57" s="249"/>
      <c r="C57" s="249"/>
      <c r="D57" s="233"/>
      <c r="E57" s="233"/>
      <c r="F57" s="233"/>
      <c r="G57" s="233"/>
      <c r="H57" s="233"/>
      <c r="I57" s="233"/>
      <c r="J57" s="233"/>
      <c r="K57" s="233"/>
      <c r="L57" s="233"/>
      <c r="M57" s="233"/>
      <c r="N57" s="233"/>
      <c r="O57" s="233"/>
      <c r="P57" s="233"/>
      <c r="Q57" s="233"/>
      <c r="R57" s="233"/>
      <c r="S57" s="233"/>
      <c r="T57" s="233"/>
      <c r="U57" s="233"/>
      <c r="V57" s="233"/>
      <c r="W57" s="233"/>
      <c r="X57" s="233"/>
      <c r="Y57" s="233"/>
      <c r="Z57" s="233"/>
      <c r="AA57" s="233"/>
      <c r="AB57" s="233"/>
      <c r="AC57" s="233"/>
    </row>
    <row r="58" spans="2:40" ht="35.9" customHeight="1" x14ac:dyDescent="0.35"/>
    <row r="59" spans="2:40" x14ac:dyDescent="0.35">
      <c r="B59" s="529" t="s">
        <v>364</v>
      </c>
    </row>
    <row r="60" spans="2:40" x14ac:dyDescent="0.35">
      <c r="B60" s="1413" t="s">
        <v>802</v>
      </c>
      <c r="C60" s="1414"/>
      <c r="D60" s="1333" t="s">
        <v>279</v>
      </c>
      <c r="E60" s="1333"/>
      <c r="F60" s="1333"/>
      <c r="G60" s="1333"/>
      <c r="H60" s="1333"/>
      <c r="I60" s="1333"/>
      <c r="J60" s="1333"/>
      <c r="K60" s="1333"/>
      <c r="L60" s="1333"/>
      <c r="M60" s="1333"/>
      <c r="N60" s="1333"/>
      <c r="O60" s="1333"/>
      <c r="P60" s="1333"/>
      <c r="Q60" s="1333"/>
      <c r="R60" s="1333"/>
      <c r="S60" s="1333"/>
      <c r="T60" s="1333"/>
      <c r="U60" s="1333"/>
      <c r="V60" s="1333"/>
      <c r="W60" s="1333"/>
      <c r="X60" s="1333"/>
      <c r="Y60" s="1333"/>
      <c r="Z60" s="1333"/>
      <c r="AA60" s="1333"/>
      <c r="AB60" s="1333"/>
      <c r="AC60" s="1350" t="s">
        <v>280</v>
      </c>
      <c r="AD60" s="1331"/>
      <c r="AE60" s="1331"/>
      <c r="AF60" s="1331"/>
      <c r="AG60" s="1331"/>
      <c r="AH60" s="1331"/>
      <c r="AI60" s="1331"/>
      <c r="AJ60" s="1331"/>
      <c r="AK60" s="1331"/>
      <c r="AL60" s="1331"/>
      <c r="AM60" s="1331"/>
      <c r="AN60" s="1332"/>
    </row>
    <row r="61" spans="2:40" x14ac:dyDescent="0.35">
      <c r="B61" s="1415"/>
      <c r="C61" s="1416"/>
      <c r="D61" s="296">
        <v>2018</v>
      </c>
      <c r="E61" s="1342">
        <v>2019</v>
      </c>
      <c r="F61" s="1343"/>
      <c r="G61" s="1343"/>
      <c r="H61" s="1344"/>
      <c r="I61" s="1342">
        <v>2020</v>
      </c>
      <c r="J61" s="1343"/>
      <c r="K61" s="1343"/>
      <c r="L61" s="1343"/>
      <c r="M61" s="1342">
        <v>2021</v>
      </c>
      <c r="N61" s="1343"/>
      <c r="O61" s="1343"/>
      <c r="P61" s="1343"/>
      <c r="Q61" s="1342">
        <v>2022</v>
      </c>
      <c r="R61" s="1354"/>
      <c r="S61" s="1354"/>
      <c r="T61" s="1344"/>
      <c r="U61" s="302"/>
      <c r="V61" s="442">
        <v>2023</v>
      </c>
      <c r="W61" s="442"/>
      <c r="X61" s="309"/>
      <c r="Y61" s="460"/>
      <c r="Z61" s="442">
        <v>2024</v>
      </c>
      <c r="AA61" s="302"/>
      <c r="AB61" s="309"/>
      <c r="AC61" s="1329">
        <v>2025</v>
      </c>
      <c r="AD61" s="1335"/>
      <c r="AE61" s="1335"/>
      <c r="AF61" s="1334"/>
      <c r="AG61" s="1329">
        <v>2026</v>
      </c>
      <c r="AH61" s="1335"/>
      <c r="AI61" s="1335"/>
      <c r="AJ61" s="1334"/>
      <c r="AK61" s="1329">
        <v>2027</v>
      </c>
      <c r="AL61" s="1335"/>
      <c r="AM61" s="1335"/>
      <c r="AN61" s="1334"/>
    </row>
    <row r="62" spans="2:40" x14ac:dyDescent="0.35">
      <c r="B62" s="1415"/>
      <c r="C62" s="1416"/>
      <c r="D62" s="225" t="s">
        <v>281</v>
      </c>
      <c r="E62" s="225" t="s">
        <v>282</v>
      </c>
      <c r="F62" s="226" t="s">
        <v>283</v>
      </c>
      <c r="G62" s="226" t="s">
        <v>238</v>
      </c>
      <c r="H62" s="232" t="s">
        <v>281</v>
      </c>
      <c r="I62" s="226" t="s">
        <v>282</v>
      </c>
      <c r="J62" s="226" t="s">
        <v>283</v>
      </c>
      <c r="K62" s="226" t="s">
        <v>238</v>
      </c>
      <c r="L62" s="226" t="s">
        <v>281</v>
      </c>
      <c r="M62" s="225" t="s">
        <v>282</v>
      </c>
      <c r="N62" s="226" t="s">
        <v>283</v>
      </c>
      <c r="O62" s="226" t="s">
        <v>238</v>
      </c>
      <c r="P62" s="226" t="s">
        <v>281</v>
      </c>
      <c r="Q62" s="225" t="s">
        <v>282</v>
      </c>
      <c r="R62" s="226" t="s">
        <v>283</v>
      </c>
      <c r="S62" s="226" t="s">
        <v>238</v>
      </c>
      <c r="T62" s="232" t="s">
        <v>281</v>
      </c>
      <c r="U62" s="226" t="s">
        <v>282</v>
      </c>
      <c r="V62" s="287" t="s">
        <v>283</v>
      </c>
      <c r="W62" s="287" t="s">
        <v>238</v>
      </c>
      <c r="X62" s="285" t="s">
        <v>281</v>
      </c>
      <c r="Y62" s="286" t="s">
        <v>282</v>
      </c>
      <c r="Z62" s="292" t="s">
        <v>283</v>
      </c>
      <c r="AA62" s="287" t="s">
        <v>238</v>
      </c>
      <c r="AB62" s="287" t="s">
        <v>281</v>
      </c>
      <c r="AC62" s="286" t="s">
        <v>282</v>
      </c>
      <c r="AD62" s="292" t="s">
        <v>283</v>
      </c>
      <c r="AE62" s="273" t="s">
        <v>238</v>
      </c>
      <c r="AF62" s="273" t="s">
        <v>281</v>
      </c>
      <c r="AG62" s="299" t="s">
        <v>282</v>
      </c>
      <c r="AH62" s="271" t="s">
        <v>283</v>
      </c>
      <c r="AI62" s="273" t="s">
        <v>238</v>
      </c>
      <c r="AJ62" s="301" t="s">
        <v>281</v>
      </c>
      <c r="AK62" s="299" t="s">
        <v>282</v>
      </c>
      <c r="AL62" s="271" t="s">
        <v>283</v>
      </c>
      <c r="AM62" s="273" t="s">
        <v>238</v>
      </c>
      <c r="AN62" s="301" t="s">
        <v>281</v>
      </c>
    </row>
    <row r="63" spans="2:40" ht="25.75" customHeight="1" x14ac:dyDescent="0.35">
      <c r="B63" s="686" t="s">
        <v>465</v>
      </c>
      <c r="C63" s="667" t="s">
        <v>466</v>
      </c>
      <c r="D63" s="377">
        <f>'Haver Pivoted'!GO31</f>
        <v>2223</v>
      </c>
      <c r="E63" s="378">
        <f>'Haver Pivoted'!GP31</f>
        <v>2303.8000000000002</v>
      </c>
      <c r="F63" s="378">
        <f>'Haver Pivoted'!GQ31</f>
        <v>2321.6999999999998</v>
      </c>
      <c r="G63" s="378">
        <f>'Haver Pivoted'!GR31</f>
        <v>2337.1</v>
      </c>
      <c r="H63" s="378">
        <f>'Haver Pivoted'!GS31</f>
        <v>2349.5</v>
      </c>
      <c r="I63" s="378">
        <f>'Haver Pivoted'!GT31</f>
        <v>2414.4</v>
      </c>
      <c r="J63" s="378">
        <f>'Haver Pivoted'!GU31</f>
        <v>4654.1000000000004</v>
      </c>
      <c r="K63" s="378">
        <f>'Haver Pivoted'!GV31</f>
        <v>3504.7</v>
      </c>
      <c r="L63" s="378">
        <f>'Haver Pivoted'!GW31</f>
        <v>2888.4</v>
      </c>
      <c r="M63" s="378">
        <f>'Haver Pivoted'!GX31</f>
        <v>5138.1000000000004</v>
      </c>
      <c r="N63" s="378">
        <f>'Haver Pivoted'!GY31</f>
        <v>3397.8</v>
      </c>
      <c r="O63" s="378">
        <f>'Haver Pivoted'!GZ31</f>
        <v>3124.9</v>
      </c>
      <c r="P63" s="378">
        <f>'Haver Pivoted'!HA31</f>
        <v>2952.6</v>
      </c>
      <c r="Q63" s="378">
        <f>'Haver Pivoted'!HB31</f>
        <v>2970.9</v>
      </c>
      <c r="R63" s="378">
        <f>'Haver Pivoted'!HC31</f>
        <v>2976.2</v>
      </c>
      <c r="S63" s="379">
        <f>'Haver Pivoted'!HD31</f>
        <v>2970.4</v>
      </c>
      <c r="T63" s="694">
        <f>'Haver Pivoted'!HE31</f>
        <v>3024.4</v>
      </c>
      <c r="U63" s="379">
        <f>'Haver Pivoted'!HF31</f>
        <v>3038.4</v>
      </c>
      <c r="V63" s="379">
        <f>'Haver Pivoted'!HG31</f>
        <v>3049.1</v>
      </c>
      <c r="W63" s="379">
        <f>'Haver Pivoted'!HH31</f>
        <v>3078</v>
      </c>
      <c r="X63" s="379">
        <f>'Haver Pivoted'!HI31</f>
        <v>3095.6</v>
      </c>
      <c r="Y63" s="379">
        <f>'Haver Pivoted'!HJ31</f>
        <v>3201.1</v>
      </c>
      <c r="Z63" s="379">
        <f>'Haver Pivoted'!HK31</f>
        <v>3243.1</v>
      </c>
      <c r="AA63" s="379">
        <f>'Haver Pivoted'!HL31</f>
        <v>3283.8</v>
      </c>
      <c r="AB63" s="379">
        <f>'Haver Pivoted'!HM31</f>
        <v>3328.6</v>
      </c>
      <c r="AC63" s="379">
        <f>'Haver Pivoted'!HN31</f>
        <v>3452.4</v>
      </c>
      <c r="AD63" s="379">
        <f>'Haver Pivoted'!HO31</f>
        <v>3574.9</v>
      </c>
      <c r="AE63" s="724"/>
      <c r="AF63" s="724"/>
      <c r="AG63" s="229"/>
      <c r="AH63" s="229"/>
      <c r="AI63" s="229"/>
      <c r="AJ63" s="229"/>
      <c r="AK63" s="229"/>
      <c r="AL63" s="229"/>
      <c r="AM63" s="229"/>
      <c r="AN63" s="229"/>
    </row>
    <row r="64" spans="2:40" ht="37" customHeight="1" x14ac:dyDescent="0.35">
      <c r="B64" s="494" t="s">
        <v>1841</v>
      </c>
      <c r="C64" s="249"/>
      <c r="D64" s="717">
        <f t="shared" ref="D64:AD64" si="39">D65+D66</f>
        <v>1795.961</v>
      </c>
      <c r="E64" s="462">
        <f t="shared" si="39"/>
        <v>833.1</v>
      </c>
      <c r="F64" s="462">
        <f t="shared" si="39"/>
        <v>845.8</v>
      </c>
      <c r="G64" s="462">
        <f t="shared" si="39"/>
        <v>854.4</v>
      </c>
      <c r="H64" s="462">
        <f t="shared" si="39"/>
        <v>858.7</v>
      </c>
      <c r="I64" s="462">
        <f t="shared" si="39"/>
        <v>878.91200000000003</v>
      </c>
      <c r="J64" s="462">
        <f t="shared" si="39"/>
        <v>3142.9549999999999</v>
      </c>
      <c r="K64" s="462">
        <f t="shared" si="39"/>
        <v>1863.174</v>
      </c>
      <c r="L64" s="462">
        <f t="shared" si="39"/>
        <v>1307.4940000000001</v>
      </c>
      <c r="M64" s="462">
        <f t="shared" si="39"/>
        <v>3530.9749999999999</v>
      </c>
      <c r="N64" s="462">
        <f t="shared" si="39"/>
        <v>1812.8558400000002</v>
      </c>
      <c r="O64" s="462">
        <f t="shared" si="39"/>
        <v>1537.1944933333332</v>
      </c>
      <c r="P64" s="462">
        <f t="shared" si="39"/>
        <v>1378.037333333333</v>
      </c>
      <c r="Q64" s="462">
        <f t="shared" si="39"/>
        <v>1212.615</v>
      </c>
      <c r="R64" s="462">
        <f t="shared" si="39"/>
        <v>1208.7130000000002</v>
      </c>
      <c r="S64" s="690">
        <f t="shared" si="39"/>
        <v>1205.403</v>
      </c>
      <c r="T64" s="690">
        <f t="shared" si="39"/>
        <v>1228.624</v>
      </c>
      <c r="U64" s="690">
        <f t="shared" si="39"/>
        <v>1164.202</v>
      </c>
      <c r="V64" s="690">
        <f t="shared" si="39"/>
        <v>1154.0450000000001</v>
      </c>
      <c r="W64" s="690">
        <f t="shared" si="39"/>
        <v>1171.75</v>
      </c>
      <c r="X64" s="690">
        <f t="shared" si="39"/>
        <v>1164.5179999999998</v>
      </c>
      <c r="Y64" s="690">
        <f t="shared" si="39"/>
        <v>1176.5360000000001</v>
      </c>
      <c r="Z64" s="690">
        <f t="shared" si="39"/>
        <v>1198.548</v>
      </c>
      <c r="AA64" s="690">
        <f t="shared" si="39"/>
        <v>1229.1180000000002</v>
      </c>
      <c r="AB64" s="690">
        <f t="shared" si="39"/>
        <v>1253.3729999999998</v>
      </c>
      <c r="AC64" s="690">
        <f t="shared" si="39"/>
        <v>1281.6229999999998</v>
      </c>
      <c r="AD64" s="690">
        <f t="shared" si="39"/>
        <v>1311.867</v>
      </c>
      <c r="AE64" s="674"/>
      <c r="AF64" s="674"/>
      <c r="AG64" s="229"/>
      <c r="AH64" s="229"/>
      <c r="AI64" s="229"/>
      <c r="AJ64" s="229"/>
      <c r="AK64" s="229"/>
      <c r="AL64" s="229"/>
      <c r="AM64" s="229"/>
      <c r="AN64" s="229"/>
    </row>
    <row r="65" spans="2:40" ht="25.75" customHeight="1" x14ac:dyDescent="0.35">
      <c r="B65" s="432" t="s">
        <v>1839</v>
      </c>
      <c r="C65" s="249"/>
      <c r="D65" s="717">
        <f t="shared" ref="D65:AD65" si="40">D14+D17+D27</f>
        <v>812.1</v>
      </c>
      <c r="E65" s="717">
        <f t="shared" si="40"/>
        <v>833.1</v>
      </c>
      <c r="F65" s="462">
        <f t="shared" si="40"/>
        <v>845.8</v>
      </c>
      <c r="G65" s="462">
        <f t="shared" si="40"/>
        <v>854.4</v>
      </c>
      <c r="H65" s="462">
        <f t="shared" si="40"/>
        <v>858.7</v>
      </c>
      <c r="I65" s="462">
        <f t="shared" si="40"/>
        <v>872</v>
      </c>
      <c r="J65" s="462">
        <f t="shared" si="40"/>
        <v>1795.8</v>
      </c>
      <c r="K65" s="462">
        <f t="shared" si="40"/>
        <v>1656.8</v>
      </c>
      <c r="L65" s="462">
        <f t="shared" si="40"/>
        <v>1191.7</v>
      </c>
      <c r="M65" s="462">
        <f t="shared" si="40"/>
        <v>1473.1</v>
      </c>
      <c r="N65" s="462">
        <f t="shared" si="40"/>
        <v>1346.4</v>
      </c>
      <c r="O65" s="462">
        <f t="shared" si="40"/>
        <v>1318.833333333333</v>
      </c>
      <c r="P65" s="462">
        <f t="shared" si="40"/>
        <v>1157.333333333333</v>
      </c>
      <c r="Q65" s="462">
        <f t="shared" si="40"/>
        <v>1036.4000000000001</v>
      </c>
      <c r="R65" s="462">
        <f t="shared" si="40"/>
        <v>1042.6000000000001</v>
      </c>
      <c r="S65" s="690">
        <f t="shared" si="40"/>
        <v>1054.8</v>
      </c>
      <c r="T65" s="690">
        <f t="shared" si="40"/>
        <v>1078.7</v>
      </c>
      <c r="U65" s="690">
        <f t="shared" si="40"/>
        <v>1045.2</v>
      </c>
      <c r="V65" s="690">
        <f t="shared" si="40"/>
        <v>1066.76</v>
      </c>
      <c r="W65" s="690">
        <f t="shared" si="40"/>
        <v>1084.8599999999999</v>
      </c>
      <c r="X65" s="690">
        <f t="shared" si="40"/>
        <v>1104.5999999999999</v>
      </c>
      <c r="Y65" s="690">
        <f t="shared" si="40"/>
        <v>1118.1000000000001</v>
      </c>
      <c r="Z65" s="690">
        <f t="shared" si="40"/>
        <v>1136</v>
      </c>
      <c r="AA65" s="690">
        <f t="shared" si="40"/>
        <v>1159.9000000000001</v>
      </c>
      <c r="AB65" s="690">
        <f t="shared" si="40"/>
        <v>1188.5999999999999</v>
      </c>
      <c r="AC65" s="690">
        <f t="shared" si="40"/>
        <v>1220.0999999999999</v>
      </c>
      <c r="AD65" s="690">
        <f t="shared" si="40"/>
        <v>1252.8</v>
      </c>
      <c r="AE65" s="674"/>
      <c r="AF65" s="674"/>
      <c r="AG65" s="674"/>
      <c r="AH65" s="674"/>
      <c r="AI65" s="674"/>
      <c r="AJ65" s="674"/>
      <c r="AK65" s="674"/>
      <c r="AL65" s="674"/>
      <c r="AM65" s="674"/>
      <c r="AN65" s="674"/>
    </row>
    <row r="66" spans="2:40" ht="49.5" customHeight="1" x14ac:dyDescent="0.35">
      <c r="B66" s="432" t="s">
        <v>2330</v>
      </c>
      <c r="C66" s="249"/>
      <c r="D66" s="462">
        <f>D18+D21+D24+D25+D26+D28+D31+D72</f>
        <v>983.86099999999999</v>
      </c>
      <c r="E66" s="462">
        <f t="shared" ref="E66:AN66" si="41">E18+E21+E24+E25+E26+E28+E31</f>
        <v>0</v>
      </c>
      <c r="F66" s="462">
        <f t="shared" si="41"/>
        <v>0</v>
      </c>
      <c r="G66" s="462">
        <f t="shared" si="41"/>
        <v>0</v>
      </c>
      <c r="H66" s="462">
        <f t="shared" si="41"/>
        <v>0</v>
      </c>
      <c r="I66" s="462">
        <f t="shared" si="41"/>
        <v>6.9120000000000061</v>
      </c>
      <c r="J66" s="462">
        <f t="shared" si="41"/>
        <v>1347.155</v>
      </c>
      <c r="K66" s="462">
        <f t="shared" si="41"/>
        <v>206.37400000000002</v>
      </c>
      <c r="L66" s="462">
        <f t="shared" si="41"/>
        <v>115.79400000000001</v>
      </c>
      <c r="M66" s="462">
        <f t="shared" si="41"/>
        <v>2057.875</v>
      </c>
      <c r="N66" s="462">
        <f t="shared" si="41"/>
        <v>466.45584000000008</v>
      </c>
      <c r="O66" s="462">
        <f t="shared" si="41"/>
        <v>218.3611600000001</v>
      </c>
      <c r="P66" s="462">
        <f t="shared" si="41"/>
        <v>220.70400000000004</v>
      </c>
      <c r="Q66" s="462">
        <f t="shared" si="41"/>
        <v>176.215</v>
      </c>
      <c r="R66" s="462">
        <f t="shared" si="41"/>
        <v>166.113</v>
      </c>
      <c r="S66" s="462">
        <f t="shared" si="41"/>
        <v>150.60300000000001</v>
      </c>
      <c r="T66" s="462">
        <f t="shared" si="41"/>
        <v>149.92400000000004</v>
      </c>
      <c r="U66" s="462">
        <f t="shared" si="41"/>
        <v>119.002</v>
      </c>
      <c r="V66" s="462">
        <f t="shared" si="41"/>
        <v>87.285000000000011</v>
      </c>
      <c r="W66" s="462">
        <f t="shared" si="41"/>
        <v>86.890000000000015</v>
      </c>
      <c r="X66" s="674">
        <f t="shared" si="41"/>
        <v>59.917999999999999</v>
      </c>
      <c r="Y66" s="674">
        <f t="shared" si="41"/>
        <v>58.436</v>
      </c>
      <c r="Z66" s="674">
        <f t="shared" si="41"/>
        <v>62.548000000000009</v>
      </c>
      <c r="AA66" s="674">
        <f t="shared" si="41"/>
        <v>69.218000000000018</v>
      </c>
      <c r="AB66" s="674">
        <f t="shared" si="41"/>
        <v>64.77300000000001</v>
      </c>
      <c r="AC66" s="674">
        <f t="shared" si="41"/>
        <v>61.52300000000001</v>
      </c>
      <c r="AD66" s="674">
        <f t="shared" si="41"/>
        <v>59.067000000000007</v>
      </c>
      <c r="AE66" s="674">
        <f t="shared" si="41"/>
        <v>59.067000000000007</v>
      </c>
      <c r="AF66" s="674">
        <f t="shared" si="41"/>
        <v>33.02600000000001</v>
      </c>
      <c r="AG66" s="674">
        <f t="shared" si="41"/>
        <v>30.865000000000009</v>
      </c>
      <c r="AH66" s="674">
        <f t="shared" si="41"/>
        <v>30.137000000000008</v>
      </c>
      <c r="AI66" s="674">
        <f t="shared" si="41"/>
        <v>30.137000000000008</v>
      </c>
      <c r="AJ66" s="674">
        <f t="shared" si="41"/>
        <v>21.982000000000006</v>
      </c>
      <c r="AK66" s="674">
        <f t="shared" si="41"/>
        <v>21.982000000000006</v>
      </c>
      <c r="AL66" s="674">
        <f t="shared" si="41"/>
        <v>21.982000000000006</v>
      </c>
      <c r="AM66" s="674">
        <f t="shared" si="41"/>
        <v>21.982000000000006</v>
      </c>
      <c r="AN66" s="674">
        <f t="shared" si="41"/>
        <v>0.33700000000000685</v>
      </c>
    </row>
    <row r="67" spans="2:40" ht="25.75" customHeight="1" x14ac:dyDescent="0.35">
      <c r="B67" s="494" t="s">
        <v>799</v>
      </c>
      <c r="C67" s="249"/>
      <c r="D67" s="690">
        <f t="shared" ref="D67:AD67" si="42">D63-D64</f>
        <v>427.03899999999999</v>
      </c>
      <c r="E67" s="690">
        <f t="shared" si="42"/>
        <v>1470.7000000000003</v>
      </c>
      <c r="F67" s="690">
        <f t="shared" si="42"/>
        <v>1475.8999999999999</v>
      </c>
      <c r="G67" s="690">
        <f t="shared" si="42"/>
        <v>1482.6999999999998</v>
      </c>
      <c r="H67" s="690">
        <f t="shared" si="42"/>
        <v>1490.8</v>
      </c>
      <c r="I67" s="690">
        <f t="shared" si="42"/>
        <v>1535.4880000000001</v>
      </c>
      <c r="J67" s="690">
        <f t="shared" si="42"/>
        <v>1511.1450000000004</v>
      </c>
      <c r="K67" s="690">
        <f t="shared" si="42"/>
        <v>1641.5259999999998</v>
      </c>
      <c r="L67" s="690">
        <f t="shared" si="42"/>
        <v>1580.9059999999999</v>
      </c>
      <c r="M67" s="690">
        <f t="shared" si="42"/>
        <v>1607.1250000000005</v>
      </c>
      <c r="N67" s="690">
        <f t="shared" si="42"/>
        <v>1584.94416</v>
      </c>
      <c r="O67" s="690">
        <f t="shared" si="42"/>
        <v>1587.7055066666669</v>
      </c>
      <c r="P67" s="690">
        <f t="shared" si="42"/>
        <v>1574.5626666666669</v>
      </c>
      <c r="Q67" s="690">
        <f t="shared" si="42"/>
        <v>1758.2850000000001</v>
      </c>
      <c r="R67" s="690">
        <f t="shared" si="42"/>
        <v>1767.4869999999996</v>
      </c>
      <c r="S67" s="690">
        <f t="shared" si="42"/>
        <v>1764.9970000000001</v>
      </c>
      <c r="T67" s="690">
        <f t="shared" si="42"/>
        <v>1795.7760000000001</v>
      </c>
      <c r="U67" s="690">
        <f t="shared" si="42"/>
        <v>1874.1980000000001</v>
      </c>
      <c r="V67" s="690">
        <f t="shared" si="42"/>
        <v>1895.0549999999998</v>
      </c>
      <c r="W67" s="690">
        <f t="shared" si="42"/>
        <v>1906.25</v>
      </c>
      <c r="X67" s="690">
        <f t="shared" si="42"/>
        <v>1931.0820000000001</v>
      </c>
      <c r="Y67" s="690">
        <f t="shared" si="42"/>
        <v>2024.5639999999999</v>
      </c>
      <c r="Z67" s="690">
        <f t="shared" si="42"/>
        <v>2044.5519999999999</v>
      </c>
      <c r="AA67" s="690">
        <f t="shared" si="42"/>
        <v>2054.6819999999998</v>
      </c>
      <c r="AB67" s="690">
        <f t="shared" si="42"/>
        <v>2075.2269999999999</v>
      </c>
      <c r="AC67" s="690">
        <f t="shared" si="42"/>
        <v>2170.777</v>
      </c>
      <c r="AD67" s="690">
        <f t="shared" si="42"/>
        <v>2263.0330000000004</v>
      </c>
      <c r="AE67" s="674"/>
      <c r="AF67" s="674"/>
      <c r="AG67" s="229"/>
      <c r="AH67" s="229"/>
      <c r="AI67" s="229"/>
      <c r="AJ67" s="229"/>
      <c r="AK67" s="229"/>
      <c r="AL67" s="229"/>
      <c r="AM67" s="229"/>
      <c r="AN67" s="229"/>
    </row>
    <row r="68" spans="2:40" ht="20.5" customHeight="1" x14ac:dyDescent="0.35">
      <c r="B68" s="700" t="s">
        <v>800</v>
      </c>
      <c r="C68" s="701"/>
      <c r="D68" s="707">
        <f>D12-D14-D17-D27-D72</f>
        <v>427.0390000000001</v>
      </c>
      <c r="E68" s="678">
        <f>E12-E14-E17-E27</f>
        <v>1470.7000000000003</v>
      </c>
      <c r="F68" s="678">
        <f>F12-F14-F17-F27</f>
        <v>1475.8999999999996</v>
      </c>
      <c r="G68" s="678">
        <f>G12-G14-G17-G27</f>
        <v>1482.6999999999998</v>
      </c>
      <c r="H68" s="678">
        <f>H12-H14-H17-H27</f>
        <v>1490.8000000000002</v>
      </c>
      <c r="I68" s="678">
        <f>I12-I14-I17-I27</f>
        <v>1542.4</v>
      </c>
      <c r="J68" s="708">
        <f>I68+($H$68-$E$68)/3</f>
        <v>1549.1000000000001</v>
      </c>
      <c r="K68" s="708">
        <f>J68+($H$68-$E$68)/3</f>
        <v>1555.8000000000002</v>
      </c>
      <c r="L68" s="708">
        <f>K68+($H$68-$E$68)/3</f>
        <v>1562.5000000000002</v>
      </c>
      <c r="M68" s="709">
        <f>L68+($H$68-$E$68)/3 +(M72-L72)</f>
        <v>1586.8430000000003</v>
      </c>
      <c r="N68" s="708">
        <f>M68+($H$68-$E$68)/3</f>
        <v>1593.5430000000003</v>
      </c>
      <c r="O68" s="708">
        <f>N68+($H$68-$E$68)/3</f>
        <v>1600.2430000000004</v>
      </c>
      <c r="P68" s="708">
        <f>O68+($H$68-$E$68)/3</f>
        <v>1606.9430000000004</v>
      </c>
      <c r="Q68" s="709">
        <f>P68+($H$68-$E$68)/3 + 0.06*Q72</f>
        <v>1685.5501200000006</v>
      </c>
      <c r="R68" s="708">
        <f>Q68+($H$68-$E$68)/3</f>
        <v>1692.2501200000006</v>
      </c>
      <c r="S68" s="708">
        <f>R68+($H$68-$E$68)/3</f>
        <v>1698.9501200000007</v>
      </c>
      <c r="T68" s="708">
        <f>S68+($H$68-$E$68)/3</f>
        <v>1705.6501200000007</v>
      </c>
      <c r="U68" s="708">
        <f t="shared" ref="U68:AN68" si="43">T68+U69</f>
        <v>1818.9789730000007</v>
      </c>
      <c r="V68" s="708">
        <f t="shared" si="43"/>
        <v>1825.6789730000007</v>
      </c>
      <c r="W68" s="678">
        <f t="shared" si="43"/>
        <v>1832.3789730000008</v>
      </c>
      <c r="X68" s="702">
        <f t="shared" si="43"/>
        <v>1839.0789730000008</v>
      </c>
      <c r="Y68" s="702">
        <f t="shared" si="43"/>
        <v>1891.4284770000008</v>
      </c>
      <c r="Z68" s="702">
        <f t="shared" si="43"/>
        <v>1898.1284770000009</v>
      </c>
      <c r="AA68" s="702">
        <f t="shared" si="43"/>
        <v>1904.8284770000009</v>
      </c>
      <c r="AB68" s="702">
        <f t="shared" si="43"/>
        <v>1911.528477000001</v>
      </c>
      <c r="AC68" s="702">
        <f>AB68+AC69</f>
        <v>1956.4482020000009</v>
      </c>
      <c r="AD68" s="702">
        <f>AC68+AD69</f>
        <v>1963.148202000001</v>
      </c>
      <c r="AE68" s="702">
        <f>AD68+AE69</f>
        <v>1969.848202000001</v>
      </c>
      <c r="AF68" s="702">
        <f t="shared" si="43"/>
        <v>1976.5482020000011</v>
      </c>
      <c r="AG68" s="702">
        <f t="shared" si="43"/>
        <v>2021.9967538580011</v>
      </c>
      <c r="AH68" s="702">
        <f t="shared" si="43"/>
        <v>2028.6967538580011</v>
      </c>
      <c r="AI68" s="702">
        <f t="shared" si="43"/>
        <v>2035.3967538580011</v>
      </c>
      <c r="AJ68" s="702">
        <f t="shared" si="43"/>
        <v>2042.0967538580012</v>
      </c>
      <c r="AK68" s="702">
        <f t="shared" si="43"/>
        <v>2089.864385408735</v>
      </c>
      <c r="AL68" s="702">
        <f t="shared" si="43"/>
        <v>2096.5643854087348</v>
      </c>
      <c r="AM68" s="702">
        <f t="shared" si="43"/>
        <v>2103.2643854087346</v>
      </c>
      <c r="AN68" s="702">
        <f t="shared" si="43"/>
        <v>2109.9643854087344</v>
      </c>
    </row>
    <row r="69" spans="2:40" ht="20.5" customHeight="1" x14ac:dyDescent="0.35">
      <c r="B69" s="703" t="s">
        <v>1800</v>
      </c>
      <c r="C69" s="249"/>
      <c r="D69" s="717"/>
      <c r="E69" s="462"/>
      <c r="F69" s="462"/>
      <c r="G69" s="462"/>
      <c r="H69" s="462"/>
      <c r="I69" s="462"/>
      <c r="J69" s="691"/>
      <c r="K69" s="691"/>
      <c r="L69" s="691"/>
      <c r="M69" s="710"/>
      <c r="N69" s="691"/>
      <c r="O69" s="691"/>
      <c r="P69" s="691"/>
      <c r="Q69" s="710"/>
      <c r="R69" s="691"/>
      <c r="S69" s="691"/>
      <c r="T69" s="691"/>
      <c r="U69" s="691">
        <f>U70+U71</f>
        <v>113.32885299999995</v>
      </c>
      <c r="V69" s="691">
        <f>V70+V71</f>
        <v>6.69999999999997</v>
      </c>
      <c r="W69" s="691">
        <f>W70+W71</f>
        <v>6.69999999999997</v>
      </c>
      <c r="X69" s="674">
        <f t="shared" ref="X69:AN69" si="44">X70+X75*X72</f>
        <v>6.69999999999997</v>
      </c>
      <c r="Y69" s="674">
        <f t="shared" si="44"/>
        <v>52.349503999999968</v>
      </c>
      <c r="Z69" s="674">
        <f t="shared" si="44"/>
        <v>6.69999999999997</v>
      </c>
      <c r="AA69" s="674">
        <f t="shared" si="44"/>
        <v>6.69999999999997</v>
      </c>
      <c r="AB69" s="674">
        <f t="shared" si="44"/>
        <v>6.69999999999997</v>
      </c>
      <c r="AC69" s="674">
        <f t="shared" si="44"/>
        <v>44.919724999999971</v>
      </c>
      <c r="AD69" s="674">
        <f t="shared" si="44"/>
        <v>6.69999999999997</v>
      </c>
      <c r="AE69" s="674">
        <f t="shared" si="44"/>
        <v>6.69999999999997</v>
      </c>
      <c r="AF69" s="674">
        <f t="shared" si="44"/>
        <v>6.69999999999997</v>
      </c>
      <c r="AG69" s="674">
        <f t="shared" si="44"/>
        <v>45.448551857999966</v>
      </c>
      <c r="AH69" s="674">
        <f t="shared" si="44"/>
        <v>6.69999999999997</v>
      </c>
      <c r="AI69" s="674">
        <f t="shared" si="44"/>
        <v>6.69999999999997</v>
      </c>
      <c r="AJ69" s="674">
        <f t="shared" si="44"/>
        <v>6.69999999999997</v>
      </c>
      <c r="AK69" s="674">
        <f t="shared" si="44"/>
        <v>47.767631550733967</v>
      </c>
      <c r="AL69" s="674">
        <f t="shared" si="44"/>
        <v>6.69999999999997</v>
      </c>
      <c r="AM69" s="674">
        <f t="shared" si="44"/>
        <v>6.69999999999997</v>
      </c>
      <c r="AN69" s="674">
        <f t="shared" si="44"/>
        <v>6.69999999999997</v>
      </c>
    </row>
    <row r="70" spans="2:40" ht="28.4" customHeight="1" x14ac:dyDescent="0.35">
      <c r="B70" s="704" t="s">
        <v>1797</v>
      </c>
      <c r="C70" s="249"/>
      <c r="D70" s="717"/>
      <c r="E70" s="462"/>
      <c r="F70" s="462"/>
      <c r="G70" s="462"/>
      <c r="H70" s="462"/>
      <c r="I70" s="462"/>
      <c r="J70" s="691"/>
      <c r="K70" s="691"/>
      <c r="L70" s="691"/>
      <c r="M70" s="710"/>
      <c r="N70" s="691"/>
      <c r="O70" s="691"/>
      <c r="P70" s="691"/>
      <c r="Q70" s="710"/>
      <c r="R70" s="691"/>
      <c r="S70" s="691"/>
      <c r="T70" s="691"/>
      <c r="U70" s="691">
        <f>($H$68-$E$68)/3</f>
        <v>6.69999999999997</v>
      </c>
      <c r="V70" s="691">
        <f>($H$68-$E$68)/3</f>
        <v>6.69999999999997</v>
      </c>
      <c r="W70" s="691">
        <f>($H$68-$E$68)/3</f>
        <v>6.69999999999997</v>
      </c>
      <c r="X70" s="674">
        <f t="shared" ref="X70:AC70" si="45">W70</f>
        <v>6.69999999999997</v>
      </c>
      <c r="Y70" s="674">
        <f t="shared" si="45"/>
        <v>6.69999999999997</v>
      </c>
      <c r="Z70" s="674">
        <f t="shared" si="45"/>
        <v>6.69999999999997</v>
      </c>
      <c r="AA70" s="674">
        <f t="shared" si="45"/>
        <v>6.69999999999997</v>
      </c>
      <c r="AB70" s="674">
        <f t="shared" si="45"/>
        <v>6.69999999999997</v>
      </c>
      <c r="AC70" s="674">
        <f t="shared" si="45"/>
        <v>6.69999999999997</v>
      </c>
      <c r="AD70" s="674">
        <f t="shared" ref="AD70" si="46">AC70</f>
        <v>6.69999999999997</v>
      </c>
      <c r="AE70" s="674">
        <f t="shared" ref="AE70" si="47">AD70</f>
        <v>6.69999999999997</v>
      </c>
      <c r="AF70" s="674">
        <f>AE70</f>
        <v>6.69999999999997</v>
      </c>
      <c r="AG70" s="674">
        <f>AF70</f>
        <v>6.69999999999997</v>
      </c>
      <c r="AH70" s="674">
        <f>AG70</f>
        <v>6.69999999999997</v>
      </c>
      <c r="AI70" s="674">
        <f t="shared" ref="AI70:AJ70" si="48">AH70</f>
        <v>6.69999999999997</v>
      </c>
      <c r="AJ70" s="674">
        <f t="shared" si="48"/>
        <v>6.69999999999997</v>
      </c>
      <c r="AK70" s="674">
        <f t="shared" ref="AK70" si="49">AJ70</f>
        <v>6.69999999999997</v>
      </c>
      <c r="AL70" s="674">
        <f t="shared" ref="AL70" si="50">AK70</f>
        <v>6.69999999999997</v>
      </c>
      <c r="AM70" s="674">
        <f t="shared" ref="AM70" si="51">AL70</f>
        <v>6.69999999999997</v>
      </c>
      <c r="AN70" s="674">
        <f t="shared" ref="AN70" si="52">AM70</f>
        <v>6.69999999999997</v>
      </c>
    </row>
    <row r="71" spans="2:40" ht="30.65" customHeight="1" x14ac:dyDescent="0.35">
      <c r="B71" s="705" t="s">
        <v>1798</v>
      </c>
      <c r="C71" s="706"/>
      <c r="D71" s="711"/>
      <c r="E71" s="679"/>
      <c r="F71" s="679"/>
      <c r="G71" s="679"/>
      <c r="H71" s="679"/>
      <c r="I71" s="679"/>
      <c r="J71" s="712"/>
      <c r="K71" s="712"/>
      <c r="L71" s="712"/>
      <c r="M71" s="713"/>
      <c r="N71" s="712"/>
      <c r="O71" s="712"/>
      <c r="P71" s="712"/>
      <c r="Q71" s="713"/>
      <c r="R71" s="712"/>
      <c r="S71" s="712"/>
      <c r="T71" s="712"/>
      <c r="U71" s="712">
        <f t="shared" ref="U71:AN71" si="53">U75*T72</f>
        <v>106.62885299999998</v>
      </c>
      <c r="V71" s="712">
        <f t="shared" si="53"/>
        <v>0</v>
      </c>
      <c r="W71" s="679">
        <f t="shared" si="53"/>
        <v>0</v>
      </c>
      <c r="X71" s="714">
        <f t="shared" si="53"/>
        <v>0</v>
      </c>
      <c r="Y71" s="714">
        <f t="shared" si="53"/>
        <v>43.967424000000001</v>
      </c>
      <c r="Z71" s="714">
        <f t="shared" si="53"/>
        <v>0</v>
      </c>
      <c r="AA71" s="714">
        <f t="shared" si="53"/>
        <v>0</v>
      </c>
      <c r="AB71" s="714">
        <f t="shared" si="53"/>
        <v>0</v>
      </c>
      <c r="AC71" s="714">
        <f t="shared" si="53"/>
        <v>36.697899999999997</v>
      </c>
      <c r="AD71" s="714">
        <f t="shared" si="53"/>
        <v>0</v>
      </c>
      <c r="AE71" s="714">
        <f t="shared" si="53"/>
        <v>0</v>
      </c>
      <c r="AF71" s="714">
        <f t="shared" si="53"/>
        <v>0</v>
      </c>
      <c r="AG71" s="714">
        <f t="shared" si="53"/>
        <v>37.517645999999999</v>
      </c>
      <c r="AH71" s="714">
        <f t="shared" si="53"/>
        <v>0</v>
      </c>
      <c r="AI71" s="714">
        <f t="shared" si="53"/>
        <v>0</v>
      </c>
      <c r="AJ71" s="714">
        <f t="shared" si="53"/>
        <v>0</v>
      </c>
      <c r="AK71" s="714">
        <f t="shared" si="53"/>
        <v>39.829551858000002</v>
      </c>
      <c r="AL71" s="714">
        <f t="shared" si="53"/>
        <v>0</v>
      </c>
      <c r="AM71" s="714">
        <f t="shared" si="53"/>
        <v>0</v>
      </c>
      <c r="AN71" s="714">
        <f t="shared" si="53"/>
        <v>0</v>
      </c>
    </row>
    <row r="72" spans="2:40" ht="17.5" customHeight="1" x14ac:dyDescent="0.35">
      <c r="B72" s="571" t="s">
        <v>473</v>
      </c>
      <c r="C72" s="249" t="s">
        <v>474</v>
      </c>
      <c r="D72" s="717">
        <f>'Haver Pivoted'!GO88/1000</f>
        <v>983.86099999999999</v>
      </c>
      <c r="E72" s="462">
        <f>'Haver Pivoted'!GP88/1000</f>
        <v>1019.19</v>
      </c>
      <c r="F72" s="462">
        <f>'Haver Pivoted'!GQ88/1000</f>
        <v>1026.704</v>
      </c>
      <c r="G72" s="462">
        <f>'Haver Pivoted'!GR88/1000</f>
        <v>1034.4169999999999</v>
      </c>
      <c r="H72" s="462">
        <f>'Haver Pivoted'!GS88/1000</f>
        <v>1042.6610000000001</v>
      </c>
      <c r="I72" s="462">
        <f>'Haver Pivoted'!GT88/1000</f>
        <v>1068.201</v>
      </c>
      <c r="J72" s="462">
        <f>'Haver Pivoted'!GU88/1000</f>
        <v>1075.075</v>
      </c>
      <c r="K72" s="462">
        <f>'Haver Pivoted'!GV88/1000</f>
        <v>1080.441</v>
      </c>
      <c r="L72" s="462">
        <f>'Haver Pivoted'!GW88/1000</f>
        <v>1087.9949999999999</v>
      </c>
      <c r="M72" s="462">
        <f>'Haver Pivoted'!GX88/1000</f>
        <v>1105.6379999999999</v>
      </c>
      <c r="N72" s="462">
        <f>'Haver Pivoted'!GY88/1000</f>
        <v>1109.6400000000001</v>
      </c>
      <c r="O72" s="462">
        <f>'Haver Pivoted'!GZ88/1000</f>
        <v>1116.9480000000001</v>
      </c>
      <c r="P72" s="462">
        <f>'Haver Pivoted'!HA88/1000</f>
        <v>1126.174</v>
      </c>
      <c r="Q72" s="462">
        <f>'Haver Pivoted'!HB88/1000</f>
        <v>1198.452</v>
      </c>
      <c r="R72" s="462">
        <f>'Haver Pivoted'!HC88/1000</f>
        <v>1207.163</v>
      </c>
      <c r="S72" s="690">
        <f>'Haver Pivoted'!HD88/1000</f>
        <v>1214.7809999999999</v>
      </c>
      <c r="T72" s="690">
        <f>'Haver Pivoted'!HE88/1000</f>
        <v>1225.6189999999999</v>
      </c>
      <c r="U72" s="690">
        <f>'Haver Pivoted'!HF88/1000</f>
        <v>1339.904</v>
      </c>
      <c r="V72" s="690">
        <f>'Haver Pivoted'!HG88/1000</f>
        <v>1353.2829999999999</v>
      </c>
      <c r="W72" s="690">
        <f>'Haver Pivoted'!HH88/1000</f>
        <v>1360.723</v>
      </c>
      <c r="X72" s="690">
        <f>'Haver Pivoted'!HI88/1000</f>
        <v>1373.982</v>
      </c>
      <c r="Y72" s="690">
        <f>'Haver Pivoted'!HJ88/1000</f>
        <v>1426.547</v>
      </c>
      <c r="Z72" s="690">
        <f>'Haver Pivoted'!HK88/1000</f>
        <v>1439.73</v>
      </c>
      <c r="AA72" s="690">
        <f>'Haver Pivoted'!HL88/1000</f>
        <v>1453.1369999999999</v>
      </c>
      <c r="AB72" s="690">
        <f>'Haver Pivoted'!HM88/1000</f>
        <v>1467.9159999999999</v>
      </c>
      <c r="AC72" s="690">
        <f>'Haver Pivoted'!HN88/1000</f>
        <v>1528.789</v>
      </c>
      <c r="AD72" s="690">
        <f>'Haver Pivoted'!HO88/1000</f>
        <v>1605.202</v>
      </c>
      <c r="AE72" s="674">
        <f t="shared" ref="AE72:AN72" si="54">AD72+AE73</f>
        <v>1615.202</v>
      </c>
      <c r="AF72" s="674">
        <f t="shared" si="54"/>
        <v>1631.202</v>
      </c>
      <c r="AG72" s="674">
        <f t="shared" si="54"/>
        <v>1684.719646</v>
      </c>
      <c r="AH72" s="674">
        <f t="shared" si="54"/>
        <v>1700.719646</v>
      </c>
      <c r="AI72" s="674">
        <f t="shared" si="54"/>
        <v>1716.719646</v>
      </c>
      <c r="AJ72" s="674">
        <f t="shared" si="54"/>
        <v>1731.719646</v>
      </c>
      <c r="AK72" s="674">
        <f t="shared" si="54"/>
        <v>1785.5491978580001</v>
      </c>
      <c r="AL72" s="674">
        <f t="shared" si="54"/>
        <v>1798.5491978580001</v>
      </c>
      <c r="AM72" s="674">
        <f t="shared" si="54"/>
        <v>1810.5491978580001</v>
      </c>
      <c r="AN72" s="674">
        <f t="shared" si="54"/>
        <v>1821.5491978580001</v>
      </c>
    </row>
    <row r="73" spans="2:40" ht="17.5" customHeight="1" x14ac:dyDescent="0.35">
      <c r="B73" s="432" t="s">
        <v>1799</v>
      </c>
      <c r="C73" s="249"/>
      <c r="D73" s="717"/>
      <c r="E73" s="462"/>
      <c r="F73" s="462"/>
      <c r="G73" s="462"/>
      <c r="H73" s="462"/>
      <c r="I73" s="462"/>
      <c r="J73" s="462"/>
      <c r="K73" s="462"/>
      <c r="L73" s="462"/>
      <c r="M73" s="462"/>
      <c r="N73" s="462"/>
      <c r="O73" s="462"/>
      <c r="P73" s="462"/>
      <c r="Q73" s="462"/>
      <c r="R73" s="462"/>
      <c r="S73" s="690"/>
      <c r="T73" s="690"/>
      <c r="U73" s="690">
        <f t="shared" ref="U73:AN73" si="55">U71+U74</f>
        <v>114.62885299999998</v>
      </c>
      <c r="V73" s="462">
        <f t="shared" si="55"/>
        <v>8</v>
      </c>
      <c r="W73" s="462">
        <f t="shared" si="55"/>
        <v>11</v>
      </c>
      <c r="X73" s="674">
        <f t="shared" si="55"/>
        <v>14</v>
      </c>
      <c r="Y73" s="674">
        <f t="shared" si="55"/>
        <v>52.967424000000001</v>
      </c>
      <c r="Z73" s="674">
        <f t="shared" si="55"/>
        <v>13</v>
      </c>
      <c r="AA73" s="674">
        <f t="shared" si="55"/>
        <v>11</v>
      </c>
      <c r="AB73" s="674">
        <f t="shared" si="55"/>
        <v>14</v>
      </c>
      <c r="AC73" s="674">
        <f t="shared" si="55"/>
        <v>43.697899999999997</v>
      </c>
      <c r="AD73" s="674">
        <f t="shared" si="55"/>
        <v>68.28</v>
      </c>
      <c r="AE73" s="674">
        <f t="shared" si="55"/>
        <v>10</v>
      </c>
      <c r="AF73" s="674">
        <f t="shared" si="55"/>
        <v>16</v>
      </c>
      <c r="AG73" s="674">
        <f t="shared" si="55"/>
        <v>53.517645999999999</v>
      </c>
      <c r="AH73" s="674">
        <f t="shared" si="55"/>
        <v>16</v>
      </c>
      <c r="AI73" s="674">
        <f t="shared" si="55"/>
        <v>16</v>
      </c>
      <c r="AJ73" s="674">
        <f t="shared" si="55"/>
        <v>15</v>
      </c>
      <c r="AK73" s="674">
        <f t="shared" si="55"/>
        <v>53.829551858000002</v>
      </c>
      <c r="AL73" s="674">
        <f t="shared" si="55"/>
        <v>13</v>
      </c>
      <c r="AM73" s="674">
        <f t="shared" si="55"/>
        <v>12</v>
      </c>
      <c r="AN73" s="674">
        <f t="shared" si="55"/>
        <v>11</v>
      </c>
    </row>
    <row r="74" spans="2:40" ht="17.5" customHeight="1" x14ac:dyDescent="0.35">
      <c r="B74" s="424" t="s">
        <v>1802</v>
      </c>
      <c r="C74" s="249"/>
      <c r="D74" s="717"/>
      <c r="E74" s="462"/>
      <c r="F74" s="690"/>
      <c r="G74" s="690"/>
      <c r="H74" s="690"/>
      <c r="I74" s="690"/>
      <c r="J74" s="690"/>
      <c r="K74" s="690"/>
      <c r="L74" s="690"/>
      <c r="M74" s="690"/>
      <c r="N74" s="690"/>
      <c r="O74" s="690"/>
      <c r="P74" s="690"/>
      <c r="Q74" s="690"/>
      <c r="R74" s="690"/>
      <c r="S74" s="690"/>
      <c r="T74" s="690"/>
      <c r="U74" s="690">
        <v>8</v>
      </c>
      <c r="V74" s="462">
        <v>8</v>
      </c>
      <c r="W74" s="462">
        <v>11</v>
      </c>
      <c r="X74" s="674">
        <v>14</v>
      </c>
      <c r="Y74" s="674">
        <v>9</v>
      </c>
      <c r="Z74" s="674">
        <v>13</v>
      </c>
      <c r="AA74" s="674">
        <v>11</v>
      </c>
      <c r="AB74" s="674">
        <v>14</v>
      </c>
      <c r="AC74" s="674">
        <v>7</v>
      </c>
      <c r="AD74" s="674">
        <f>158-89.72</f>
        <v>68.28</v>
      </c>
      <c r="AE74" s="674">
        <v>10</v>
      </c>
      <c r="AF74" s="674">
        <v>16</v>
      </c>
      <c r="AG74" s="674">
        <v>16</v>
      </c>
      <c r="AH74" s="674">
        <v>16</v>
      </c>
      <c r="AI74" s="674">
        <v>16</v>
      </c>
      <c r="AJ74" s="674">
        <v>15</v>
      </c>
      <c r="AK74" s="674">
        <v>14</v>
      </c>
      <c r="AL74" s="674">
        <v>13</v>
      </c>
      <c r="AM74" s="674">
        <v>12</v>
      </c>
      <c r="AN74" s="674">
        <v>11</v>
      </c>
    </row>
    <row r="75" spans="2:40" ht="39" customHeight="1" x14ac:dyDescent="0.35">
      <c r="B75" s="424" t="s">
        <v>1803</v>
      </c>
      <c r="C75" s="249"/>
      <c r="D75" s="717"/>
      <c r="E75" s="462"/>
      <c r="F75" s="462"/>
      <c r="G75" s="462"/>
      <c r="H75" s="462"/>
      <c r="I75" s="679"/>
      <c r="J75" s="679"/>
      <c r="K75" s="679"/>
      <c r="L75" s="679"/>
      <c r="M75" s="679"/>
      <c r="N75" s="679"/>
      <c r="O75" s="679"/>
      <c r="P75" s="679"/>
      <c r="Q75" s="679"/>
      <c r="R75" s="679"/>
      <c r="S75" s="715"/>
      <c r="T75" s="715"/>
      <c r="U75" s="692">
        <v>8.6999999999999994E-2</v>
      </c>
      <c r="V75" s="680">
        <v>0</v>
      </c>
      <c r="W75" s="680">
        <v>0</v>
      </c>
      <c r="X75" s="716">
        <v>0</v>
      </c>
      <c r="Y75" s="716">
        <v>3.2000000000000001E-2</v>
      </c>
      <c r="Z75" s="716">
        <v>0</v>
      </c>
      <c r="AA75" s="716">
        <v>0</v>
      </c>
      <c r="AB75" s="716">
        <v>0</v>
      </c>
      <c r="AC75" s="716">
        <v>2.5000000000000001E-2</v>
      </c>
      <c r="AD75" s="716">
        <v>0</v>
      </c>
      <c r="AE75" s="716">
        <v>0</v>
      </c>
      <c r="AF75" s="716">
        <v>0</v>
      </c>
      <c r="AG75" s="716">
        <v>2.3E-2</v>
      </c>
      <c r="AH75" s="716">
        <v>0</v>
      </c>
      <c r="AI75" s="716">
        <v>0</v>
      </c>
      <c r="AJ75" s="716">
        <v>0</v>
      </c>
      <c r="AK75" s="716">
        <v>2.3E-2</v>
      </c>
      <c r="AL75" s="716">
        <v>0</v>
      </c>
      <c r="AM75" s="716">
        <v>0</v>
      </c>
      <c r="AN75" s="716">
        <v>0</v>
      </c>
    </row>
    <row r="76" spans="2:40" ht="49.75" customHeight="1" x14ac:dyDescent="0.35">
      <c r="B76" s="494" t="s">
        <v>1426</v>
      </c>
      <c r="C76" s="249"/>
      <c r="D76" s="717">
        <f t="shared" ref="D76:AD76" si="56">D67-D68</f>
        <v>0</v>
      </c>
      <c r="E76" s="462">
        <f t="shared" si="56"/>
        <v>0</v>
      </c>
      <c r="F76" s="462">
        <f t="shared" si="56"/>
        <v>0</v>
      </c>
      <c r="G76" s="462">
        <f t="shared" si="56"/>
        <v>0</v>
      </c>
      <c r="H76" s="462">
        <f t="shared" si="56"/>
        <v>0</v>
      </c>
      <c r="I76" s="462">
        <f t="shared" si="56"/>
        <v>-6.9120000000000346</v>
      </c>
      <c r="J76" s="462">
        <f t="shared" si="56"/>
        <v>-37.9549999999997</v>
      </c>
      <c r="K76" s="462">
        <f t="shared" si="56"/>
        <v>85.725999999999658</v>
      </c>
      <c r="L76" s="462">
        <f t="shared" si="56"/>
        <v>18.405999999999722</v>
      </c>
      <c r="M76" s="462">
        <f t="shared" si="56"/>
        <v>20.282000000000153</v>
      </c>
      <c r="N76" s="462">
        <f t="shared" si="56"/>
        <v>-8.5988400000003367</v>
      </c>
      <c r="O76" s="462">
        <f t="shared" si="56"/>
        <v>-12.537493333333487</v>
      </c>
      <c r="P76" s="462">
        <f t="shared" si="56"/>
        <v>-32.38033333333351</v>
      </c>
      <c r="Q76" s="462">
        <f t="shared" si="56"/>
        <v>72.734879999999521</v>
      </c>
      <c r="R76" s="462">
        <f t="shared" si="56"/>
        <v>75.236879999999019</v>
      </c>
      <c r="S76" s="690">
        <f t="shared" si="56"/>
        <v>66.046879999999419</v>
      </c>
      <c r="T76" s="690">
        <f t="shared" si="56"/>
        <v>90.12587999999937</v>
      </c>
      <c r="U76" s="690">
        <f t="shared" si="56"/>
        <v>55.219026999999414</v>
      </c>
      <c r="V76" s="690">
        <f t="shared" si="56"/>
        <v>69.376026999999112</v>
      </c>
      <c r="W76" s="690">
        <f t="shared" si="56"/>
        <v>73.871026999999231</v>
      </c>
      <c r="X76" s="690">
        <f t="shared" si="56"/>
        <v>92.003026999999292</v>
      </c>
      <c r="Y76" s="690">
        <f t="shared" si="56"/>
        <v>133.13552299999901</v>
      </c>
      <c r="Z76" s="690">
        <f t="shared" si="56"/>
        <v>146.42352299999902</v>
      </c>
      <c r="AA76" s="690">
        <f t="shared" si="56"/>
        <v>149.85352299999886</v>
      </c>
      <c r="AB76" s="690">
        <f t="shared" si="56"/>
        <v>163.69852299999889</v>
      </c>
      <c r="AC76" s="690">
        <f t="shared" si="56"/>
        <v>214.3287979999991</v>
      </c>
      <c r="AD76" s="690">
        <f t="shared" si="56"/>
        <v>299.88479799999936</v>
      </c>
      <c r="AE76" s="674">
        <f t="shared" ref="AE76" si="57">AD76</f>
        <v>299.88479799999936</v>
      </c>
      <c r="AF76" s="674">
        <f t="shared" ref="AF76:AH76" si="58">AE76</f>
        <v>299.88479799999936</v>
      </c>
      <c r="AG76" s="674">
        <f t="shared" si="58"/>
        <v>299.88479799999936</v>
      </c>
      <c r="AH76" s="674">
        <f t="shared" si="58"/>
        <v>299.88479799999936</v>
      </c>
      <c r="AI76" s="674">
        <f t="shared" ref="AI76" si="59">AH76</f>
        <v>299.88479799999936</v>
      </c>
      <c r="AJ76" s="674">
        <f t="shared" ref="AJ76" si="60">AI76</f>
        <v>299.88479799999936</v>
      </c>
      <c r="AK76" s="674">
        <f t="shared" ref="AK76" si="61">AJ76</f>
        <v>299.88479799999936</v>
      </c>
      <c r="AL76" s="674">
        <f t="shared" ref="AL76" si="62">AK76</f>
        <v>299.88479799999936</v>
      </c>
      <c r="AM76" s="674">
        <f t="shared" ref="AM76" si="63">AL76</f>
        <v>299.88479799999936</v>
      </c>
      <c r="AN76" s="674">
        <f t="shared" ref="AN76" si="64">AM76</f>
        <v>299.88479799999936</v>
      </c>
    </row>
    <row r="77" spans="2:40" ht="29.5" customHeight="1" x14ac:dyDescent="0.35">
      <c r="B77" s="284"/>
      <c r="C77" s="249"/>
      <c r="D77" s="238"/>
      <c r="E77" s="238"/>
      <c r="F77" s="238"/>
      <c r="G77" s="238"/>
      <c r="H77" s="238"/>
      <c r="I77" s="238"/>
      <c r="J77" s="238"/>
      <c r="K77" s="238"/>
      <c r="L77" s="238"/>
      <c r="M77" s="238"/>
      <c r="N77" s="238"/>
      <c r="O77" s="238"/>
      <c r="P77" s="238"/>
      <c r="Q77" s="238"/>
      <c r="R77" s="238"/>
      <c r="S77" s="238"/>
      <c r="T77" s="238"/>
      <c r="U77" s="238"/>
      <c r="V77" s="238"/>
      <c r="W77" s="238"/>
      <c r="X77" s="238"/>
      <c r="Y77" s="238"/>
      <c r="Z77" s="238"/>
      <c r="AA77" s="238"/>
      <c r="AB77" s="238"/>
      <c r="AC77" s="238"/>
    </row>
    <row r="78" spans="2:40" ht="16.75" customHeight="1" x14ac:dyDescent="0.35">
      <c r="B78" s="571" t="s">
        <v>473</v>
      </c>
      <c r="C78" s="249" t="s">
        <v>474</v>
      </c>
      <c r="D78" s="717">
        <v>983.86099999999999</v>
      </c>
      <c r="E78" s="462">
        <v>1019.19</v>
      </c>
      <c r="F78" s="462">
        <v>1026.704</v>
      </c>
      <c r="G78" s="462">
        <v>1034.4169999999999</v>
      </c>
      <c r="H78" s="462">
        <v>1042.6610000000001</v>
      </c>
      <c r="I78" s="462">
        <v>1068.201</v>
      </c>
      <c r="J78" s="462">
        <v>1075.075</v>
      </c>
      <c r="K78" s="462">
        <v>1080.441</v>
      </c>
      <c r="L78" s="462">
        <v>1087.9949999999999</v>
      </c>
      <c r="M78" s="462">
        <v>1105.6379999999999</v>
      </c>
      <c r="N78" s="462">
        <v>1109.6400000000001</v>
      </c>
      <c r="O78" s="462">
        <v>1116.9480000000001</v>
      </c>
      <c r="P78" s="462">
        <v>1126.174</v>
      </c>
      <c r="Q78" s="462">
        <v>1198.452</v>
      </c>
      <c r="R78" s="462">
        <v>1207.163</v>
      </c>
      <c r="S78" s="690">
        <v>1214.7809999999999</v>
      </c>
      <c r="T78" s="690">
        <v>1225.6189999999999</v>
      </c>
      <c r="U78" s="690">
        <v>1339.904</v>
      </c>
      <c r="V78" s="690">
        <v>1353.2829999999999</v>
      </c>
      <c r="W78" s="690">
        <v>1360.723</v>
      </c>
      <c r="X78" s="690">
        <v>1373.982</v>
      </c>
      <c r="Y78" s="690">
        <v>1426.547</v>
      </c>
      <c r="Z78" s="690">
        <v>1439.73</v>
      </c>
      <c r="AA78" s="690">
        <v>1453.1369999999999</v>
      </c>
      <c r="AB78" s="690">
        <v>1467.9159999999999</v>
      </c>
      <c r="AC78" s="674">
        <v>1511.6139000000001</v>
      </c>
      <c r="AD78" s="674">
        <v>1525.6138999999998</v>
      </c>
      <c r="AE78" s="674">
        <v>1540.6138999999998</v>
      </c>
      <c r="AF78" s="674">
        <v>1556.6138999999998</v>
      </c>
      <c r="AG78" s="674">
        <v>1608.4160196999999</v>
      </c>
      <c r="AH78" s="674">
        <v>1624.4160196999999</v>
      </c>
      <c r="AI78" s="674">
        <v>1640.4160196999999</v>
      </c>
      <c r="AJ78" s="674">
        <v>1655.4160196999999</v>
      </c>
      <c r="AK78" s="674">
        <v>1707.4905881530999</v>
      </c>
      <c r="AL78" s="674">
        <v>1720.4905881530999</v>
      </c>
      <c r="AM78" s="674">
        <v>1732.4905881530999</v>
      </c>
      <c r="AN78" s="674">
        <v>1743.4905881530999</v>
      </c>
    </row>
    <row r="79" spans="2:40" ht="16.75" customHeight="1" x14ac:dyDescent="0.35">
      <c r="B79" s="432" t="s">
        <v>1799</v>
      </c>
      <c r="C79" s="249"/>
      <c r="D79" s="717"/>
      <c r="E79" s="462"/>
      <c r="F79" s="462"/>
      <c r="G79" s="462"/>
      <c r="H79" s="462"/>
      <c r="I79" s="462"/>
      <c r="J79" s="462"/>
      <c r="K79" s="462"/>
      <c r="L79" s="462"/>
      <c r="M79" s="462"/>
      <c r="N79" s="462"/>
      <c r="O79" s="462"/>
      <c r="P79" s="462"/>
      <c r="Q79" s="462"/>
      <c r="R79" s="462"/>
      <c r="S79" s="690"/>
      <c r="T79" s="690"/>
      <c r="U79" s="690">
        <v>114.62885299999998</v>
      </c>
      <c r="V79" s="462">
        <v>8</v>
      </c>
      <c r="W79" s="462">
        <v>11</v>
      </c>
      <c r="X79" s="674">
        <v>14</v>
      </c>
      <c r="Y79" s="674">
        <v>52.967424000000001</v>
      </c>
      <c r="Z79" s="674">
        <v>13</v>
      </c>
      <c r="AA79" s="674">
        <v>11</v>
      </c>
      <c r="AB79" s="674">
        <v>14</v>
      </c>
      <c r="AC79" s="674">
        <v>43.697899999999997</v>
      </c>
      <c r="AD79" s="674">
        <v>14</v>
      </c>
      <c r="AE79" s="674">
        <v>15</v>
      </c>
      <c r="AF79" s="674">
        <v>16</v>
      </c>
      <c r="AG79" s="674">
        <v>51.802119699999999</v>
      </c>
      <c r="AH79" s="674">
        <v>16</v>
      </c>
      <c r="AI79" s="674">
        <v>16</v>
      </c>
      <c r="AJ79" s="674">
        <v>15</v>
      </c>
      <c r="AK79" s="674">
        <v>52.074568453099999</v>
      </c>
      <c r="AL79" s="674">
        <v>13</v>
      </c>
      <c r="AM79" s="674">
        <v>12</v>
      </c>
      <c r="AN79" s="674">
        <v>11</v>
      </c>
    </row>
    <row r="80" spans="2:40" ht="16.75" customHeight="1" x14ac:dyDescent="0.35">
      <c r="B80" s="424" t="s">
        <v>1984</v>
      </c>
      <c r="C80" s="249"/>
      <c r="D80" s="717"/>
      <c r="E80" s="462"/>
      <c r="F80" s="690"/>
      <c r="G80" s="690"/>
      <c r="H80" s="690"/>
      <c r="I80" s="690"/>
      <c r="J80" s="690"/>
      <c r="K80" s="690"/>
      <c r="L80" s="690"/>
      <c r="M80" s="690"/>
      <c r="N80" s="690"/>
      <c r="O80" s="690"/>
      <c r="P80" s="690"/>
      <c r="Q80" s="690"/>
      <c r="R80" s="690"/>
      <c r="S80" s="690"/>
      <c r="T80" s="690"/>
      <c r="U80" s="690">
        <v>8</v>
      </c>
      <c r="V80" s="462">
        <v>8</v>
      </c>
      <c r="W80" s="462">
        <v>11</v>
      </c>
      <c r="X80" s="674">
        <v>14</v>
      </c>
      <c r="Y80" s="674">
        <v>9</v>
      </c>
      <c r="Z80" s="674">
        <v>13</v>
      </c>
      <c r="AA80" s="674">
        <v>11</v>
      </c>
      <c r="AB80" s="674">
        <v>14</v>
      </c>
      <c r="AC80" s="674">
        <v>7</v>
      </c>
      <c r="AD80" s="674">
        <v>14</v>
      </c>
      <c r="AE80" s="674">
        <v>15</v>
      </c>
      <c r="AF80" s="674">
        <v>16</v>
      </c>
      <c r="AG80" s="674">
        <v>16</v>
      </c>
      <c r="AH80" s="674">
        <v>16</v>
      </c>
      <c r="AI80" s="674">
        <v>16</v>
      </c>
      <c r="AJ80" s="674">
        <v>15</v>
      </c>
      <c r="AK80" s="674">
        <v>14</v>
      </c>
      <c r="AL80" s="674">
        <v>13</v>
      </c>
      <c r="AM80" s="674">
        <v>12</v>
      </c>
      <c r="AN80" s="674">
        <v>11</v>
      </c>
    </row>
    <row r="81" spans="2:40" ht="16.75" customHeight="1" x14ac:dyDescent="0.35">
      <c r="B81" s="424" t="s">
        <v>1985</v>
      </c>
      <c r="C81" s="249"/>
      <c r="D81" s="717"/>
      <c r="E81" s="462"/>
      <c r="F81" s="462"/>
      <c r="G81" s="462"/>
      <c r="H81" s="462"/>
      <c r="I81" s="679"/>
      <c r="J81" s="679"/>
      <c r="K81" s="679"/>
      <c r="L81" s="679"/>
      <c r="M81" s="679"/>
      <c r="N81" s="679"/>
      <c r="O81" s="679"/>
      <c r="P81" s="679"/>
      <c r="Q81" s="679"/>
      <c r="R81" s="679"/>
      <c r="S81" s="715"/>
      <c r="T81" s="715"/>
      <c r="U81" s="692">
        <v>8.6999999999999994E-2</v>
      </c>
      <c r="V81" s="680">
        <v>0</v>
      </c>
      <c r="W81" s="680">
        <v>0</v>
      </c>
      <c r="X81" s="716">
        <v>0</v>
      </c>
      <c r="Y81" s="716">
        <v>3.2000000000000001E-2</v>
      </c>
      <c r="Z81" s="716">
        <v>0</v>
      </c>
      <c r="AA81" s="716">
        <v>0</v>
      </c>
      <c r="AB81" s="716">
        <v>0</v>
      </c>
      <c r="AC81" s="716">
        <v>2.5000000000000001E-2</v>
      </c>
      <c r="AD81" s="716">
        <v>0</v>
      </c>
      <c r="AE81" s="716">
        <v>0</v>
      </c>
      <c r="AF81" s="716">
        <v>0</v>
      </c>
      <c r="AG81" s="716">
        <v>2.3E-2</v>
      </c>
      <c r="AH81" s="716">
        <v>0</v>
      </c>
      <c r="AI81" s="716">
        <v>0</v>
      </c>
      <c r="AJ81" s="716">
        <v>0</v>
      </c>
      <c r="AK81" s="716">
        <v>2.3E-2</v>
      </c>
      <c r="AL81" s="716">
        <v>0</v>
      </c>
      <c r="AM81" s="716">
        <v>0</v>
      </c>
      <c r="AN81" s="716">
        <v>0</v>
      </c>
    </row>
    <row r="82" spans="2:40" ht="16.75" customHeight="1" x14ac:dyDescent="0.35">
      <c r="B82" s="494" t="s">
        <v>1426</v>
      </c>
      <c r="C82" s="249"/>
      <c r="D82" s="717">
        <v>0</v>
      </c>
      <c r="E82" s="462">
        <v>0</v>
      </c>
      <c r="F82" s="462">
        <v>0</v>
      </c>
      <c r="G82" s="462">
        <v>0</v>
      </c>
      <c r="H82" s="462">
        <v>0</v>
      </c>
      <c r="I82" s="462">
        <v>-6.9120000000000346</v>
      </c>
      <c r="J82" s="462">
        <v>-37.9549999999997</v>
      </c>
      <c r="K82" s="462">
        <v>85.725999999999658</v>
      </c>
      <c r="L82" s="462">
        <v>18.405999999999722</v>
      </c>
      <c r="M82" s="462">
        <v>20.282000000000153</v>
      </c>
      <c r="N82" s="462">
        <v>-8.5988400000003367</v>
      </c>
      <c r="O82" s="462">
        <v>-12.537493333333487</v>
      </c>
      <c r="P82" s="462">
        <v>-32.38033333333351</v>
      </c>
      <c r="Q82" s="462">
        <v>72.734879999999521</v>
      </c>
      <c r="R82" s="462">
        <v>75.236879999999019</v>
      </c>
      <c r="S82" s="690">
        <v>66.046879999999419</v>
      </c>
      <c r="T82" s="690">
        <v>90.12587999999937</v>
      </c>
      <c r="U82" s="690">
        <v>55.219026999999414</v>
      </c>
      <c r="V82" s="690">
        <v>69.376026999999112</v>
      </c>
      <c r="W82" s="690">
        <v>73.871026999999231</v>
      </c>
      <c r="X82" s="690">
        <v>92.003026999999292</v>
      </c>
      <c r="Y82" s="690">
        <v>133.13552299999901</v>
      </c>
      <c r="Z82" s="690">
        <v>146.42352299999902</v>
      </c>
      <c r="AA82" s="690">
        <v>149.85352299999886</v>
      </c>
      <c r="AB82" s="690">
        <v>163.69852299999889</v>
      </c>
      <c r="AC82" s="674">
        <v>163.69852299999889</v>
      </c>
      <c r="AD82" s="674">
        <v>163.69852299999889</v>
      </c>
      <c r="AE82" s="674">
        <v>163.69852299999889</v>
      </c>
      <c r="AF82" s="674">
        <v>163.69852299999889</v>
      </c>
      <c r="AG82" s="674">
        <v>163.69852299999889</v>
      </c>
      <c r="AH82" s="674">
        <v>163.69852299999889</v>
      </c>
      <c r="AI82" s="674">
        <v>163.69852299999889</v>
      </c>
      <c r="AJ82" s="674">
        <v>163.69852299999889</v>
      </c>
      <c r="AK82" s="674">
        <v>163.69852299999889</v>
      </c>
      <c r="AL82" s="674">
        <v>163.69852299999889</v>
      </c>
      <c r="AM82" s="674">
        <v>163.69852299999889</v>
      </c>
      <c r="AN82" s="674">
        <v>163.69852299999889</v>
      </c>
    </row>
    <row r="83" spans="2:40" ht="16.75" customHeight="1" x14ac:dyDescent="0.35">
      <c r="B83" s="234"/>
      <c r="C83" s="249"/>
      <c r="S83" s="238"/>
      <c r="T83" s="238"/>
      <c r="U83" s="238"/>
      <c r="V83" s="238"/>
      <c r="W83" s="238"/>
      <c r="X83" s="238"/>
      <c r="Y83" s="238"/>
      <c r="Z83" s="238"/>
      <c r="AA83" s="238"/>
      <c r="AB83" s="238"/>
      <c r="AC83" s="238"/>
      <c r="AD83" s="532"/>
    </row>
    <row r="84" spans="2:40" ht="16.75" customHeight="1" x14ac:dyDescent="0.35">
      <c r="B84" s="234"/>
      <c r="C84" s="249"/>
      <c r="S84" s="238"/>
      <c r="T84" s="238"/>
      <c r="U84" s="238"/>
      <c r="V84" s="238"/>
      <c r="W84" s="238"/>
      <c r="X84" s="238"/>
      <c r="Y84" s="238"/>
      <c r="Z84" s="238"/>
      <c r="AA84" s="238"/>
      <c r="AB84" s="238"/>
      <c r="AC84" s="238"/>
      <c r="AD84" s="532"/>
    </row>
    <row r="85" spans="2:40" ht="16.75" customHeight="1" x14ac:dyDescent="0.35">
      <c r="B85" s="249"/>
      <c r="C85" s="249"/>
      <c r="S85" s="249"/>
      <c r="T85" s="249"/>
      <c r="U85" s="462"/>
      <c r="V85" s="462"/>
      <c r="W85" s="462"/>
      <c r="X85" s="462"/>
      <c r="Y85" s="462"/>
      <c r="Z85" s="462"/>
      <c r="AA85" s="462"/>
      <c r="AB85" s="462"/>
      <c r="AC85" s="462"/>
      <c r="AD85" s="532"/>
    </row>
    <row r="86" spans="2:40" ht="16.75" customHeight="1" x14ac:dyDescent="0.35">
      <c r="B86" s="234"/>
      <c r="C86" s="249"/>
      <c r="S86" s="249"/>
      <c r="T86" s="249"/>
      <c r="U86" s="462"/>
      <c r="V86" s="462"/>
      <c r="W86" s="462"/>
      <c r="X86" s="462"/>
      <c r="Y86" s="462"/>
      <c r="Z86" s="462"/>
      <c r="AA86" s="462"/>
      <c r="AB86" s="462"/>
      <c r="AC86" s="462"/>
      <c r="AD86" s="532"/>
    </row>
    <row r="87" spans="2:40" ht="16.75" customHeight="1" x14ac:dyDescent="0.35">
      <c r="B87" s="234"/>
      <c r="C87" s="249"/>
      <c r="S87" s="249"/>
      <c r="T87" s="249"/>
      <c r="U87" s="238"/>
      <c r="V87" s="238"/>
      <c r="W87" s="238"/>
      <c r="X87" s="238"/>
      <c r="Y87" s="238"/>
      <c r="Z87" s="238"/>
      <c r="AA87" s="238"/>
      <c r="AB87" s="238"/>
      <c r="AC87" s="238"/>
      <c r="AD87" s="532"/>
    </row>
    <row r="88" spans="2:40" ht="16.75" customHeight="1" x14ac:dyDescent="0.35">
      <c r="B88" s="234"/>
      <c r="C88" s="249"/>
      <c r="S88" s="249"/>
      <c r="T88" s="249"/>
      <c r="U88" s="693"/>
      <c r="V88" s="693"/>
      <c r="W88" s="693"/>
      <c r="X88" s="693"/>
      <c r="Y88" s="693"/>
      <c r="Z88" s="693"/>
      <c r="AA88" s="693"/>
      <c r="AB88" s="693"/>
      <c r="AC88" s="693"/>
      <c r="AD88" s="532"/>
    </row>
    <row r="89" spans="2:40" ht="16.75" customHeight="1" x14ac:dyDescent="0.35">
      <c r="B89" s="249"/>
      <c r="C89" s="249"/>
      <c r="S89" s="238"/>
      <c r="T89" s="238"/>
      <c r="U89" s="238"/>
      <c r="V89" s="238"/>
      <c r="W89" s="238"/>
      <c r="X89" s="238"/>
      <c r="Y89" s="238"/>
      <c r="Z89" s="238"/>
      <c r="AA89" s="238"/>
      <c r="AB89" s="238"/>
      <c r="AC89" s="238"/>
      <c r="AD89" s="532"/>
    </row>
    <row r="90" spans="2:40" ht="22.5" customHeight="1" x14ac:dyDescent="0.35">
      <c r="B90" s="284"/>
      <c r="C90" s="249"/>
      <c r="D90" s="238"/>
      <c r="E90" s="238"/>
      <c r="F90" s="238"/>
      <c r="G90" s="238"/>
      <c r="H90" s="238"/>
      <c r="I90" s="238"/>
      <c r="J90" s="238"/>
      <c r="K90" s="238"/>
      <c r="L90" s="238"/>
      <c r="M90" s="238"/>
      <c r="N90" s="238"/>
      <c r="O90" s="238"/>
      <c r="P90" s="238"/>
      <c r="Q90" s="238"/>
      <c r="R90" s="238"/>
      <c r="S90" s="238"/>
      <c r="T90" s="238"/>
      <c r="U90" s="238"/>
      <c r="V90" s="238"/>
      <c r="W90" s="238"/>
      <c r="X90" s="238"/>
      <c r="Y90" s="238"/>
      <c r="Z90" s="238"/>
      <c r="AA90" s="238"/>
      <c r="AB90" s="238"/>
      <c r="AC90" s="238"/>
    </row>
    <row r="91" spans="2:40" ht="22.5" customHeight="1" x14ac:dyDescent="0.35">
      <c r="B91" s="284"/>
      <c r="C91" s="249"/>
      <c r="D91" s="238"/>
      <c r="E91" s="238"/>
      <c r="F91" s="238"/>
      <c r="G91" s="238"/>
      <c r="H91" s="238"/>
      <c r="I91" s="238"/>
      <c r="J91" s="238"/>
      <c r="K91" s="238"/>
      <c r="L91" s="238"/>
      <c r="M91" s="238"/>
      <c r="N91" s="238"/>
      <c r="O91" s="238"/>
      <c r="P91" s="238"/>
      <c r="Q91" s="238"/>
      <c r="R91" s="238"/>
      <c r="S91" s="238"/>
      <c r="T91" s="238"/>
      <c r="U91" s="238"/>
      <c r="V91" s="238"/>
      <c r="W91" s="238"/>
      <c r="X91" s="238"/>
      <c r="Y91" s="238"/>
      <c r="Z91" s="238"/>
      <c r="AA91" s="238"/>
      <c r="AB91" s="238"/>
      <c r="AC91" s="238"/>
    </row>
    <row r="92" spans="2:40" ht="38.5" customHeight="1" x14ac:dyDescent="0.35">
      <c r="B92" s="669"/>
      <c r="C92" s="670">
        <v>2016</v>
      </c>
      <c r="D92" s="671">
        <f>C92+1</f>
        <v>2017</v>
      </c>
      <c r="E92" s="671">
        <f t="shared" ref="E92:R92" si="65">D92+1</f>
        <v>2018</v>
      </c>
      <c r="F92" s="671">
        <f t="shared" si="65"/>
        <v>2019</v>
      </c>
      <c r="G92" s="671">
        <f t="shared" si="65"/>
        <v>2020</v>
      </c>
      <c r="H92" s="671">
        <f t="shared" si="65"/>
        <v>2021</v>
      </c>
      <c r="I92" s="671">
        <f t="shared" si="65"/>
        <v>2022</v>
      </c>
      <c r="J92" s="671">
        <f t="shared" si="65"/>
        <v>2023</v>
      </c>
      <c r="K92" s="671">
        <f t="shared" si="65"/>
        <v>2024</v>
      </c>
      <c r="L92" s="671">
        <f t="shared" si="65"/>
        <v>2025</v>
      </c>
      <c r="M92" s="671">
        <f t="shared" si="65"/>
        <v>2026</v>
      </c>
      <c r="N92" s="671">
        <f t="shared" si="65"/>
        <v>2027</v>
      </c>
      <c r="O92" s="671">
        <f t="shared" si="65"/>
        <v>2028</v>
      </c>
      <c r="P92" s="671">
        <f t="shared" si="65"/>
        <v>2029</v>
      </c>
      <c r="Q92" s="671">
        <f t="shared" si="65"/>
        <v>2030</v>
      </c>
      <c r="R92" s="671">
        <f t="shared" si="65"/>
        <v>2031</v>
      </c>
      <c r="S92" s="238"/>
      <c r="T92" s="238"/>
      <c r="U92" s="238"/>
      <c r="V92" s="238"/>
      <c r="W92" s="238"/>
      <c r="X92" s="238"/>
      <c r="Y92" s="238"/>
      <c r="Z92" s="238"/>
      <c r="AA92" s="238"/>
      <c r="AB92" s="238"/>
      <c r="AC92" s="238"/>
    </row>
    <row r="93" spans="2:40" ht="38.5" customHeight="1" x14ac:dyDescent="0.35">
      <c r="B93" s="675" t="s">
        <v>1978</v>
      </c>
      <c r="C93">
        <v>910.3</v>
      </c>
      <c r="D93">
        <v>939.2</v>
      </c>
      <c r="E93">
        <v>982</v>
      </c>
      <c r="F93">
        <v>1038.5</v>
      </c>
      <c r="G93">
        <v>1089.9000000000001</v>
      </c>
      <c r="H93">
        <v>1128.8</v>
      </c>
      <c r="I93">
        <v>1212.5</v>
      </c>
      <c r="J93">
        <v>1348</v>
      </c>
      <c r="K93">
        <v>1454.424</v>
      </c>
      <c r="L93">
        <v>1572.1079999999999</v>
      </c>
      <c r="M93">
        <v>1664.223</v>
      </c>
      <c r="N93">
        <v>1760.8779999999999</v>
      </c>
      <c r="O93">
        <v>1865.222</v>
      </c>
      <c r="P93">
        <v>1967.5059999999999</v>
      </c>
      <c r="Q93">
        <v>2071.6129999999998</v>
      </c>
      <c r="R93">
        <v>2179.337</v>
      </c>
      <c r="S93" s="270">
        <v>2288.683</v>
      </c>
      <c r="T93" s="270">
        <v>2399.4650000000001</v>
      </c>
      <c r="U93" s="270">
        <v>2510.5969999999998</v>
      </c>
      <c r="V93" s="238">
        <v>2623.808</v>
      </c>
      <c r="W93" s="238"/>
      <c r="X93" s="238"/>
      <c r="Y93" s="238"/>
      <c r="Z93" s="238"/>
      <c r="AA93" s="238"/>
      <c r="AB93" s="238"/>
      <c r="AC93" s="238"/>
    </row>
    <row r="94" spans="2:40" ht="38.5" customHeight="1" x14ac:dyDescent="0.35">
      <c r="B94" s="409" t="s">
        <v>1979</v>
      </c>
      <c r="C94">
        <v>890.39374999999995</v>
      </c>
      <c r="D94">
        <v>918.71375</v>
      </c>
      <c r="E94">
        <v>960.61400000000003</v>
      </c>
      <c r="F94">
        <v>1016.043</v>
      </c>
      <c r="G94">
        <v>1066.5944999999999</v>
      </c>
      <c r="H94">
        <v>1105.0552499999999</v>
      </c>
      <c r="I94">
        <v>1186.6424999999999</v>
      </c>
      <c r="J94">
        <v>1319.8822500000001</v>
      </c>
      <c r="K94">
        <v>1423.3489999999999</v>
      </c>
      <c r="L94" s="270">
        <f>AVERAGE(AB72:AE72)</f>
        <v>1554.2772500000001</v>
      </c>
      <c r="M94" s="270">
        <f>AVERAGE(AF72:AI72)</f>
        <v>1683.3402345</v>
      </c>
      <c r="N94" s="270">
        <f>AVERAGE(AJ72:AM72)</f>
        <v>1781.5918098935001</v>
      </c>
      <c r="S94" s="238"/>
      <c r="T94" s="238"/>
      <c r="U94" s="238"/>
      <c r="V94" s="238"/>
      <c r="W94" s="238"/>
      <c r="X94" s="238"/>
      <c r="Y94" s="238"/>
      <c r="Z94" s="238"/>
      <c r="AA94" s="238"/>
      <c r="AB94" s="238"/>
      <c r="AC94" s="238"/>
    </row>
    <row r="95" spans="2:40" ht="69" customHeight="1" x14ac:dyDescent="0.35">
      <c r="B95" s="284" t="s">
        <v>1980</v>
      </c>
      <c r="C95" s="249">
        <f>C94/C93</f>
        <v>0.97813220916181476</v>
      </c>
      <c r="D95" s="249">
        <f t="shared" ref="D95:K95" si="66">D94/D93</f>
        <v>0.97818755323679718</v>
      </c>
      <c r="E95" s="249">
        <f t="shared" si="66"/>
        <v>0.97822199592668024</v>
      </c>
      <c r="F95" s="249">
        <f t="shared" si="66"/>
        <v>0.97837554164660567</v>
      </c>
      <c r="G95" s="249">
        <f t="shared" si="66"/>
        <v>0.97861684558216333</v>
      </c>
      <c r="H95" s="249">
        <f t="shared" si="66"/>
        <v>0.9789646084337349</v>
      </c>
      <c r="I95" s="249">
        <f t="shared" si="66"/>
        <v>0.97867422680412364</v>
      </c>
      <c r="J95" s="249">
        <f t="shared" si="66"/>
        <v>0.97914113501483691</v>
      </c>
      <c r="K95" s="249">
        <f t="shared" si="66"/>
        <v>0.97863415345181315</v>
      </c>
      <c r="L95" s="249">
        <f t="shared" ref="L95" si="67">L94/L93</f>
        <v>0.98865806293206326</v>
      </c>
      <c r="M95" s="249">
        <f t="shared" ref="M95" si="68">M94/M93</f>
        <v>1.0114871832080197</v>
      </c>
      <c r="N95" s="249">
        <f t="shared" ref="N95" si="69">N94/N93</f>
        <v>1.0117633418632637</v>
      </c>
      <c r="P95" s="238"/>
      <c r="Q95" s="238"/>
      <c r="R95" s="238"/>
      <c r="S95" s="238"/>
      <c r="T95" s="238"/>
      <c r="U95" s="238"/>
      <c r="V95" s="238"/>
      <c r="W95" s="238"/>
      <c r="X95" s="238"/>
      <c r="Y95" s="238"/>
      <c r="Z95" s="238"/>
      <c r="AA95" s="238"/>
      <c r="AB95" s="238"/>
      <c r="AC95" s="238"/>
    </row>
    <row r="96" spans="2:40" x14ac:dyDescent="0.35">
      <c r="I96" s="249"/>
      <c r="J96" s="249"/>
      <c r="K96" s="249"/>
      <c r="L96" s="249">
        <f>L93*$K$95</f>
        <v>1538.5185817148231</v>
      </c>
      <c r="M96" s="249">
        <f t="shared" ref="M96:N96" si="70">M93*$K$95</f>
        <v>1628.6654667600367</v>
      </c>
      <c r="N96" s="249">
        <f t="shared" si="70"/>
        <v>1723.2553508619217</v>
      </c>
      <c r="P96" s="249"/>
    </row>
    <row r="97" spans="3:18" x14ac:dyDescent="0.35">
      <c r="L97" s="74">
        <f>L96-L94</f>
        <v>-15.758668285177009</v>
      </c>
      <c r="M97" s="74">
        <f t="shared" ref="M97:N97" si="71">M96-M94</f>
        <v>-54.674767739963272</v>
      </c>
      <c r="N97" s="74">
        <f t="shared" si="71"/>
        <v>-58.336459031578443</v>
      </c>
      <c r="R97" s="532"/>
    </row>
    <row r="99" spans="3:18" x14ac:dyDescent="0.35">
      <c r="C99" t="e">
        <f t="shared" ref="C99:M99" si="72">C93/B93-1</f>
        <v>#VALUE!</v>
      </c>
      <c r="D99">
        <f t="shared" si="72"/>
        <v>3.1747775458640159E-2</v>
      </c>
      <c r="E99">
        <f t="shared" si="72"/>
        <v>4.557069846678008E-2</v>
      </c>
      <c r="F99">
        <f t="shared" si="72"/>
        <v>5.7535641547861616E-2</v>
      </c>
      <c r="G99">
        <f t="shared" si="72"/>
        <v>4.9494463168030967E-2</v>
      </c>
      <c r="H99">
        <f t="shared" si="72"/>
        <v>3.5691347830075992E-2</v>
      </c>
      <c r="I99">
        <f t="shared" si="72"/>
        <v>7.4149539333805858E-2</v>
      </c>
      <c r="J99">
        <f t="shared" si="72"/>
        <v>0.11175257731958754</v>
      </c>
      <c r="K99">
        <f t="shared" si="72"/>
        <v>7.8949554896142526E-2</v>
      </c>
      <c r="L99">
        <f t="shared" si="72"/>
        <v>8.0914506361281058E-2</v>
      </c>
      <c r="M99">
        <f t="shared" si="72"/>
        <v>5.8593302750192811E-2</v>
      </c>
      <c r="N99">
        <f>N93/M93-1</f>
        <v>5.8078154189672881E-2</v>
      </c>
    </row>
    <row r="100" spans="3:18" ht="13.4" customHeight="1" x14ac:dyDescent="0.35"/>
    <row r="104" spans="3:18" ht="27.65" customHeight="1" x14ac:dyDescent="0.35"/>
  </sheetData>
  <mergeCells count="35">
    <mergeCell ref="AK61:AN61"/>
    <mergeCell ref="AK9:AN9"/>
    <mergeCell ref="AK49:AN49"/>
    <mergeCell ref="U9:X9"/>
    <mergeCell ref="Q61:T61"/>
    <mergeCell ref="AC61:AF61"/>
    <mergeCell ref="AG49:AJ49"/>
    <mergeCell ref="AG61:AJ61"/>
    <mergeCell ref="Q49:T49"/>
    <mergeCell ref="AG9:AJ9"/>
    <mergeCell ref="AC60:AN60"/>
    <mergeCell ref="B1:AC1"/>
    <mergeCell ref="B2:AC6"/>
    <mergeCell ref="E9:H9"/>
    <mergeCell ref="I9:L9"/>
    <mergeCell ref="M9:P9"/>
    <mergeCell ref="Q9:T9"/>
    <mergeCell ref="AC9:AF9"/>
    <mergeCell ref="AC8:AN8"/>
    <mergeCell ref="D8:AB8"/>
    <mergeCell ref="B11:C11"/>
    <mergeCell ref="B47:AC47"/>
    <mergeCell ref="B48:C50"/>
    <mergeCell ref="E49:H49"/>
    <mergeCell ref="I49:L49"/>
    <mergeCell ref="B36:C36"/>
    <mergeCell ref="AC49:AF49"/>
    <mergeCell ref="AC48:AN48"/>
    <mergeCell ref="D48:AB48"/>
    <mergeCell ref="B60:C62"/>
    <mergeCell ref="E61:H61"/>
    <mergeCell ref="I61:L61"/>
    <mergeCell ref="M49:P49"/>
    <mergeCell ref="M61:P61"/>
    <mergeCell ref="D60:AB60"/>
  </mergeCells>
  <pageMargins left="0.7" right="0.7" top="0.75" bottom="0.75" header="0.3" footer="0.3"/>
  <pageSetup paperSize="9" orientation="portrait" horizontalDpi="300" verticalDpi="300"/>
  <drawing r:id="rId1"/>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5B200-05C4-4D59-9D85-B38DBE75AB5B}">
  <dimension ref="A1:L11"/>
  <sheetViews>
    <sheetView zoomScale="115" zoomScaleNormal="115" workbookViewId="0">
      <selection activeCell="A10" sqref="A10"/>
    </sheetView>
  </sheetViews>
  <sheetFormatPr defaultRowHeight="14.5" x14ac:dyDescent="0.35"/>
  <cols>
    <col min="1" max="1" width="24.08984375" bestFit="1" customWidth="1"/>
  </cols>
  <sheetData>
    <row r="1" spans="1:12" x14ac:dyDescent="0.35">
      <c r="B1" t="s">
        <v>2333</v>
      </c>
      <c r="E1" t="s">
        <v>2334</v>
      </c>
      <c r="K1" t="s">
        <v>2338</v>
      </c>
    </row>
    <row r="2" spans="1:12" x14ac:dyDescent="0.35">
      <c r="B2" t="s">
        <v>2332</v>
      </c>
      <c r="C2" t="s">
        <v>238</v>
      </c>
      <c r="D2" t="s">
        <v>2336</v>
      </c>
      <c r="E2" t="s">
        <v>283</v>
      </c>
      <c r="F2" t="s">
        <v>238</v>
      </c>
      <c r="G2" t="s">
        <v>2336</v>
      </c>
      <c r="I2" t="s">
        <v>2337</v>
      </c>
      <c r="K2" t="s">
        <v>2332</v>
      </c>
      <c r="L2" t="s">
        <v>238</v>
      </c>
    </row>
    <row r="3" spans="1:12" x14ac:dyDescent="0.35">
      <c r="A3" t="s">
        <v>2335</v>
      </c>
      <c r="B3">
        <f>'Social Benefits- June'!AD12</f>
        <v>3471.6821604763954</v>
      </c>
      <c r="C3">
        <f>'Social Benefits- June'!AE12</f>
        <v>3493.4089053306125</v>
      </c>
      <c r="D3">
        <f>C3-B3</f>
        <v>21.726744854217031</v>
      </c>
      <c r="E3">
        <f>'Social Benefits'!AD12</f>
        <v>3574.9</v>
      </c>
      <c r="F3">
        <f>'Social Benefits'!AE12</f>
        <v>3596.2432909637887</v>
      </c>
      <c r="G3">
        <f>F3-E3</f>
        <v>21.343290963788604</v>
      </c>
      <c r="I3">
        <f>G3-D3</f>
        <v>-0.38345389042842726</v>
      </c>
      <c r="K3">
        <f>E3-B3</f>
        <v>103.21783952360465</v>
      </c>
      <c r="L3">
        <f>F3-C3</f>
        <v>102.83438563317623</v>
      </c>
    </row>
    <row r="4" spans="1:12" x14ac:dyDescent="0.35">
      <c r="A4" t="s">
        <v>798</v>
      </c>
      <c r="B4">
        <f>'Social Benefits- June'!AD33</f>
        <v>2268.998</v>
      </c>
      <c r="C4">
        <f>'Social Benefits- June'!AE33</f>
        <v>2275.6980000000003</v>
      </c>
      <c r="D4">
        <f>C4-B4</f>
        <v>6.7000000000002728</v>
      </c>
      <c r="E4">
        <f>'Social Benefits'!AD33</f>
        <v>2352.0980000000004</v>
      </c>
      <c r="F4">
        <f>'Social Benefits'!AE33</f>
        <v>2359.3871549999999</v>
      </c>
      <c r="G4">
        <f>F4-E4</f>
        <v>7.2891549999994822</v>
      </c>
      <c r="I4">
        <f t="shared" ref="I4:I7" si="0">G4-D4</f>
        <v>0.58915499999920939</v>
      </c>
      <c r="K4">
        <f>E4-B4</f>
        <v>83.100000000000364</v>
      </c>
      <c r="L4">
        <f>F4-C4</f>
        <v>83.689154999999573</v>
      </c>
    </row>
    <row r="5" spans="1:12" x14ac:dyDescent="0.35">
      <c r="A5" t="s">
        <v>55</v>
      </c>
      <c r="B5">
        <f>'Social Benefits- June'!AD17</f>
        <v>1179.9491604763948</v>
      </c>
      <c r="C5">
        <f>'Social Benefits- June'!AE17</f>
        <v>1194.9759053306122</v>
      </c>
      <c r="D5">
        <f>C5-B5</f>
        <v>15.026744854217441</v>
      </c>
      <c r="E5">
        <f>'Social Benefits'!AD17</f>
        <v>1182.0999999999999</v>
      </c>
      <c r="F5">
        <f>'Social Benefits'!AE17</f>
        <v>1197.1541359637888</v>
      </c>
      <c r="G5">
        <f>F5-E5</f>
        <v>15.054135963788895</v>
      </c>
      <c r="I5">
        <f t="shared" si="0"/>
        <v>2.7391109571453853E-2</v>
      </c>
      <c r="K5">
        <f t="shared" ref="K5:K6" si="1">E5-B5</f>
        <v>2.1508395236051001</v>
      </c>
      <c r="L5">
        <f t="shared" ref="L5:L6" si="2">F5-C5</f>
        <v>2.178230633176554</v>
      </c>
    </row>
    <row r="6" spans="1:12" x14ac:dyDescent="0.35">
      <c r="A6" t="s">
        <v>2339</v>
      </c>
      <c r="B6">
        <f>'Social Benefits- June'!AD34</f>
        <v>580.4079999999999</v>
      </c>
      <c r="C6">
        <f>'Social Benefits- June'!AE34</f>
        <v>577.10800000000017</v>
      </c>
      <c r="D6">
        <f>C6-B6</f>
        <v>-3.2999999999997272</v>
      </c>
      <c r="E6">
        <f>'Social Benefits'!AD30</f>
        <v>657.83100000000013</v>
      </c>
      <c r="F6">
        <f>'Social Benefits'!AE30</f>
        <v>661.12015500000007</v>
      </c>
      <c r="G6">
        <f>F6-E6</f>
        <v>3.289154999999937</v>
      </c>
      <c r="I6">
        <f t="shared" si="0"/>
        <v>6.5891549999996641</v>
      </c>
      <c r="K6">
        <f t="shared" si="1"/>
        <v>77.423000000000229</v>
      </c>
      <c r="L6">
        <f t="shared" si="2"/>
        <v>84.012154999999893</v>
      </c>
    </row>
    <row r="7" spans="1:12" x14ac:dyDescent="0.35">
      <c r="A7" t="s">
        <v>2340</v>
      </c>
      <c r="B7" s="1260">
        <f>'Social Benefits - old'!AD72</f>
        <v>1605.202</v>
      </c>
      <c r="C7" s="1260">
        <f>'Social Benefits - old'!AE72</f>
        <v>1615.202</v>
      </c>
      <c r="D7">
        <f>C7-B7</f>
        <v>10</v>
      </c>
      <c r="E7">
        <f>'Social Benefits'!AD18</f>
        <v>1605.202</v>
      </c>
      <c r="F7">
        <f>'Social Benefits'!AE18</f>
        <v>1609.202</v>
      </c>
      <c r="G7">
        <f>F7-E7</f>
        <v>4</v>
      </c>
      <c r="I7">
        <f t="shared" si="0"/>
        <v>-6</v>
      </c>
    </row>
    <row r="8" spans="1:12" x14ac:dyDescent="0.35">
      <c r="B8">
        <f>SUM(B5:B7)</f>
        <v>3365.5591604763949</v>
      </c>
      <c r="C8">
        <f t="shared" ref="C8:I8" si="3">SUM(C5:C7)</f>
        <v>3387.2859053306124</v>
      </c>
      <c r="D8">
        <f t="shared" si="3"/>
        <v>21.726744854217714</v>
      </c>
      <c r="E8">
        <f t="shared" si="3"/>
        <v>3445.1329999999998</v>
      </c>
      <c r="F8">
        <f t="shared" si="3"/>
        <v>3467.4762909637889</v>
      </c>
      <c r="G8">
        <f t="shared" si="3"/>
        <v>22.343290963788832</v>
      </c>
      <c r="H8">
        <f t="shared" si="3"/>
        <v>0</v>
      </c>
      <c r="I8">
        <f t="shared" si="3"/>
        <v>0.616546109571118</v>
      </c>
    </row>
    <row r="9" spans="1:12" x14ac:dyDescent="0.35">
      <c r="B9">
        <f>B3-B8</f>
        <v>106.1230000000005</v>
      </c>
      <c r="C9">
        <f t="shared" ref="C9:I9" si="4">C3-C8</f>
        <v>106.12300000000005</v>
      </c>
      <c r="D9">
        <f t="shared" si="4"/>
        <v>-6.8212102632969618E-13</v>
      </c>
      <c r="E9">
        <f t="shared" si="4"/>
        <v>129.76700000000028</v>
      </c>
      <c r="F9">
        <f t="shared" si="4"/>
        <v>128.76699999999983</v>
      </c>
      <c r="G9">
        <f t="shared" si="4"/>
        <v>-1.0000000000002274</v>
      </c>
      <c r="H9">
        <f t="shared" si="4"/>
        <v>0</v>
      </c>
      <c r="I9">
        <f t="shared" si="4"/>
        <v>-0.99999999999954525</v>
      </c>
    </row>
    <row r="10" spans="1:12" x14ac:dyDescent="0.35">
      <c r="A10" t="s">
        <v>2341</v>
      </c>
      <c r="B10" s="1260">
        <f>B6+B7</f>
        <v>2185.6099999999997</v>
      </c>
      <c r="C10" s="1260">
        <f t="shared" ref="C10:G10" si="5">C6+C7</f>
        <v>2192.3100000000004</v>
      </c>
      <c r="D10" s="1260">
        <f t="shared" si="5"/>
        <v>6.7000000000002728</v>
      </c>
      <c r="E10" s="1260">
        <f t="shared" si="5"/>
        <v>2263.0330000000004</v>
      </c>
      <c r="F10" s="1260">
        <f t="shared" si="5"/>
        <v>2270.3221549999998</v>
      </c>
      <c r="G10" s="1260">
        <f t="shared" si="5"/>
        <v>7.289154999999937</v>
      </c>
    </row>
    <row r="11" spans="1:12" x14ac:dyDescent="0.35">
      <c r="B11" s="1260">
        <f>B4-B10</f>
        <v>83.388000000000375</v>
      </c>
      <c r="C11" s="1260">
        <f t="shared" ref="C11:G11" si="6">C4-C10</f>
        <v>83.38799999999992</v>
      </c>
      <c r="D11" s="1260">
        <f t="shared" si="6"/>
        <v>0</v>
      </c>
      <c r="E11" s="1260">
        <f t="shared" si="6"/>
        <v>89.065000000000055</v>
      </c>
      <c r="F11" s="1260">
        <f t="shared" si="6"/>
        <v>89.065000000000055</v>
      </c>
      <c r="G11" s="1260">
        <f t="shared" si="6"/>
        <v>-4.5474735088646412E-13</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AN88"/>
  <sheetViews>
    <sheetView topLeftCell="M1" zoomScale="82" zoomScaleNormal="100" workbookViewId="0">
      <selection activeCell="W18" sqref="W18"/>
    </sheetView>
  </sheetViews>
  <sheetFormatPr defaultColWidth="10.90625" defaultRowHeight="14.5" x14ac:dyDescent="0.35"/>
  <cols>
    <col min="1" max="1" width="17.26953125" customWidth="1"/>
  </cols>
  <sheetData>
    <row r="1" spans="2:40" x14ac:dyDescent="0.35">
      <c r="B1" s="1318" t="s">
        <v>1902</v>
      </c>
      <c r="C1" s="1318"/>
      <c r="D1" s="1318"/>
      <c r="E1" s="1318"/>
      <c r="F1" s="1318"/>
      <c r="G1" s="1318"/>
      <c r="H1" s="1318"/>
      <c r="I1" s="1318"/>
      <c r="J1" s="1318"/>
      <c r="K1" s="1318"/>
      <c r="L1" s="1318"/>
      <c r="M1" s="1318"/>
      <c r="N1" s="1318"/>
      <c r="O1" s="1318"/>
      <c r="P1" s="1318"/>
      <c r="Q1" s="1318"/>
      <c r="R1" s="1318"/>
      <c r="S1" s="1318"/>
      <c r="T1" s="1318"/>
      <c r="U1" s="1318"/>
      <c r="V1" s="1318"/>
      <c r="W1" s="1318"/>
      <c r="X1" s="1318"/>
      <c r="Y1" s="1318"/>
      <c r="Z1" s="1318"/>
      <c r="AA1" s="1318"/>
      <c r="AB1" s="1318"/>
      <c r="AC1" s="1318"/>
    </row>
    <row r="2" spans="2:40" ht="14.25" customHeight="1" x14ac:dyDescent="0.35">
      <c r="B2" s="1397" t="s">
        <v>1903</v>
      </c>
      <c r="C2" s="1397"/>
      <c r="D2" s="1397"/>
      <c r="E2" s="1397"/>
      <c r="F2" s="1397"/>
      <c r="G2" s="1397"/>
      <c r="H2" s="1397"/>
      <c r="I2" s="1397"/>
      <c r="J2" s="1397"/>
      <c r="K2" s="1397"/>
      <c r="L2" s="1397"/>
      <c r="M2" s="1397"/>
      <c r="N2" s="1397"/>
      <c r="O2" s="1397"/>
      <c r="P2" s="1397"/>
      <c r="Q2" s="1397"/>
      <c r="R2" s="1397"/>
      <c r="S2" s="602"/>
      <c r="T2" s="1404"/>
      <c r="U2" s="1404"/>
      <c r="V2" s="1404"/>
      <c r="W2" s="1404"/>
      <c r="X2" s="1404"/>
      <c r="Y2" s="1404"/>
      <c r="Z2" s="1404"/>
      <c r="AA2" s="1404"/>
      <c r="AB2" s="1404"/>
      <c r="AC2" s="1404"/>
    </row>
    <row r="3" spans="2:40" x14ac:dyDescent="0.35">
      <c r="B3" s="1397"/>
      <c r="C3" s="1397"/>
      <c r="D3" s="1397"/>
      <c r="E3" s="1397"/>
      <c r="F3" s="1397"/>
      <c r="G3" s="1397"/>
      <c r="H3" s="1397"/>
      <c r="I3" s="1397"/>
      <c r="J3" s="1397"/>
      <c r="K3" s="1397"/>
      <c r="L3" s="1397"/>
      <c r="M3" s="1397"/>
      <c r="N3" s="1397"/>
      <c r="O3" s="1397"/>
      <c r="P3" s="1397"/>
      <c r="Q3" s="1397"/>
      <c r="R3" s="1397"/>
      <c r="S3" s="602"/>
      <c r="T3" s="1404"/>
      <c r="U3" s="1404"/>
      <c r="V3" s="1404"/>
      <c r="W3" s="1404"/>
      <c r="X3" s="1404"/>
      <c r="Y3" s="1404"/>
      <c r="Z3" s="1404"/>
      <c r="AA3" s="1404"/>
      <c r="AB3" s="1404"/>
      <c r="AC3" s="1404"/>
    </row>
    <row r="4" spans="2:40" ht="21" customHeight="1" x14ac:dyDescent="0.35">
      <c r="B4" s="1397"/>
      <c r="C4" s="1397"/>
      <c r="D4" s="1397"/>
      <c r="E4" s="1397"/>
      <c r="F4" s="1397"/>
      <c r="G4" s="1397"/>
      <c r="H4" s="1397"/>
      <c r="I4" s="1397"/>
      <c r="J4" s="1397"/>
      <c r="K4" s="1397"/>
      <c r="L4" s="1397"/>
      <c r="M4" s="1397"/>
      <c r="N4" s="1397"/>
      <c r="O4" s="1397"/>
      <c r="P4" s="1397"/>
      <c r="Q4" s="1397"/>
      <c r="R4" s="1397"/>
      <c r="S4" s="602"/>
      <c r="T4" s="1404"/>
      <c r="U4" s="1404"/>
      <c r="V4" s="1404"/>
      <c r="W4" s="1404"/>
      <c r="X4" s="1404"/>
      <c r="Y4" s="1404"/>
      <c r="Z4" s="1404"/>
      <c r="AA4" s="1404"/>
      <c r="AB4" s="1404"/>
      <c r="AC4" s="1404"/>
    </row>
    <row r="6" spans="2:40" x14ac:dyDescent="0.35">
      <c r="B6" s="529" t="s">
        <v>332</v>
      </c>
    </row>
    <row r="7" spans="2:40" ht="14.9" customHeight="1" x14ac:dyDescent="0.35">
      <c r="B7" s="1323" t="s">
        <v>1874</v>
      </c>
      <c r="C7" s="1324"/>
      <c r="D7" s="1327" t="s">
        <v>279</v>
      </c>
      <c r="E7" s="1369"/>
      <c r="F7" s="1369"/>
      <c r="G7" s="1369"/>
      <c r="H7" s="1369"/>
      <c r="I7" s="1369"/>
      <c r="J7" s="1369"/>
      <c r="K7" s="1369"/>
      <c r="L7" s="1369"/>
      <c r="M7" s="1369"/>
      <c r="N7" s="1369"/>
      <c r="O7" s="1369"/>
      <c r="P7" s="1369"/>
      <c r="Q7" s="1369"/>
      <c r="R7" s="1369"/>
      <c r="S7" s="1369"/>
      <c r="T7" s="1369"/>
      <c r="U7" s="1368"/>
      <c r="V7" s="1326"/>
      <c r="W7" s="1408" t="s">
        <v>280</v>
      </c>
      <c r="X7" s="1406"/>
      <c r="Y7" s="1406"/>
      <c r="Z7" s="1406"/>
      <c r="AA7" s="1406"/>
      <c r="AB7" s="1406"/>
      <c r="AC7" s="1406"/>
      <c r="AD7" s="1406"/>
      <c r="AE7" s="1406"/>
      <c r="AF7" s="1406"/>
      <c r="AG7" s="1406"/>
      <c r="AH7" s="1406"/>
      <c r="AI7" s="1406"/>
      <c r="AJ7" s="1406"/>
      <c r="AK7" s="1406"/>
      <c r="AL7" s="1406"/>
      <c r="AM7" s="1406"/>
      <c r="AN7" s="1406"/>
    </row>
    <row r="8" spans="2:40" x14ac:dyDescent="0.35">
      <c r="B8" s="1325"/>
      <c r="C8" s="1326"/>
      <c r="D8" s="296">
        <v>2018</v>
      </c>
      <c r="E8" s="1342">
        <v>2019</v>
      </c>
      <c r="F8" s="1343"/>
      <c r="G8" s="1343"/>
      <c r="H8" s="1344"/>
      <c r="I8" s="1342">
        <v>2020</v>
      </c>
      <c r="J8" s="1343"/>
      <c r="K8" s="1343"/>
      <c r="L8" s="1343"/>
      <c r="M8" s="1342">
        <v>2021</v>
      </c>
      <c r="N8" s="1343"/>
      <c r="O8" s="1343"/>
      <c r="P8" s="1354"/>
      <c r="Q8" s="1342">
        <v>2022</v>
      </c>
      <c r="R8" s="1354"/>
      <c r="S8" s="1354"/>
      <c r="T8" s="1354"/>
      <c r="U8" s="460"/>
      <c r="V8" s="302">
        <v>2023</v>
      </c>
      <c r="W8" s="338"/>
      <c r="X8" s="335"/>
      <c r="Y8" s="1330">
        <v>2024</v>
      </c>
      <c r="Z8" s="1335"/>
      <c r="AA8" s="1335"/>
      <c r="AB8" s="1334"/>
      <c r="AC8" s="1329">
        <v>2025</v>
      </c>
      <c r="AD8" s="1335"/>
      <c r="AE8" s="1335"/>
      <c r="AF8" s="1334"/>
      <c r="AG8" s="1329">
        <v>2026</v>
      </c>
      <c r="AH8" s="1335"/>
      <c r="AI8" s="1335"/>
      <c r="AJ8" s="1334"/>
      <c r="AK8" s="1329">
        <v>2027</v>
      </c>
      <c r="AL8" s="1335"/>
      <c r="AM8" s="1335"/>
      <c r="AN8" s="1334"/>
    </row>
    <row r="9" spans="2:40" x14ac:dyDescent="0.35">
      <c r="B9" s="1327"/>
      <c r="C9" s="1328"/>
      <c r="D9" s="225" t="s">
        <v>281</v>
      </c>
      <c r="E9" s="225" t="s">
        <v>282</v>
      </c>
      <c r="F9" s="226" t="s">
        <v>283</v>
      </c>
      <c r="G9" s="226" t="s">
        <v>238</v>
      </c>
      <c r="H9" s="232" t="s">
        <v>281</v>
      </c>
      <c r="I9" s="226" t="s">
        <v>282</v>
      </c>
      <c r="J9" s="226" t="s">
        <v>283</v>
      </c>
      <c r="K9" s="226" t="s">
        <v>238</v>
      </c>
      <c r="L9" s="226" t="s">
        <v>281</v>
      </c>
      <c r="M9" s="225" t="s">
        <v>282</v>
      </c>
      <c r="N9" s="226" t="s">
        <v>283</v>
      </c>
      <c r="O9" s="226" t="s">
        <v>238</v>
      </c>
      <c r="P9" s="226" t="s">
        <v>281</v>
      </c>
      <c r="Q9" s="225" t="s">
        <v>282</v>
      </c>
      <c r="R9" s="226" t="s">
        <v>283</v>
      </c>
      <c r="S9" s="226" t="s">
        <v>238</v>
      </c>
      <c r="T9" s="226" t="s">
        <v>281</v>
      </c>
      <c r="U9" s="286" t="s">
        <v>282</v>
      </c>
      <c r="V9" s="287" t="s">
        <v>283</v>
      </c>
      <c r="W9" s="273" t="s">
        <v>238</v>
      </c>
      <c r="X9" s="301" t="s">
        <v>281</v>
      </c>
      <c r="Y9" s="273" t="s">
        <v>282</v>
      </c>
      <c r="Z9" s="271" t="s">
        <v>283</v>
      </c>
      <c r="AA9" s="273" t="s">
        <v>238</v>
      </c>
      <c r="AB9" s="273" t="s">
        <v>281</v>
      </c>
      <c r="AC9" s="299" t="s">
        <v>282</v>
      </c>
      <c r="AD9" s="271" t="s">
        <v>283</v>
      </c>
      <c r="AE9" s="273" t="s">
        <v>238</v>
      </c>
      <c r="AF9" s="273" t="s">
        <v>281</v>
      </c>
      <c r="AG9" s="299" t="s">
        <v>282</v>
      </c>
      <c r="AH9" s="271" t="s">
        <v>283</v>
      </c>
      <c r="AI9" s="273" t="s">
        <v>238</v>
      </c>
      <c r="AJ9" s="301" t="s">
        <v>281</v>
      </c>
      <c r="AK9" s="299" t="s">
        <v>282</v>
      </c>
      <c r="AL9" s="271" t="s">
        <v>283</v>
      </c>
      <c r="AM9" s="273" t="s">
        <v>238</v>
      </c>
      <c r="AN9" s="301" t="s">
        <v>281</v>
      </c>
    </row>
    <row r="10" spans="2:40" x14ac:dyDescent="0.35">
      <c r="S10" s="736" t="s">
        <v>184</v>
      </c>
      <c r="T10" s="736" t="s">
        <v>185</v>
      </c>
      <c r="U10" s="736" t="s">
        <v>186</v>
      </c>
      <c r="V10" s="736" t="s">
        <v>187</v>
      </c>
      <c r="W10" s="736" t="s">
        <v>188</v>
      </c>
      <c r="X10" s="736" t="s">
        <v>189</v>
      </c>
      <c r="Y10" s="736" t="s">
        <v>190</v>
      </c>
      <c r="Z10" s="736" t="s">
        <v>191</v>
      </c>
      <c r="AA10" s="736" t="s">
        <v>175</v>
      </c>
      <c r="AB10" s="736" t="s">
        <v>176</v>
      </c>
      <c r="AC10" s="736" t="s">
        <v>177</v>
      </c>
      <c r="AD10" s="736" t="s">
        <v>763</v>
      </c>
      <c r="AE10" s="736" t="s">
        <v>764</v>
      </c>
      <c r="AF10" s="736" t="s">
        <v>765</v>
      </c>
      <c r="AG10" s="736" t="s">
        <v>1151</v>
      </c>
      <c r="AH10" s="736" t="s">
        <v>1152</v>
      </c>
      <c r="AI10" s="736" t="s">
        <v>1153</v>
      </c>
      <c r="AJ10" s="736" t="s">
        <v>1154</v>
      </c>
      <c r="AK10" s="736" t="s">
        <v>1155</v>
      </c>
      <c r="AL10" s="736" t="s">
        <v>1156</v>
      </c>
      <c r="AM10" s="736" t="s">
        <v>1157</v>
      </c>
      <c r="AN10" s="736" t="s">
        <v>1158</v>
      </c>
    </row>
    <row r="11" spans="2:40" x14ac:dyDescent="0.35">
      <c r="S11" s="734"/>
      <c r="T11" s="734"/>
      <c r="U11" s="734"/>
      <c r="V11" s="734"/>
      <c r="W11" s="734"/>
      <c r="X11" s="734"/>
      <c r="Y11" s="734"/>
      <c r="Z11" s="734"/>
      <c r="AA11" s="734"/>
      <c r="AB11" s="734"/>
      <c r="AC11" s="734"/>
      <c r="AD11" s="734"/>
      <c r="AE11" s="734"/>
      <c r="AF11" s="734"/>
      <c r="AG11" s="734"/>
      <c r="AH11" s="734"/>
    </row>
    <row r="12" spans="2:40" x14ac:dyDescent="0.35">
      <c r="B12" s="734" t="s">
        <v>1847</v>
      </c>
      <c r="P12" t="s">
        <v>1847</v>
      </c>
      <c r="S12" s="138">
        <v>4.0506371546650453</v>
      </c>
      <c r="T12" s="138">
        <v>6.7510619244417409</v>
      </c>
      <c r="U12" s="138">
        <v>25.428999915397224</v>
      </c>
      <c r="V12" s="138">
        <v>38.481052969317929</v>
      </c>
      <c r="W12" s="138">
        <v>51.308070625757232</v>
      </c>
      <c r="X12" s="138">
        <v>56.236345830599703</v>
      </c>
      <c r="Y12" s="138">
        <v>63.685017487233758</v>
      </c>
      <c r="Z12" s="138">
        <v>69.310902424268548</v>
      </c>
      <c r="AA12" s="138">
        <v>64.357873325703125</v>
      </c>
      <c r="AB12" s="138">
        <v>57.18149450002155</v>
      </c>
      <c r="AC12" s="138">
        <v>59.094295378613374</v>
      </c>
      <c r="AD12" s="138">
        <v>70.233547553942245</v>
      </c>
      <c r="AE12" s="138">
        <v>81.462813888263668</v>
      </c>
      <c r="AF12" s="138">
        <v>86.188557235372897</v>
      </c>
      <c r="AG12" s="138">
        <v>105.31656602129117</v>
      </c>
      <c r="AH12" s="138">
        <v>120.73149074876648</v>
      </c>
      <c r="AI12" s="138">
        <v>126.01869741259176</v>
      </c>
      <c r="AJ12" s="138">
        <v>123.55455981017052</v>
      </c>
      <c r="AK12" s="138">
        <v>112.20152400723433</v>
      </c>
      <c r="AL12" s="138">
        <v>93.984908581115704</v>
      </c>
      <c r="AM12" s="138">
        <v>72.945224093593026</v>
      </c>
      <c r="AN12" s="138">
        <v>47.054901613358936</v>
      </c>
    </row>
    <row r="13" spans="2:40" x14ac:dyDescent="0.35">
      <c r="B13" s="734" t="s">
        <v>1848</v>
      </c>
      <c r="P13" t="s">
        <v>1848</v>
      </c>
      <c r="S13" s="95">
        <f>Deflators!S72</f>
        <v>1.1700921610724198</v>
      </c>
      <c r="T13" s="95">
        <f>Deflators!T72</f>
        <v>1.1816953797963978</v>
      </c>
      <c r="U13" s="95">
        <f>Deflators!U72</f>
        <v>1.1931632087271602</v>
      </c>
      <c r="V13" s="95">
        <f>Deflators!V72</f>
        <v>1.201768659356208</v>
      </c>
      <c r="W13" s="95">
        <f>Deflators!W72</f>
        <v>1.2097758632810751</v>
      </c>
      <c r="X13" s="95">
        <f>Deflators!X72</f>
        <v>1.2147338005500146</v>
      </c>
      <c r="Y13" s="95">
        <f>Deflators!Y72</f>
        <v>1.2250061487428185</v>
      </c>
      <c r="Z13" s="95">
        <f>Deflators!Z72</f>
        <v>1.2326880562148892</v>
      </c>
      <c r="AA13" s="95">
        <f>Deflators!AA72</f>
        <v>1.2372845576913525</v>
      </c>
      <c r="AB13" s="95">
        <f>Deflators!AB72</f>
        <v>1.2447937543552396</v>
      </c>
      <c r="AC13" s="95">
        <f>Deflators!AC72</f>
        <v>1.2519082564303945</v>
      </c>
      <c r="AD13" s="95">
        <f>Deflators!AD72</f>
        <v>1.2585786405872741</v>
      </c>
      <c r="AE13" s="95">
        <f>Deflators!AE72</f>
        <v>1.2654057203904239</v>
      </c>
      <c r="AF13" s="95">
        <f>Deflators!AF72</f>
        <v>1.27231230577623</v>
      </c>
      <c r="AG13" s="95">
        <f>Deflators!AG72</f>
        <v>1.2790868658623309</v>
      </c>
      <c r="AH13" s="735">
        <f>Deflators!AH72</f>
        <v>1.2855539483713756</v>
      </c>
      <c r="AI13" s="735">
        <f>Deflators!AI72</f>
        <v>1.292033226806468</v>
      </c>
      <c r="AJ13" s="735">
        <f>Deflators!AJ72</f>
        <v>1.2985763342395193</v>
      </c>
      <c r="AK13" s="735">
        <f>Deflators!AK72</f>
        <v>1.3051101996236651</v>
      </c>
      <c r="AL13" s="735">
        <f>Deflators!AL72</f>
        <v>1.3116458212540378</v>
      </c>
      <c r="AM13" s="735">
        <f>Deflators!AM72</f>
        <v>1.3181836945304437</v>
      </c>
      <c r="AN13" s="735">
        <f>Deflators!AN72</f>
        <v>1.3247463561647055</v>
      </c>
    </row>
    <row r="14" spans="2:40" x14ac:dyDescent="0.35">
      <c r="B14" s="734" t="s">
        <v>1849</v>
      </c>
      <c r="P14" t="s">
        <v>1849</v>
      </c>
      <c r="S14">
        <f>S12*S13</f>
        <v>4.7396187820222604</v>
      </c>
      <c r="T14">
        <f t="shared" ref="T14:AI14" si="0">T12*T13</f>
        <v>7.9776986848321831</v>
      </c>
      <c r="U14">
        <f t="shared" si="0"/>
        <v>30.340947133778037</v>
      </c>
      <c r="V14">
        <f t="shared" si="0"/>
        <v>46.245323437552436</v>
      </c>
      <c r="W14">
        <f t="shared" si="0"/>
        <v>62.071265434561823</v>
      </c>
      <c r="X14">
        <f t="shared" si="0"/>
        <v>68.312190099849346</v>
      </c>
      <c r="Y14">
        <f t="shared" si="0"/>
        <v>78.014538004655279</v>
      </c>
      <c r="Z14">
        <f t="shared" si="0"/>
        <v>85.438721583871441</v>
      </c>
      <c r="AA14">
        <f t="shared" si="0"/>
        <v>79.629002831748679</v>
      </c>
      <c r="AB14">
        <f t="shared" si="0"/>
        <v>71.179167218325318</v>
      </c>
      <c r="AC14">
        <f t="shared" si="0"/>
        <v>73.980636292422588</v>
      </c>
      <c r="AD14">
        <f t="shared" si="0"/>
        <v>88.394442804062294</v>
      </c>
      <c r="AE14">
        <f t="shared" si="0"/>
        <v>103.08351069330931</v>
      </c>
      <c r="AF14">
        <f t="shared" si="0"/>
        <v>109.65876198766387</v>
      </c>
      <c r="AG14">
        <f>AG12*AG13</f>
        <v>134.70903635555658</v>
      </c>
      <c r="AH14" s="519">
        <f t="shared" si="0"/>
        <v>155.20684462483894</v>
      </c>
      <c r="AI14" s="519">
        <f t="shared" si="0"/>
        <v>162.82034425593883</v>
      </c>
      <c r="AJ14" s="519">
        <f>AJ12*AJ13</f>
        <v>160.44502735686868</v>
      </c>
      <c r="AK14" s="519">
        <f t="shared" ref="AK14:AN14" si="1">AK12*AK13</f>
        <v>146.43535339516106</v>
      </c>
      <c r="AL14" s="519">
        <f t="shared" si="1"/>
        <v>123.27491260136317</v>
      </c>
      <c r="AM14" s="519">
        <f t="shared" si="1"/>
        <v>96.155204994043586</v>
      </c>
      <c r="AN14" s="519">
        <f t="shared" si="1"/>
        <v>62.335809451985973</v>
      </c>
    </row>
    <row r="15" spans="2:40" x14ac:dyDescent="0.35">
      <c r="S15" s="138"/>
      <c r="T15" s="138"/>
      <c r="U15" s="138"/>
      <c r="V15" s="138"/>
      <c r="W15" s="138"/>
      <c r="X15" s="138"/>
      <c r="Y15" s="138"/>
      <c r="Z15" s="138"/>
      <c r="AA15" s="138"/>
      <c r="AB15" s="138"/>
      <c r="AC15" s="138"/>
      <c r="AD15" s="138"/>
      <c r="AE15" s="138"/>
      <c r="AF15" s="138"/>
      <c r="AG15" s="138"/>
      <c r="AH15" s="138"/>
      <c r="AI15" s="138"/>
      <c r="AJ15" s="138"/>
      <c r="AK15" s="138"/>
      <c r="AL15" s="138"/>
      <c r="AM15" s="138"/>
      <c r="AN15" s="138"/>
    </row>
    <row r="16" spans="2:40" x14ac:dyDescent="0.35">
      <c r="S16" s="138">
        <v>4.0506371546650453</v>
      </c>
      <c r="T16" s="138">
        <v>6.7510619244417409</v>
      </c>
      <c r="U16" s="138">
        <v>25.428999915397224</v>
      </c>
      <c r="V16" s="138">
        <v>38.481052969317929</v>
      </c>
      <c r="W16" s="138">
        <v>51.308070625757232</v>
      </c>
      <c r="X16" s="138">
        <v>56.236345830599703</v>
      </c>
      <c r="Y16" s="138">
        <v>63.685017487233758</v>
      </c>
      <c r="Z16" s="138">
        <v>69.310902424268548</v>
      </c>
      <c r="AA16" s="138">
        <v>64.357873325703125</v>
      </c>
      <c r="AB16" s="138">
        <v>57.18149450002155</v>
      </c>
      <c r="AC16" s="138">
        <v>59.094295378613374</v>
      </c>
      <c r="AD16" s="138">
        <v>70.233547553942245</v>
      </c>
      <c r="AE16" s="138">
        <v>81.462813888263668</v>
      </c>
      <c r="AF16" s="138">
        <v>86.188557235372897</v>
      </c>
      <c r="AG16" s="138">
        <v>105.31656602129117</v>
      </c>
      <c r="AH16" s="138">
        <v>120.73149074876648</v>
      </c>
      <c r="AI16" s="138">
        <v>126.01869741259176</v>
      </c>
      <c r="AJ16" s="138">
        <v>123.55455981017052</v>
      </c>
      <c r="AK16" s="138">
        <v>112.20152400723433</v>
      </c>
      <c r="AL16" s="138">
        <v>93.984908581115704</v>
      </c>
      <c r="AM16" s="138">
        <v>72.945224093593026</v>
      </c>
      <c r="AN16" s="138">
        <v>47.054901613358936</v>
      </c>
    </row>
    <row r="18" spans="2:40" x14ac:dyDescent="0.35">
      <c r="P18" t="s">
        <v>1951</v>
      </c>
      <c r="S18" s="734">
        <v>9.676624590017175</v>
      </c>
      <c r="T18" s="734">
        <v>9.6670597070816413</v>
      </c>
      <c r="U18" s="734">
        <v>29.968874069165178</v>
      </c>
      <c r="V18" s="734">
        <v>48.407564583050345</v>
      </c>
      <c r="W18" s="734">
        <v>68.860864510897471</v>
      </c>
      <c r="X18" s="734">
        <v>88.107434654608909</v>
      </c>
      <c r="Y18" s="734">
        <v>101.08174054588757</v>
      </c>
      <c r="Z18" s="734">
        <v>103.56513754278419</v>
      </c>
      <c r="AA18" s="734">
        <v>106.00637033635157</v>
      </c>
      <c r="AB18" s="734">
        <v>108.38917414017335</v>
      </c>
      <c r="AC18" s="734">
        <v>110.69246087615031</v>
      </c>
      <c r="AD18" s="734">
        <v>112.950351679587</v>
      </c>
      <c r="AE18" s="734">
        <v>115.16440141682602</v>
      </c>
      <c r="AF18" s="734">
        <v>117.3462460140392</v>
      </c>
      <c r="AG18" s="734">
        <v>118.525001293339</v>
      </c>
      <c r="AH18" s="519">
        <f>AG18</f>
        <v>118.525001293339</v>
      </c>
      <c r="AI18" s="519">
        <f t="shared" ref="AI18:AN18" si="2">AH18</f>
        <v>118.525001293339</v>
      </c>
      <c r="AJ18" s="519">
        <f t="shared" si="2"/>
        <v>118.525001293339</v>
      </c>
      <c r="AK18" s="519">
        <f t="shared" si="2"/>
        <v>118.525001293339</v>
      </c>
      <c r="AL18" s="519">
        <f t="shared" si="2"/>
        <v>118.525001293339</v>
      </c>
      <c r="AM18" s="519">
        <f t="shared" si="2"/>
        <v>118.525001293339</v>
      </c>
      <c r="AN18" s="519">
        <f t="shared" si="2"/>
        <v>118.525001293339</v>
      </c>
    </row>
    <row r="19" spans="2:40" x14ac:dyDescent="0.35">
      <c r="S19" s="138"/>
    </row>
    <row r="20" spans="2:40" x14ac:dyDescent="0.35">
      <c r="S20" s="138"/>
    </row>
    <row r="21" spans="2:40" x14ac:dyDescent="0.35">
      <c r="S21" s="138"/>
    </row>
    <row r="22" spans="2:40" x14ac:dyDescent="0.35">
      <c r="S22" s="138"/>
    </row>
    <row r="23" spans="2:40" x14ac:dyDescent="0.35">
      <c r="B23" s="214"/>
      <c r="C23" s="214"/>
      <c r="D23" s="214"/>
      <c r="E23" s="214"/>
      <c r="H23" s="214"/>
      <c r="I23" s="214"/>
      <c r="J23" s="214"/>
      <c r="K23" t="s">
        <v>1930</v>
      </c>
      <c r="S23" s="138"/>
    </row>
    <row r="24" spans="2:40" ht="29.15" customHeight="1" x14ac:dyDescent="0.35">
      <c r="B24" s="214"/>
      <c r="C24" s="725" t="s">
        <v>1931</v>
      </c>
      <c r="D24" s="214"/>
      <c r="E24" s="214"/>
      <c r="H24" s="214"/>
      <c r="I24" s="214"/>
      <c r="J24" s="214"/>
      <c r="K24" t="s">
        <v>1932</v>
      </c>
      <c r="S24" s="138"/>
    </row>
    <row r="25" spans="2:40" ht="29.15" customHeight="1" x14ac:dyDescent="0.35">
      <c r="B25" s="214"/>
      <c r="C25" s="725" t="s">
        <v>1933</v>
      </c>
      <c r="D25" s="1419" t="s">
        <v>1934</v>
      </c>
      <c r="E25" s="1419"/>
      <c r="F25" s="1419"/>
      <c r="G25" s="214"/>
      <c r="H25" s="214"/>
      <c r="I25" s="214"/>
      <c r="J25" s="214"/>
      <c r="S25" s="138"/>
    </row>
    <row r="26" spans="2:40" ht="72.650000000000006" customHeight="1" x14ac:dyDescent="0.35">
      <c r="B26" s="727">
        <v>44774</v>
      </c>
      <c r="C26" s="214">
        <v>9</v>
      </c>
      <c r="D26" s="214"/>
      <c r="E26" s="214"/>
      <c r="H26" s="214"/>
      <c r="I26" s="214"/>
      <c r="J26" s="725" t="s">
        <v>1935</v>
      </c>
      <c r="K26" s="14" t="s">
        <v>1936</v>
      </c>
      <c r="L26" s="14" t="s">
        <v>1937</v>
      </c>
      <c r="M26" s="14" t="s">
        <v>1938</v>
      </c>
      <c r="N26" s="725" t="s">
        <v>1939</v>
      </c>
      <c r="S26" s="138"/>
    </row>
    <row r="27" spans="2:40" x14ac:dyDescent="0.35">
      <c r="B27" s="727">
        <f>B26+31</f>
        <v>44805</v>
      </c>
      <c r="C27" s="214">
        <v>9</v>
      </c>
      <c r="D27" s="214">
        <v>2022</v>
      </c>
      <c r="E27" s="214" t="s">
        <v>330</v>
      </c>
      <c r="F27">
        <f>SUM(C26:C27)/3</f>
        <v>6</v>
      </c>
      <c r="H27" s="214">
        <v>2022</v>
      </c>
      <c r="I27" s="214" t="s">
        <v>330</v>
      </c>
      <c r="J27" s="138">
        <v>6</v>
      </c>
      <c r="K27" s="138"/>
      <c r="L27" s="138"/>
      <c r="M27" s="138">
        <f>K27+J27</f>
        <v>6</v>
      </c>
      <c r="N27" s="138">
        <f>M27*F$81</f>
        <v>4.0506371546650453</v>
      </c>
      <c r="S27" s="138"/>
    </row>
    <row r="28" spans="2:40" x14ac:dyDescent="0.35">
      <c r="B28" s="727">
        <f t="shared" ref="B28:B57" si="3">B27+31</f>
        <v>44836</v>
      </c>
      <c r="C28" s="214">
        <v>10</v>
      </c>
      <c r="D28" s="214"/>
      <c r="E28" s="214"/>
      <c r="H28" s="214">
        <v>2022</v>
      </c>
      <c r="I28" s="214" t="s">
        <v>774</v>
      </c>
      <c r="J28" s="138">
        <v>10</v>
      </c>
      <c r="K28" s="138"/>
      <c r="L28" s="138"/>
      <c r="M28" s="138">
        <f t="shared" ref="M28:M48" si="4">K28+J28</f>
        <v>10</v>
      </c>
      <c r="N28" s="138">
        <f t="shared" ref="N28:N48" si="5">M28*F$81</f>
        <v>6.7510619244417409</v>
      </c>
      <c r="S28" s="138"/>
    </row>
    <row r="29" spans="2:40" x14ac:dyDescent="0.35">
      <c r="B29" s="727">
        <f t="shared" si="3"/>
        <v>44867</v>
      </c>
      <c r="C29" s="214">
        <v>10</v>
      </c>
      <c r="D29" s="214"/>
      <c r="E29" s="214"/>
      <c r="H29" s="214">
        <v>2023</v>
      </c>
      <c r="I29" s="214" t="s">
        <v>240</v>
      </c>
      <c r="J29" s="138">
        <v>37.666666666666664</v>
      </c>
      <c r="K29" s="138"/>
      <c r="L29" s="138"/>
      <c r="M29" s="138">
        <f t="shared" si="4"/>
        <v>37.666666666666664</v>
      </c>
      <c r="N29" s="138">
        <f t="shared" si="5"/>
        <v>25.428999915397224</v>
      </c>
      <c r="S29" s="138"/>
    </row>
    <row r="30" spans="2:40" x14ac:dyDescent="0.35">
      <c r="B30" s="727">
        <f t="shared" si="3"/>
        <v>44898</v>
      </c>
      <c r="C30" s="214">
        <v>10</v>
      </c>
      <c r="D30" s="214">
        <v>2022</v>
      </c>
      <c r="E30" s="214" t="s">
        <v>774</v>
      </c>
      <c r="F30">
        <f>AVERAGE(C28:C30)</f>
        <v>10</v>
      </c>
      <c r="H30" s="214">
        <v>2023</v>
      </c>
      <c r="I30" s="214" t="s">
        <v>241</v>
      </c>
      <c r="J30" s="138">
        <v>57</v>
      </c>
      <c r="K30" s="138"/>
      <c r="L30" s="138"/>
      <c r="M30" s="138">
        <f t="shared" si="4"/>
        <v>57</v>
      </c>
      <c r="N30" s="138">
        <f t="shared" si="5"/>
        <v>38.481052969317929</v>
      </c>
      <c r="S30" s="138"/>
    </row>
    <row r="31" spans="2:40" x14ac:dyDescent="0.35">
      <c r="B31" s="727">
        <f t="shared" si="3"/>
        <v>44929</v>
      </c>
      <c r="C31" s="214">
        <v>34</v>
      </c>
      <c r="D31" s="214"/>
      <c r="E31" s="214"/>
      <c r="H31" s="214">
        <v>2023</v>
      </c>
      <c r="I31" s="214" t="s">
        <v>330</v>
      </c>
      <c r="J31" s="138">
        <v>76.666666666666671</v>
      </c>
      <c r="K31" s="138"/>
      <c r="L31" s="138"/>
      <c r="M31" s="138">
        <v>76</v>
      </c>
      <c r="N31" s="138">
        <f t="shared" si="5"/>
        <v>51.308070625757232</v>
      </c>
      <c r="S31" s="138"/>
    </row>
    <row r="32" spans="2:40" x14ac:dyDescent="0.35">
      <c r="B32" s="727">
        <f t="shared" si="3"/>
        <v>44960</v>
      </c>
      <c r="C32" s="214">
        <v>35</v>
      </c>
      <c r="D32" s="214"/>
      <c r="E32" s="214"/>
      <c r="H32" s="214">
        <v>2023</v>
      </c>
      <c r="I32" s="214" t="s">
        <v>774</v>
      </c>
      <c r="J32" s="138">
        <v>84</v>
      </c>
      <c r="K32" s="138"/>
      <c r="L32" s="138"/>
      <c r="M32" s="138">
        <v>83.3</v>
      </c>
      <c r="N32" s="138">
        <f t="shared" si="5"/>
        <v>56.236345830599703</v>
      </c>
      <c r="S32" s="138"/>
    </row>
    <row r="33" spans="2:19" x14ac:dyDescent="0.35">
      <c r="B33" s="727">
        <f t="shared" si="3"/>
        <v>44991</v>
      </c>
      <c r="C33" s="214">
        <v>44</v>
      </c>
      <c r="D33" s="214">
        <v>2023</v>
      </c>
      <c r="E33" s="214" t="s">
        <v>240</v>
      </c>
      <c r="F33">
        <f>AVERAGE(C31:C33)</f>
        <v>37.666666666666664</v>
      </c>
      <c r="H33" s="214">
        <v>2024</v>
      </c>
      <c r="I33" s="214" t="s">
        <v>240</v>
      </c>
      <c r="J33" s="138">
        <v>94.333333333333329</v>
      </c>
      <c r="K33" s="138"/>
      <c r="L33" s="138"/>
      <c r="M33" s="138">
        <f t="shared" si="4"/>
        <v>94.333333333333329</v>
      </c>
      <c r="N33" s="138">
        <f t="shared" si="5"/>
        <v>63.685017487233758</v>
      </c>
      <c r="O33" t="s">
        <v>1950</v>
      </c>
      <c r="S33" s="138"/>
    </row>
    <row r="34" spans="2:19" x14ac:dyDescent="0.35">
      <c r="B34" s="727">
        <f t="shared" si="3"/>
        <v>45022</v>
      </c>
      <c r="C34" s="214">
        <v>49</v>
      </c>
      <c r="D34" s="214"/>
      <c r="E34" s="214"/>
      <c r="H34" s="214">
        <v>2024</v>
      </c>
      <c r="I34" s="214" t="s">
        <v>241</v>
      </c>
      <c r="J34" s="138">
        <v>102.66666666666667</v>
      </c>
      <c r="K34" s="138"/>
      <c r="L34" s="138"/>
      <c r="M34" s="138">
        <f t="shared" si="4"/>
        <v>102.66666666666667</v>
      </c>
      <c r="N34" s="138">
        <f t="shared" si="5"/>
        <v>69.310902424268548</v>
      </c>
      <c r="S34" s="138"/>
    </row>
    <row r="35" spans="2:19" x14ac:dyDescent="0.35">
      <c r="B35" s="727">
        <f t="shared" si="3"/>
        <v>45053</v>
      </c>
      <c r="C35" s="214">
        <v>58</v>
      </c>
      <c r="D35" s="214"/>
      <c r="E35" s="214"/>
      <c r="H35" s="214">
        <v>2024</v>
      </c>
      <c r="I35" s="214" t="s">
        <v>330</v>
      </c>
      <c r="J35" s="138">
        <v>92.33</v>
      </c>
      <c r="K35" s="138">
        <f>(+J27)*0.5</f>
        <v>3</v>
      </c>
      <c r="L35" s="138">
        <f>K35</f>
        <v>3</v>
      </c>
      <c r="M35" s="138">
        <f t="shared" si="4"/>
        <v>95.33</v>
      </c>
      <c r="N35" s="138">
        <f t="shared" si="5"/>
        <v>64.357873325703125</v>
      </c>
      <c r="S35" s="138"/>
    </row>
    <row r="36" spans="2:19" x14ac:dyDescent="0.35">
      <c r="B36" s="727">
        <f t="shared" si="3"/>
        <v>45084</v>
      </c>
      <c r="C36" s="214">
        <v>64</v>
      </c>
      <c r="D36" s="214">
        <v>2023</v>
      </c>
      <c r="E36" s="214" t="s">
        <v>241</v>
      </c>
      <c r="F36">
        <f>AVERAGE(C34:C36)</f>
        <v>57</v>
      </c>
      <c r="H36" s="214">
        <v>2024</v>
      </c>
      <c r="I36" s="214" t="s">
        <v>774</v>
      </c>
      <c r="J36" s="138">
        <v>76.7</v>
      </c>
      <c r="K36" s="138">
        <f>(J27+J28)*0.5</f>
        <v>8</v>
      </c>
      <c r="L36" s="138">
        <f>K36</f>
        <v>8</v>
      </c>
      <c r="M36" s="138">
        <f t="shared" si="4"/>
        <v>84.7</v>
      </c>
      <c r="N36" s="138">
        <f t="shared" si="5"/>
        <v>57.18149450002155</v>
      </c>
      <c r="S36" s="138"/>
    </row>
    <row r="37" spans="2:19" x14ac:dyDescent="0.35">
      <c r="B37" s="727">
        <f t="shared" si="3"/>
        <v>45115</v>
      </c>
      <c r="C37" s="214">
        <v>72</v>
      </c>
      <c r="D37" s="214"/>
      <c r="E37" s="214"/>
      <c r="H37" s="214">
        <v>2025</v>
      </c>
      <c r="I37" s="214" t="s">
        <v>240</v>
      </c>
      <c r="J37" s="138">
        <v>60.7</v>
      </c>
      <c r="K37" s="138">
        <f>(J27+J28+J29)*0.5</f>
        <v>26.833333333333332</v>
      </c>
      <c r="L37" s="138">
        <f>K37-10</f>
        <v>16.833333333333332</v>
      </c>
      <c r="M37" s="138">
        <f t="shared" si="4"/>
        <v>87.533333333333331</v>
      </c>
      <c r="N37" s="138">
        <f t="shared" si="5"/>
        <v>59.094295378613374</v>
      </c>
    </row>
    <row r="38" spans="2:19" x14ac:dyDescent="0.35">
      <c r="B38" s="727">
        <f t="shared" si="3"/>
        <v>45146</v>
      </c>
      <c r="C38" s="214">
        <v>76</v>
      </c>
      <c r="D38" s="214"/>
      <c r="E38" s="214"/>
      <c r="H38" s="214">
        <v>2025</v>
      </c>
      <c r="I38" s="214" t="s">
        <v>241</v>
      </c>
      <c r="J38" s="138">
        <v>48.7</v>
      </c>
      <c r="K38" s="138">
        <f t="shared" ref="K38:K50" si="6">(J27+J28+J29+J30)*0.5</f>
        <v>55.333333333333329</v>
      </c>
      <c r="L38" s="138">
        <f>K38-15</f>
        <v>40.333333333333329</v>
      </c>
      <c r="M38" s="138">
        <f t="shared" si="4"/>
        <v>104.03333333333333</v>
      </c>
      <c r="N38" s="138">
        <f t="shared" si="5"/>
        <v>70.233547553942245</v>
      </c>
    </row>
    <row r="39" spans="2:19" x14ac:dyDescent="0.35">
      <c r="B39" s="727">
        <f t="shared" si="3"/>
        <v>45177</v>
      </c>
      <c r="C39" s="214">
        <v>80</v>
      </c>
      <c r="D39" s="214">
        <v>2023</v>
      </c>
      <c r="E39" s="214" t="s">
        <v>330</v>
      </c>
      <c r="F39">
        <f>AVERAGE(C37:C39)</f>
        <v>76</v>
      </c>
      <c r="H39" s="214">
        <v>2025</v>
      </c>
      <c r="I39" s="214" t="s">
        <v>330</v>
      </c>
      <c r="J39" s="138">
        <v>30</v>
      </c>
      <c r="K39" s="138">
        <f t="shared" si="6"/>
        <v>90.666666666666657</v>
      </c>
      <c r="L39" s="138">
        <f>K39</f>
        <v>90.666666666666657</v>
      </c>
      <c r="M39" s="138">
        <f t="shared" si="4"/>
        <v>120.66666666666666</v>
      </c>
      <c r="N39" s="138">
        <f t="shared" si="5"/>
        <v>81.462813888263668</v>
      </c>
    </row>
    <row r="40" spans="2:19" x14ac:dyDescent="0.35">
      <c r="B40" s="727">
        <f t="shared" si="3"/>
        <v>45208</v>
      </c>
      <c r="C40" s="214">
        <v>82</v>
      </c>
      <c r="D40" s="214"/>
      <c r="E40" s="214"/>
      <c r="H40" s="214">
        <v>2025</v>
      </c>
      <c r="I40" s="214" t="s">
        <v>774</v>
      </c>
      <c r="J40" s="138">
        <v>0</v>
      </c>
      <c r="K40" s="138">
        <f t="shared" si="6"/>
        <v>127.66666666666666</v>
      </c>
      <c r="L40" s="138">
        <f>K40+15</f>
        <v>142.66666666666666</v>
      </c>
      <c r="M40" s="138">
        <f t="shared" si="4"/>
        <v>127.66666666666666</v>
      </c>
      <c r="N40" s="138">
        <f t="shared" si="5"/>
        <v>86.188557235372897</v>
      </c>
    </row>
    <row r="41" spans="2:19" x14ac:dyDescent="0.35">
      <c r="B41" s="727">
        <f t="shared" si="3"/>
        <v>45239</v>
      </c>
      <c r="C41" s="214">
        <v>82</v>
      </c>
      <c r="D41" s="214"/>
      <c r="E41" s="214"/>
      <c r="H41" s="214">
        <v>2026</v>
      </c>
      <c r="I41" s="214" t="s">
        <v>240</v>
      </c>
      <c r="J41" s="138">
        <v>0</v>
      </c>
      <c r="K41" s="138">
        <f t="shared" si="6"/>
        <v>156</v>
      </c>
      <c r="L41" s="138">
        <f>K41+10</f>
        <v>166</v>
      </c>
      <c r="M41" s="138">
        <f t="shared" si="4"/>
        <v>156</v>
      </c>
      <c r="N41" s="138">
        <f t="shared" si="5"/>
        <v>105.31656602129117</v>
      </c>
    </row>
    <row r="42" spans="2:19" x14ac:dyDescent="0.35">
      <c r="B42" s="727">
        <f t="shared" si="3"/>
        <v>45270</v>
      </c>
      <c r="C42" s="214">
        <v>86</v>
      </c>
      <c r="D42" s="214">
        <v>2023</v>
      </c>
      <c r="E42" s="214" t="s">
        <v>774</v>
      </c>
      <c r="F42">
        <f>AVERAGE(C40:C42)</f>
        <v>83.333333333333329</v>
      </c>
      <c r="H42" s="214">
        <v>2027</v>
      </c>
      <c r="I42" s="214" t="s">
        <v>241</v>
      </c>
      <c r="J42" s="138">
        <v>0</v>
      </c>
      <c r="K42" s="138">
        <f t="shared" si="6"/>
        <v>178.83333333333334</v>
      </c>
      <c r="L42" s="138">
        <f>K42</f>
        <v>178.83333333333334</v>
      </c>
      <c r="M42" s="138">
        <f t="shared" si="4"/>
        <v>178.83333333333334</v>
      </c>
      <c r="N42" s="138">
        <f t="shared" si="5"/>
        <v>120.73149074876648</v>
      </c>
    </row>
    <row r="43" spans="2:19" x14ac:dyDescent="0.35">
      <c r="B43" s="727">
        <f t="shared" si="3"/>
        <v>45301</v>
      </c>
      <c r="C43" s="214">
        <v>90</v>
      </c>
      <c r="D43" s="214"/>
      <c r="E43" s="214"/>
      <c r="H43" s="214">
        <v>2027</v>
      </c>
      <c r="I43" s="214" t="s">
        <v>330</v>
      </c>
      <c r="J43" s="138"/>
      <c r="K43" s="138">
        <f t="shared" si="6"/>
        <v>186.66499999999999</v>
      </c>
      <c r="L43" s="138">
        <f t="shared" ref="L43:L51" si="7">K43</f>
        <v>186.66499999999999</v>
      </c>
      <c r="M43" s="138">
        <f t="shared" si="4"/>
        <v>186.66499999999999</v>
      </c>
      <c r="N43" s="138">
        <f t="shared" si="5"/>
        <v>126.01869741259176</v>
      </c>
    </row>
    <row r="44" spans="2:19" x14ac:dyDescent="0.35">
      <c r="B44" s="727">
        <f t="shared" si="3"/>
        <v>45332</v>
      </c>
      <c r="C44" s="214">
        <v>95</v>
      </c>
      <c r="D44" s="214"/>
      <c r="E44" s="214"/>
      <c r="H44" s="214">
        <v>2027</v>
      </c>
      <c r="I44" s="214" t="s">
        <v>774</v>
      </c>
      <c r="J44" s="138"/>
      <c r="K44" s="138">
        <f t="shared" si="6"/>
        <v>183.01499999999999</v>
      </c>
      <c r="L44" s="138">
        <f t="shared" si="7"/>
        <v>183.01499999999999</v>
      </c>
      <c r="M44" s="138">
        <f t="shared" si="4"/>
        <v>183.01499999999999</v>
      </c>
      <c r="N44" s="138">
        <f t="shared" si="5"/>
        <v>123.55455981017052</v>
      </c>
    </row>
    <row r="45" spans="2:19" x14ac:dyDescent="0.35">
      <c r="B45" s="727">
        <f t="shared" si="3"/>
        <v>45363</v>
      </c>
      <c r="C45" s="214">
        <v>98</v>
      </c>
      <c r="D45" s="214">
        <v>2024</v>
      </c>
      <c r="E45" s="214" t="s">
        <v>240</v>
      </c>
      <c r="F45">
        <f>AVERAGE(C43:C45)</f>
        <v>94.333333333333329</v>
      </c>
      <c r="H45" s="214">
        <v>2028</v>
      </c>
      <c r="I45" s="214" t="s">
        <v>240</v>
      </c>
      <c r="J45" s="138"/>
      <c r="K45" s="138">
        <f t="shared" si="6"/>
        <v>166.19833333333332</v>
      </c>
      <c r="L45" s="138">
        <f t="shared" si="7"/>
        <v>166.19833333333332</v>
      </c>
      <c r="M45" s="138">
        <f t="shared" si="4"/>
        <v>166.19833333333332</v>
      </c>
      <c r="N45" s="138">
        <f t="shared" si="5"/>
        <v>112.20152400723433</v>
      </c>
    </row>
    <row r="46" spans="2:19" x14ac:dyDescent="0.35">
      <c r="B46" s="727">
        <f t="shared" si="3"/>
        <v>45394</v>
      </c>
      <c r="C46" s="214">
        <v>98</v>
      </c>
      <c r="D46" s="214"/>
      <c r="E46" s="214"/>
      <c r="H46" s="214">
        <v>2028</v>
      </c>
      <c r="I46" s="214" t="s">
        <v>241</v>
      </c>
      <c r="J46" s="138"/>
      <c r="K46" s="138">
        <f t="shared" si="6"/>
        <v>139.215</v>
      </c>
      <c r="L46" s="138">
        <f t="shared" si="7"/>
        <v>139.215</v>
      </c>
      <c r="M46" s="138">
        <f t="shared" si="4"/>
        <v>139.215</v>
      </c>
      <c r="N46" s="138">
        <f t="shared" si="5"/>
        <v>93.984908581115704</v>
      </c>
    </row>
    <row r="47" spans="2:19" x14ac:dyDescent="0.35">
      <c r="B47" s="727">
        <f t="shared" si="3"/>
        <v>45425</v>
      </c>
      <c r="C47" s="214">
        <v>104</v>
      </c>
      <c r="D47" s="214"/>
      <c r="E47" s="214"/>
      <c r="H47" s="214">
        <v>2028</v>
      </c>
      <c r="I47" s="214" t="s">
        <v>330</v>
      </c>
      <c r="J47" s="138"/>
      <c r="K47" s="138">
        <f t="shared" si="6"/>
        <v>108.05000000000001</v>
      </c>
      <c r="L47" s="138">
        <f t="shared" si="7"/>
        <v>108.05000000000001</v>
      </c>
      <c r="M47" s="138">
        <f t="shared" si="4"/>
        <v>108.05000000000001</v>
      </c>
      <c r="N47" s="138">
        <f t="shared" si="5"/>
        <v>72.945224093593026</v>
      </c>
    </row>
    <row r="48" spans="2:19" x14ac:dyDescent="0.35">
      <c r="B48" s="727">
        <f t="shared" si="3"/>
        <v>45456</v>
      </c>
      <c r="C48" s="214">
        <v>106</v>
      </c>
      <c r="D48" s="214">
        <v>2024</v>
      </c>
      <c r="E48" s="214" t="s">
        <v>241</v>
      </c>
      <c r="F48">
        <f>AVERAGE(C46:C48)</f>
        <v>102.66666666666667</v>
      </c>
      <c r="H48" s="214">
        <v>2028</v>
      </c>
      <c r="I48" s="214" t="s">
        <v>774</v>
      </c>
      <c r="J48" s="138"/>
      <c r="K48" s="138">
        <f t="shared" si="6"/>
        <v>69.7</v>
      </c>
      <c r="L48" s="138">
        <f t="shared" si="7"/>
        <v>69.7</v>
      </c>
      <c r="M48" s="138">
        <f t="shared" si="4"/>
        <v>69.7</v>
      </c>
      <c r="N48" s="138">
        <f t="shared" si="5"/>
        <v>47.054901613358936</v>
      </c>
    </row>
    <row r="49" spans="2:14" x14ac:dyDescent="0.35">
      <c r="B49" s="727">
        <f t="shared" si="3"/>
        <v>45487</v>
      </c>
      <c r="C49" s="214">
        <v>96</v>
      </c>
      <c r="D49" s="214"/>
      <c r="E49" s="214"/>
      <c r="H49" s="214" t="s">
        <v>322</v>
      </c>
      <c r="I49" s="214" t="s">
        <v>322</v>
      </c>
      <c r="J49" s="214"/>
      <c r="K49" s="138">
        <f t="shared" si="6"/>
        <v>39.35</v>
      </c>
      <c r="L49" s="138">
        <f t="shared" si="7"/>
        <v>39.35</v>
      </c>
      <c r="M49" s="138"/>
      <c r="N49" s="138"/>
    </row>
    <row r="50" spans="2:14" x14ac:dyDescent="0.35">
      <c r="B50" s="727">
        <f t="shared" si="3"/>
        <v>45518</v>
      </c>
      <c r="C50" s="214">
        <v>93</v>
      </c>
      <c r="D50" s="214"/>
      <c r="E50" s="214"/>
      <c r="H50" s="214" t="s">
        <v>322</v>
      </c>
      <c r="I50" s="214" t="s">
        <v>322</v>
      </c>
      <c r="J50" s="214"/>
      <c r="K50" s="138">
        <f t="shared" si="6"/>
        <v>15</v>
      </c>
      <c r="L50" s="138">
        <f t="shared" si="7"/>
        <v>15</v>
      </c>
      <c r="M50" s="138"/>
      <c r="N50" s="138"/>
    </row>
    <row r="51" spans="2:14" x14ac:dyDescent="0.35">
      <c r="B51" s="727">
        <f t="shared" si="3"/>
        <v>45549</v>
      </c>
      <c r="C51" s="214">
        <v>88</v>
      </c>
      <c r="D51" s="214">
        <v>2024</v>
      </c>
      <c r="E51" s="214" t="s">
        <v>330</v>
      </c>
      <c r="F51">
        <f>AVERAGE(C49:C51)</f>
        <v>92.333333333333329</v>
      </c>
      <c r="H51" s="214" t="s">
        <v>322</v>
      </c>
      <c r="I51" s="214" t="s">
        <v>322</v>
      </c>
      <c r="J51" s="214"/>
      <c r="K51" s="138">
        <f t="shared" ref="K51" si="8">J41+J42+J43</f>
        <v>0</v>
      </c>
      <c r="L51" s="138">
        <f t="shared" si="7"/>
        <v>0</v>
      </c>
      <c r="M51" s="138"/>
      <c r="N51" s="138"/>
    </row>
    <row r="52" spans="2:14" x14ac:dyDescent="0.35">
      <c r="B52" s="727">
        <f t="shared" si="3"/>
        <v>45580</v>
      </c>
      <c r="C52" s="214">
        <v>80</v>
      </c>
      <c r="D52" s="214"/>
      <c r="E52" s="214"/>
      <c r="H52" s="214" t="s">
        <v>322</v>
      </c>
      <c r="I52" s="214" t="s">
        <v>322</v>
      </c>
      <c r="J52" s="214">
        <f>SUM(J27:J51)</f>
        <v>776.76333333333343</v>
      </c>
      <c r="K52">
        <f>SUM(K27:K51)</f>
        <v>1553.5266666666664</v>
      </c>
      <c r="L52">
        <f>SUM(L27:L51)</f>
        <v>1553.5266666666664</v>
      </c>
    </row>
    <row r="53" spans="2:14" x14ac:dyDescent="0.35">
      <c r="B53" s="727">
        <f t="shared" si="3"/>
        <v>45611</v>
      </c>
      <c r="C53" s="214">
        <v>76</v>
      </c>
      <c r="D53" s="214"/>
      <c r="E53" s="214"/>
      <c r="H53" s="214"/>
      <c r="I53" s="214"/>
      <c r="J53" s="214"/>
    </row>
    <row r="54" spans="2:14" x14ac:dyDescent="0.35">
      <c r="B54" s="727">
        <f t="shared" si="3"/>
        <v>45642</v>
      </c>
      <c r="C54" s="214">
        <v>74</v>
      </c>
      <c r="D54" s="214">
        <v>2024</v>
      </c>
      <c r="E54" s="214" t="s">
        <v>774</v>
      </c>
      <c r="F54">
        <f>AVERAGE(C52:C54)</f>
        <v>76.666666666666671</v>
      </c>
      <c r="H54" s="214"/>
      <c r="I54" s="214"/>
      <c r="J54" s="214"/>
    </row>
    <row r="55" spans="2:14" x14ac:dyDescent="0.35">
      <c r="B55" s="727">
        <f t="shared" si="3"/>
        <v>45673</v>
      </c>
      <c r="C55" s="214">
        <v>66</v>
      </c>
      <c r="D55" s="214"/>
      <c r="E55" s="214"/>
      <c r="H55" s="214"/>
      <c r="I55" s="214"/>
      <c r="J55" s="214"/>
    </row>
    <row r="56" spans="2:14" x14ac:dyDescent="0.35">
      <c r="B56" s="727">
        <f t="shared" si="3"/>
        <v>45704</v>
      </c>
      <c r="C56" s="214">
        <v>58</v>
      </c>
      <c r="D56" s="214"/>
      <c r="E56" s="214"/>
      <c r="H56" s="214"/>
      <c r="I56" s="214"/>
      <c r="J56" s="214"/>
    </row>
    <row r="57" spans="2:14" x14ac:dyDescent="0.35">
      <c r="B57" s="727">
        <f t="shared" si="3"/>
        <v>45735</v>
      </c>
      <c r="C57" s="214">
        <v>58</v>
      </c>
      <c r="D57" s="214">
        <v>2025</v>
      </c>
      <c r="E57" s="214" t="s">
        <v>240</v>
      </c>
      <c r="F57">
        <f>AVERAGE(C55:C57)</f>
        <v>60.666666666666664</v>
      </c>
      <c r="H57" s="214"/>
      <c r="I57" s="214"/>
      <c r="J57" s="214"/>
    </row>
    <row r="58" spans="2:14" x14ac:dyDescent="0.35">
      <c r="B58" s="727"/>
      <c r="C58" s="728">
        <v>50</v>
      </c>
      <c r="D58" s="214"/>
      <c r="E58" s="214"/>
      <c r="H58" s="214"/>
      <c r="I58" s="214"/>
      <c r="J58" s="214"/>
    </row>
    <row r="59" spans="2:14" x14ac:dyDescent="0.35">
      <c r="B59" s="727"/>
      <c r="C59" s="728">
        <v>48</v>
      </c>
      <c r="D59" s="214"/>
      <c r="E59" s="214"/>
      <c r="H59" s="214"/>
      <c r="I59" s="214"/>
      <c r="J59" s="214"/>
    </row>
    <row r="60" spans="2:14" x14ac:dyDescent="0.35">
      <c r="B60" s="214"/>
      <c r="C60" s="728">
        <v>48</v>
      </c>
      <c r="D60" s="214">
        <v>2025</v>
      </c>
      <c r="E60" s="214" t="s">
        <v>241</v>
      </c>
      <c r="F60">
        <f>AVERAGE(C58:C60)</f>
        <v>48.666666666666664</v>
      </c>
      <c r="H60" s="214"/>
      <c r="I60" s="214"/>
      <c r="J60" s="214"/>
    </row>
    <row r="61" spans="2:14" x14ac:dyDescent="0.35">
      <c r="B61" s="214"/>
      <c r="C61" s="214">
        <v>40</v>
      </c>
      <c r="D61" s="214"/>
      <c r="E61" s="214"/>
      <c r="H61" s="214"/>
      <c r="I61" s="214"/>
      <c r="J61" s="214"/>
    </row>
    <row r="62" spans="2:14" x14ac:dyDescent="0.35">
      <c r="B62" s="214"/>
      <c r="C62" s="728">
        <v>30</v>
      </c>
      <c r="D62" s="214"/>
      <c r="E62" s="214"/>
      <c r="H62" s="214"/>
      <c r="I62" s="214"/>
      <c r="J62" s="214"/>
    </row>
    <row r="63" spans="2:14" x14ac:dyDescent="0.35">
      <c r="B63" s="214"/>
      <c r="C63" s="728">
        <v>20</v>
      </c>
      <c r="D63" s="214"/>
      <c r="E63" s="214"/>
      <c r="F63">
        <f>AVERAGE(C61:C63)</f>
        <v>30</v>
      </c>
      <c r="H63" s="214"/>
      <c r="I63" s="214"/>
      <c r="J63" s="214"/>
    </row>
    <row r="64" spans="2:14" x14ac:dyDescent="0.35">
      <c r="B64" s="214"/>
      <c r="C64" s="214"/>
      <c r="D64" s="214"/>
      <c r="E64" s="214"/>
      <c r="H64" s="214"/>
      <c r="I64" s="214"/>
      <c r="J64" s="214"/>
    </row>
    <row r="65" spans="2:10" x14ac:dyDescent="0.35">
      <c r="B65" s="214"/>
      <c r="C65" s="725"/>
      <c r="D65" s="729"/>
      <c r="E65" s="725"/>
      <c r="H65" s="214"/>
      <c r="I65" s="214"/>
      <c r="J65" s="214"/>
    </row>
    <row r="66" spans="2:10" x14ac:dyDescent="0.35">
      <c r="B66" s="214"/>
      <c r="C66" s="214"/>
      <c r="D66" s="214"/>
      <c r="E66" s="214"/>
      <c r="F66" t="e">
        <f>AVERAGE(C64:C66)</f>
        <v>#DIV/0!</v>
      </c>
      <c r="H66" s="214"/>
      <c r="I66" s="214"/>
      <c r="J66" s="214"/>
    </row>
    <row r="67" spans="2:10" x14ac:dyDescent="0.35">
      <c r="B67" s="214"/>
      <c r="C67" s="214"/>
      <c r="D67" s="726"/>
      <c r="E67" s="214"/>
      <c r="H67" s="214"/>
      <c r="I67" s="214"/>
      <c r="J67" s="214"/>
    </row>
    <row r="68" spans="2:10" x14ac:dyDescent="0.35">
      <c r="B68" s="214"/>
      <c r="C68" s="214"/>
      <c r="D68" s="726"/>
      <c r="E68" s="726"/>
      <c r="H68" s="214"/>
      <c r="I68" s="214"/>
      <c r="J68" s="214"/>
    </row>
    <row r="69" spans="2:10" x14ac:dyDescent="0.35">
      <c r="B69" s="730"/>
      <c r="C69" s="731"/>
      <c r="D69" s="732"/>
      <c r="E69" s="214"/>
      <c r="H69" s="214"/>
      <c r="I69" s="214"/>
      <c r="J69" s="214"/>
    </row>
    <row r="70" spans="2:10" x14ac:dyDescent="0.35">
      <c r="B70" s="726" t="s">
        <v>1940</v>
      </c>
      <c r="C70" s="726"/>
      <c r="D70" s="732"/>
      <c r="E70" s="214"/>
      <c r="H70" s="214"/>
      <c r="I70" s="214"/>
      <c r="J70" s="214"/>
    </row>
    <row r="71" spans="2:10" x14ac:dyDescent="0.35">
      <c r="B71" s="726" t="s">
        <v>1941</v>
      </c>
      <c r="C71" s="726"/>
      <c r="D71" s="732"/>
      <c r="E71" s="214"/>
      <c r="H71" s="214"/>
      <c r="I71" s="214"/>
      <c r="J71" s="214"/>
    </row>
    <row r="72" spans="2:10" x14ac:dyDescent="0.35">
      <c r="B72" s="726" t="s">
        <v>1942</v>
      </c>
      <c r="C72" s="726"/>
      <c r="D72" s="732"/>
      <c r="E72" s="214"/>
      <c r="H72" s="214"/>
      <c r="I72" s="214"/>
      <c r="J72" s="214"/>
    </row>
    <row r="73" spans="2:10" x14ac:dyDescent="0.35">
      <c r="B73" s="726" t="s">
        <v>1943</v>
      </c>
      <c r="C73" s="726"/>
      <c r="D73" s="732"/>
      <c r="E73" s="214"/>
      <c r="H73" s="214" t="s">
        <v>1944</v>
      </c>
      <c r="I73" s="214"/>
      <c r="J73" s="214"/>
    </row>
    <row r="74" spans="2:10" x14ac:dyDescent="0.35">
      <c r="B74" s="726" t="s">
        <v>1945</v>
      </c>
      <c r="C74" s="726"/>
      <c r="D74" s="732"/>
      <c r="E74" s="214"/>
      <c r="H74" s="214" t="s">
        <v>1946</v>
      </c>
      <c r="I74" s="214"/>
      <c r="J74" s="214"/>
    </row>
    <row r="75" spans="2:10" x14ac:dyDescent="0.35">
      <c r="B75" s="726" t="s">
        <v>1850</v>
      </c>
      <c r="C75" s="726"/>
      <c r="D75" s="214"/>
      <c r="E75" s="214"/>
      <c r="H75" s="214"/>
      <c r="I75" s="214"/>
      <c r="J75" s="214"/>
    </row>
    <row r="76" spans="2:10" x14ac:dyDescent="0.35">
      <c r="B76" s="214"/>
      <c r="C76" s="214"/>
      <c r="D76" s="214"/>
      <c r="E76" s="214"/>
      <c r="H76" s="214"/>
      <c r="I76" s="214"/>
      <c r="J76" s="214"/>
    </row>
    <row r="77" spans="2:10" x14ac:dyDescent="0.35">
      <c r="B77" s="726" t="s">
        <v>1947</v>
      </c>
      <c r="C77" s="726" t="s">
        <v>1948</v>
      </c>
      <c r="D77" s="214"/>
      <c r="E77" s="214"/>
      <c r="H77" s="214"/>
      <c r="I77" s="214"/>
      <c r="J77" s="214"/>
    </row>
    <row r="78" spans="2:10" x14ac:dyDescent="0.35">
      <c r="B78" s="214"/>
      <c r="C78" s="214"/>
      <c r="D78" s="214"/>
      <c r="E78" s="214"/>
      <c r="H78" s="214"/>
      <c r="I78" s="214"/>
      <c r="J78" s="214"/>
    </row>
    <row r="79" spans="2:10" x14ac:dyDescent="0.35">
      <c r="B79" s="726" t="s">
        <v>1949</v>
      </c>
      <c r="C79" s="726"/>
      <c r="D79" s="214"/>
      <c r="E79" s="214"/>
      <c r="H79" s="214"/>
      <c r="I79" s="214"/>
      <c r="J79" s="214"/>
    </row>
    <row r="80" spans="2:10" x14ac:dyDescent="0.35">
      <c r="B80" s="726" t="s">
        <v>1851</v>
      </c>
      <c r="C80" s="726" t="s">
        <v>1947</v>
      </c>
      <c r="D80" s="214"/>
      <c r="E80" s="214"/>
      <c r="H80" s="214"/>
      <c r="I80" s="214"/>
      <c r="J80" s="214"/>
    </row>
    <row r="81" spans="2:10" x14ac:dyDescent="0.35">
      <c r="B81" s="733">
        <v>42736</v>
      </c>
      <c r="C81" s="732">
        <v>234.95833333333334</v>
      </c>
      <c r="D81" s="214"/>
      <c r="E81" s="214"/>
      <c r="F81">
        <f>C81/C86</f>
        <v>0.67510619244417414</v>
      </c>
      <c r="H81" s="214"/>
      <c r="I81" s="214"/>
      <c r="J81" s="214"/>
    </row>
    <row r="82" spans="2:10" x14ac:dyDescent="0.35">
      <c r="B82" s="733">
        <v>43101</v>
      </c>
      <c r="C82" s="732">
        <v>247.02500000000001</v>
      </c>
      <c r="D82" s="214"/>
      <c r="E82" s="214"/>
      <c r="H82" s="214"/>
      <c r="I82" s="214"/>
      <c r="J82" s="214"/>
    </row>
    <row r="83" spans="2:10" x14ac:dyDescent="0.35">
      <c r="B83" s="733">
        <v>43466</v>
      </c>
      <c r="C83" s="732">
        <v>251.27500000000001</v>
      </c>
      <c r="D83" s="214"/>
      <c r="E83" s="214"/>
      <c r="H83" s="214"/>
      <c r="I83" s="214"/>
      <c r="J83" s="214"/>
    </row>
    <row r="84" spans="2:10" x14ac:dyDescent="0.35">
      <c r="B84" s="733">
        <v>43831</v>
      </c>
      <c r="C84" s="732">
        <v>256.94166666666666</v>
      </c>
      <c r="D84" s="214"/>
      <c r="E84" s="214"/>
      <c r="H84" s="214"/>
      <c r="I84" s="214"/>
      <c r="J84" s="214"/>
    </row>
    <row r="85" spans="2:10" x14ac:dyDescent="0.35">
      <c r="B85" s="733">
        <v>44197</v>
      </c>
      <c r="C85" s="732">
        <v>298.95841666666666</v>
      </c>
      <c r="D85" s="214"/>
      <c r="E85" s="214"/>
      <c r="H85" s="214"/>
      <c r="I85" s="214"/>
      <c r="J85" s="214"/>
    </row>
    <row r="86" spans="2:10" x14ac:dyDescent="0.35">
      <c r="B86" s="733">
        <v>44562</v>
      </c>
      <c r="C86" s="732">
        <v>348.03166666666669</v>
      </c>
      <c r="D86" s="214"/>
      <c r="E86" s="214"/>
      <c r="H86" s="214"/>
      <c r="I86" s="214"/>
      <c r="J86" s="214"/>
    </row>
    <row r="87" spans="2:10" x14ac:dyDescent="0.35">
      <c r="B87" s="733">
        <v>44927</v>
      </c>
      <c r="C87" s="732">
        <v>351.04091666666665</v>
      </c>
      <c r="D87" s="214"/>
      <c r="E87" s="214"/>
      <c r="H87" s="214"/>
      <c r="I87" s="214"/>
      <c r="J87" s="214"/>
    </row>
    <row r="88" spans="2:10" x14ac:dyDescent="0.35">
      <c r="B88" s="733">
        <v>45292</v>
      </c>
      <c r="C88" s="726">
        <v>0</v>
      </c>
      <c r="D88" s="214"/>
      <c r="E88" s="214"/>
      <c r="H88" s="214"/>
      <c r="I88" s="214"/>
      <c r="J88" s="214"/>
    </row>
  </sheetData>
  <mergeCells count="15">
    <mergeCell ref="AK8:AN8"/>
    <mergeCell ref="W7:AN7"/>
    <mergeCell ref="D25:F25"/>
    <mergeCell ref="Y8:AB8"/>
    <mergeCell ref="AC8:AF8"/>
    <mergeCell ref="AG8:AJ8"/>
    <mergeCell ref="B1:AC1"/>
    <mergeCell ref="B2:R4"/>
    <mergeCell ref="T2:AC4"/>
    <mergeCell ref="B7:C9"/>
    <mergeCell ref="D7:V7"/>
    <mergeCell ref="E8:H8"/>
    <mergeCell ref="I8:L8"/>
    <mergeCell ref="M8:P8"/>
    <mergeCell ref="Q8:T8"/>
  </mergeCells>
  <pageMargins left="0.7" right="0.7" top="0.75" bottom="0.75" header="0.3" footer="0.3"/>
  <pageSetup paperSize="9" orientation="portrait" horizontalDpi="300" verticalDpi="300"/>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A2601-CCB3-4AA4-86C5-3FF29C646077}">
  <dimension ref="C1:BT157"/>
  <sheetViews>
    <sheetView topLeftCell="C1" zoomScaleNormal="100" workbookViewId="0">
      <pane xSplit="2" ySplit="7" topLeftCell="I58" activePane="bottomRight" state="frozen"/>
      <selection activeCell="C1" sqref="C1"/>
      <selection pane="topRight" activeCell="E1" sqref="E1"/>
      <selection pane="bottomLeft" activeCell="C8" sqref="C8"/>
      <selection pane="bottomRight" activeCell="N67" sqref="N67"/>
    </sheetView>
  </sheetViews>
  <sheetFormatPr defaultColWidth="10.90625" defaultRowHeight="14.5" x14ac:dyDescent="0.35"/>
  <cols>
    <col min="1" max="2" width="0" hidden="1" customWidth="1"/>
    <col min="3" max="3" width="18" customWidth="1"/>
    <col min="4" max="4" width="45.1796875" customWidth="1"/>
    <col min="5" max="5" width="11.1796875" customWidth="1"/>
    <col min="11" max="11" width="15.453125" customWidth="1"/>
    <col min="12" max="12" width="15.7265625" customWidth="1"/>
    <col min="13" max="13" width="12.453125" customWidth="1"/>
    <col min="14" max="15" width="13.453125" customWidth="1"/>
    <col min="16" max="16" width="11.1796875" customWidth="1"/>
    <col min="19" max="19" width="12" customWidth="1"/>
    <col min="27" max="29" width="11" bestFit="1" customWidth="1"/>
    <col min="30" max="30" width="12.54296875" bestFit="1" customWidth="1"/>
    <col min="31" max="31" width="17.81640625" customWidth="1"/>
    <col min="32" max="34" width="12.54296875" bestFit="1" customWidth="1"/>
    <col min="35" max="35" width="14.81640625" bestFit="1" customWidth="1"/>
    <col min="36" max="37" width="12.54296875" bestFit="1" customWidth="1"/>
    <col min="38" max="38" width="11.26953125" bestFit="1" customWidth="1"/>
    <col min="39" max="39" width="12.54296875" bestFit="1" customWidth="1"/>
    <col min="40" max="40" width="11" bestFit="1" customWidth="1"/>
  </cols>
  <sheetData>
    <row r="1" spans="4:57" x14ac:dyDescent="0.35">
      <c r="D1" s="1318" t="s">
        <v>58</v>
      </c>
      <c r="E1" s="1318"/>
      <c r="F1" s="1318"/>
      <c r="G1" s="1318"/>
      <c r="H1" s="1318"/>
      <c r="I1" s="1318"/>
      <c r="J1" s="1318"/>
      <c r="K1" s="1318"/>
      <c r="L1" s="1318"/>
      <c r="M1" s="1318"/>
      <c r="N1" s="1318"/>
      <c r="O1" s="1318"/>
      <c r="P1" s="1318"/>
      <c r="Q1" s="1318"/>
      <c r="R1" s="1318"/>
      <c r="S1" s="1318"/>
      <c r="T1" s="1318"/>
      <c r="U1" s="1318"/>
      <c r="V1" s="1318"/>
      <c r="W1" s="1318"/>
      <c r="X1" s="1318"/>
      <c r="Y1" s="1318"/>
      <c r="Z1" s="1318"/>
      <c r="AA1" s="1318"/>
      <c r="AB1" s="1318"/>
      <c r="AC1" s="1318"/>
    </row>
    <row r="2" spans="4:57" ht="14.25" customHeight="1" x14ac:dyDescent="0.35">
      <c r="D2" s="1360" t="s">
        <v>906</v>
      </c>
      <c r="E2" s="1360"/>
      <c r="F2" s="1360"/>
      <c r="G2" s="1360"/>
      <c r="H2" s="1360"/>
      <c r="I2" s="1360"/>
      <c r="J2" s="1360"/>
      <c r="K2" s="1360"/>
      <c r="L2" s="1360"/>
      <c r="M2" s="1360"/>
      <c r="N2" s="1360"/>
      <c r="O2" s="1360"/>
      <c r="P2" s="1360"/>
      <c r="Q2" s="1360"/>
      <c r="R2" s="1360"/>
      <c r="S2" s="1360"/>
      <c r="T2" s="1360"/>
      <c r="U2" s="1360"/>
      <c r="V2" s="1360"/>
      <c r="W2" s="1360"/>
      <c r="X2" s="1360"/>
      <c r="Y2" s="1360"/>
      <c r="Z2" s="1360"/>
      <c r="AA2" s="1360"/>
      <c r="AB2" s="1360"/>
      <c r="AC2" s="1360"/>
    </row>
    <row r="3" spans="4:57" ht="84.75" customHeight="1" x14ac:dyDescent="0.35">
      <c r="D3" s="1360"/>
      <c r="E3" s="1360"/>
      <c r="F3" s="1360"/>
      <c r="G3" s="1360"/>
      <c r="H3" s="1360"/>
      <c r="I3" s="1360"/>
      <c r="J3" s="1360"/>
      <c r="K3" s="1360"/>
      <c r="L3" s="1360"/>
      <c r="M3" s="1360"/>
      <c r="N3" s="1360"/>
      <c r="O3" s="1360"/>
      <c r="P3" s="1360"/>
      <c r="Q3" s="1360"/>
      <c r="R3" s="1360"/>
      <c r="S3" s="1360"/>
      <c r="T3" s="1360"/>
      <c r="U3" s="1360"/>
      <c r="V3" s="1360"/>
      <c r="W3" s="1360"/>
      <c r="X3" s="1360"/>
      <c r="Y3" s="1360"/>
      <c r="Z3" s="1360"/>
      <c r="AA3" s="1360"/>
      <c r="AB3" s="1360"/>
      <c r="AC3" s="1360"/>
    </row>
    <row r="4" spans="4:57" x14ac:dyDescent="0.35">
      <c r="D4" s="864" t="s">
        <v>332</v>
      </c>
      <c r="W4" s="56"/>
      <c r="AE4" s="1260"/>
      <c r="AI4" s="1260"/>
      <c r="AM4" s="1260"/>
      <c r="AN4" s="1260"/>
    </row>
    <row r="5" spans="4:57" x14ac:dyDescent="0.35">
      <c r="D5" s="1323" t="s">
        <v>402</v>
      </c>
      <c r="E5" s="1324"/>
      <c r="F5" s="1420" t="s">
        <v>279</v>
      </c>
      <c r="G5" s="1421"/>
      <c r="H5" s="1421"/>
      <c r="I5" s="1421"/>
      <c r="J5" s="1421"/>
      <c r="K5" s="1421"/>
      <c r="L5" s="1421"/>
      <c r="M5" s="1421"/>
      <c r="N5" s="1421"/>
      <c r="O5" s="1421"/>
      <c r="P5" s="1421"/>
      <c r="Q5" s="1421"/>
      <c r="R5" s="1421"/>
      <c r="S5" s="1421"/>
      <c r="T5" s="1421"/>
      <c r="U5" s="1421"/>
      <c r="V5" s="1421"/>
      <c r="W5" s="1421"/>
      <c r="X5" s="1421"/>
      <c r="Y5" s="1421"/>
      <c r="Z5" s="1421"/>
      <c r="AA5" s="1421"/>
      <c r="AB5" s="1422"/>
      <c r="AC5" s="1350" t="s">
        <v>280</v>
      </c>
      <c r="AD5" s="1331"/>
      <c r="AE5" s="1331"/>
      <c r="AF5" s="1331"/>
      <c r="AG5" s="1331"/>
      <c r="AH5" s="1331"/>
      <c r="AI5" s="1331"/>
      <c r="AJ5" s="1331"/>
      <c r="AK5" s="1331"/>
      <c r="AL5" s="1331"/>
      <c r="AM5" s="1331"/>
      <c r="AN5" s="1332"/>
      <c r="AO5" s="792"/>
      <c r="AP5" s="792"/>
      <c r="AQ5" s="792"/>
      <c r="AR5" s="792"/>
      <c r="AS5" s="792"/>
      <c r="AT5" s="792"/>
      <c r="AU5" s="792"/>
      <c r="AV5" s="792"/>
      <c r="AW5" s="792"/>
      <c r="AX5" s="792"/>
      <c r="AY5" s="792"/>
      <c r="AZ5" s="792"/>
      <c r="BA5" s="792"/>
      <c r="BB5" s="792"/>
      <c r="BC5" s="792"/>
      <c r="BD5" s="792"/>
      <c r="BE5" s="792"/>
    </row>
    <row r="6" spans="4:57" x14ac:dyDescent="0.35">
      <c r="D6" s="1325"/>
      <c r="E6" s="1368"/>
      <c r="F6" s="1320">
        <v>2019</v>
      </c>
      <c r="G6" s="1321"/>
      <c r="H6" s="1382"/>
      <c r="I6" s="1321">
        <v>2020</v>
      </c>
      <c r="J6" s="1321"/>
      <c r="K6" s="1321"/>
      <c r="L6" s="1321"/>
      <c r="M6" s="1342">
        <v>2021</v>
      </c>
      <c r="N6" s="1343"/>
      <c r="O6" s="1343"/>
      <c r="P6" s="1343"/>
      <c r="Q6" s="1342">
        <v>2022</v>
      </c>
      <c r="R6" s="1354"/>
      <c r="S6" s="1354"/>
      <c r="T6" s="1344"/>
      <c r="U6" s="1342">
        <v>2023</v>
      </c>
      <c r="V6" s="1354"/>
      <c r="W6" s="1354"/>
      <c r="X6" s="1344"/>
      <c r="Y6" s="460"/>
      <c r="Z6" s="442"/>
      <c r="AA6" s="442">
        <v>2024</v>
      </c>
      <c r="AB6" s="309"/>
      <c r="AC6" s="1329">
        <v>2025</v>
      </c>
      <c r="AD6" s="1335"/>
      <c r="AE6" s="1335"/>
      <c r="AF6" s="1334"/>
      <c r="AG6" s="1329">
        <v>2026</v>
      </c>
      <c r="AH6" s="1335"/>
      <c r="AI6" s="1335"/>
      <c r="AJ6" s="1334"/>
      <c r="AK6" s="1329">
        <v>2027</v>
      </c>
      <c r="AL6" s="1335"/>
      <c r="AM6" s="1335"/>
      <c r="AN6" s="1334"/>
      <c r="AO6" s="605"/>
      <c r="AP6" s="605"/>
      <c r="AQ6" s="605"/>
      <c r="AR6" s="605"/>
      <c r="AS6" s="605"/>
      <c r="AT6" s="605"/>
      <c r="AU6" s="605"/>
      <c r="AV6" s="605"/>
      <c r="AW6" s="605"/>
      <c r="AX6" s="605"/>
      <c r="AY6" s="605"/>
      <c r="AZ6" s="605"/>
      <c r="BA6" s="605"/>
      <c r="BB6" s="605"/>
      <c r="BC6" s="605"/>
      <c r="BD6" s="605"/>
    </row>
    <row r="7" spans="4:57" x14ac:dyDescent="0.35">
      <c r="D7" s="1327"/>
      <c r="E7" s="1369"/>
      <c r="F7" s="225" t="s">
        <v>283</v>
      </c>
      <c r="G7" s="226" t="s">
        <v>238</v>
      </c>
      <c r="H7" s="232" t="s">
        <v>281</v>
      </c>
      <c r="I7" s="226" t="s">
        <v>282</v>
      </c>
      <c r="J7" s="226" t="s">
        <v>283</v>
      </c>
      <c r="K7" s="226" t="s">
        <v>238</v>
      </c>
      <c r="L7" s="226" t="s">
        <v>281</v>
      </c>
      <c r="M7" s="225" t="s">
        <v>282</v>
      </c>
      <c r="N7" s="226" t="s">
        <v>283</v>
      </c>
      <c r="O7" s="226" t="s">
        <v>238</v>
      </c>
      <c r="P7" s="226" t="s">
        <v>281</v>
      </c>
      <c r="Q7" s="225" t="s">
        <v>282</v>
      </c>
      <c r="R7" s="226" t="s">
        <v>283</v>
      </c>
      <c r="S7" s="226" t="s">
        <v>238</v>
      </c>
      <c r="T7" s="232" t="s">
        <v>281</v>
      </c>
      <c r="U7" s="226" t="s">
        <v>282</v>
      </c>
      <c r="V7" s="287" t="s">
        <v>283</v>
      </c>
      <c r="W7" s="226" t="s">
        <v>238</v>
      </c>
      <c r="X7" s="232" t="s">
        <v>281</v>
      </c>
      <c r="Y7" s="225" t="s">
        <v>282</v>
      </c>
      <c r="Z7" s="306" t="s">
        <v>283</v>
      </c>
      <c r="AA7" s="226" t="s">
        <v>238</v>
      </c>
      <c r="AB7" s="226" t="s">
        <v>281</v>
      </c>
      <c r="AC7" s="286" t="s">
        <v>282</v>
      </c>
      <c r="AD7" s="292" t="s">
        <v>283</v>
      </c>
      <c r="AE7" s="273" t="s">
        <v>238</v>
      </c>
      <c r="AF7" s="273" t="s">
        <v>281</v>
      </c>
      <c r="AG7" s="299" t="s">
        <v>282</v>
      </c>
      <c r="AH7" s="271" t="s">
        <v>283</v>
      </c>
      <c r="AI7" s="273" t="s">
        <v>238</v>
      </c>
      <c r="AJ7" s="301" t="s">
        <v>281</v>
      </c>
      <c r="AK7" s="299" t="s">
        <v>282</v>
      </c>
      <c r="AL7" s="271" t="s">
        <v>283</v>
      </c>
      <c r="AM7" s="273" t="s">
        <v>238</v>
      </c>
      <c r="AN7" s="301" t="s">
        <v>281</v>
      </c>
      <c r="AO7" s="772"/>
      <c r="AP7" s="772"/>
      <c r="AQ7" s="772"/>
      <c r="AR7" s="772"/>
      <c r="AS7" s="772"/>
      <c r="AT7" s="772"/>
      <c r="AU7" s="772"/>
      <c r="AV7" s="772"/>
      <c r="AW7" s="772"/>
      <c r="AX7" s="772"/>
      <c r="AY7" s="772"/>
      <c r="AZ7" s="772"/>
      <c r="BA7" s="772"/>
      <c r="BB7" s="772"/>
      <c r="BC7" s="772"/>
      <c r="BD7" s="772"/>
    </row>
    <row r="8" spans="4:57" x14ac:dyDescent="0.35">
      <c r="D8" s="879" t="s">
        <v>464</v>
      </c>
      <c r="E8" s="55"/>
      <c r="F8" s="873"/>
      <c r="G8" s="874"/>
      <c r="H8" s="874"/>
      <c r="I8" s="874"/>
      <c r="J8" s="874"/>
      <c r="K8" s="874"/>
      <c r="L8" s="874"/>
      <c r="M8" s="874"/>
      <c r="N8" s="874"/>
      <c r="O8" s="874"/>
      <c r="P8" s="874"/>
      <c r="Q8" s="874"/>
      <c r="R8" s="874"/>
      <c r="S8" s="874"/>
      <c r="T8" s="874"/>
      <c r="U8" s="771"/>
      <c r="V8" s="771"/>
      <c r="W8" s="771"/>
      <c r="X8" s="874"/>
      <c r="Y8" s="875"/>
      <c r="Z8" s="875"/>
      <c r="AA8" s="875"/>
      <c r="AB8" s="875"/>
      <c r="AC8" s="809"/>
      <c r="AD8" s="809"/>
      <c r="AE8" s="809"/>
      <c r="AF8" s="809"/>
      <c r="AG8" s="835"/>
      <c r="AH8" s="835"/>
      <c r="AI8" s="835"/>
      <c r="AJ8" s="835"/>
      <c r="AK8" s="835"/>
      <c r="AL8" s="835"/>
      <c r="AM8" s="835"/>
      <c r="AN8" s="835"/>
      <c r="AO8" s="693"/>
      <c r="AP8" s="693"/>
      <c r="AQ8" s="693"/>
      <c r="AR8" s="693"/>
      <c r="AS8" s="693"/>
      <c r="AT8" s="693"/>
      <c r="AU8" s="693"/>
      <c r="AV8" s="693"/>
      <c r="AW8" s="693"/>
      <c r="AX8" s="693"/>
      <c r="AY8" s="693"/>
      <c r="AZ8" s="693"/>
      <c r="BA8" s="693"/>
      <c r="BB8" s="693"/>
      <c r="BC8" s="693"/>
      <c r="BD8" s="693"/>
    </row>
    <row r="9" spans="4:57" ht="14.9" customHeight="1" x14ac:dyDescent="0.35">
      <c r="D9" s="505" t="s">
        <v>479</v>
      </c>
      <c r="E9" s="878"/>
      <c r="F9" s="830">
        <f t="shared" ref="F9:S9" si="0">SUM(F10:F15)</f>
        <v>3259.3999999999996</v>
      </c>
      <c r="G9" s="768">
        <f t="shared" si="0"/>
        <v>3286.9</v>
      </c>
      <c r="H9" s="768">
        <f t="shared" si="0"/>
        <v>3343.3</v>
      </c>
      <c r="I9" s="768">
        <f t="shared" si="0"/>
        <v>3392.5</v>
      </c>
      <c r="J9" s="768">
        <f t="shared" si="0"/>
        <v>3135.1000000000004</v>
      </c>
      <c r="K9" s="768">
        <f t="shared" si="0"/>
        <v>3318.9</v>
      </c>
      <c r="L9" s="768">
        <f t="shared" si="0"/>
        <v>3478.3</v>
      </c>
      <c r="M9" s="768">
        <f t="shared" si="0"/>
        <v>3638.1</v>
      </c>
      <c r="N9" s="768">
        <f t="shared" si="0"/>
        <v>3792.5</v>
      </c>
      <c r="O9" s="768">
        <f t="shared" si="0"/>
        <v>3916.4</v>
      </c>
      <c r="P9" s="768">
        <f t="shared" si="0"/>
        <v>4047.3</v>
      </c>
      <c r="Q9" s="768">
        <f t="shared" si="0"/>
        <v>4447.4000000000005</v>
      </c>
      <c r="R9" s="768">
        <f t="shared" si="0"/>
        <v>4479.2000000000007</v>
      </c>
      <c r="S9" s="768">
        <f t="shared" si="0"/>
        <v>4541.8</v>
      </c>
      <c r="T9" s="768">
        <f t="shared" ref="T9:AN9" si="1">SUM(T10,T13,T15)</f>
        <v>4515.6000000000004</v>
      </c>
      <c r="U9" s="768">
        <f t="shared" si="1"/>
        <v>4197.1000000000004</v>
      </c>
      <c r="V9" s="768">
        <f t="shared" si="1"/>
        <v>4212.4000000000005</v>
      </c>
      <c r="W9" s="768">
        <f t="shared" si="1"/>
        <v>4250.7</v>
      </c>
      <c r="X9" s="768">
        <f t="shared" si="1"/>
        <v>4287.5999999999995</v>
      </c>
      <c r="Y9" s="801">
        <f t="shared" si="1"/>
        <v>4397.3</v>
      </c>
      <c r="Z9" s="801">
        <f t="shared" si="1"/>
        <v>4417.2</v>
      </c>
      <c r="AA9" s="801">
        <f t="shared" si="1"/>
        <v>4456.4000000000005</v>
      </c>
      <c r="AB9" s="801">
        <f t="shared" si="1"/>
        <v>4532.8999999999996</v>
      </c>
      <c r="AC9" s="801">
        <f t="shared" si="1"/>
        <v>4640.7</v>
      </c>
      <c r="AD9" s="801">
        <f t="shared" si="1"/>
        <v>4871.2</v>
      </c>
      <c r="AE9" s="801">
        <f t="shared" si="1"/>
        <v>4884.2781359110913</v>
      </c>
      <c r="AF9" s="801">
        <f t="shared" si="1"/>
        <v>4968.9296934101849</v>
      </c>
      <c r="AG9" s="801">
        <f t="shared" si="1"/>
        <v>4977.9314512572364</v>
      </c>
      <c r="AH9" s="801">
        <f t="shared" si="1"/>
        <v>5018.6866160468144</v>
      </c>
      <c r="AI9" s="801">
        <f t="shared" si="1"/>
        <v>5059.8310346733906</v>
      </c>
      <c r="AJ9" s="801">
        <f t="shared" si="1"/>
        <v>5101.3688751467243</v>
      </c>
      <c r="AK9" s="801">
        <f t="shared" si="1"/>
        <v>5247.5311088139333</v>
      </c>
      <c r="AL9" s="801">
        <f t="shared" si="1"/>
        <v>5279.9627728218538</v>
      </c>
      <c r="AM9" s="801">
        <f t="shared" si="1"/>
        <v>5312.6072301188378</v>
      </c>
      <c r="AN9" s="801">
        <f t="shared" si="1"/>
        <v>5345.4659537745702</v>
      </c>
      <c r="AO9" s="760"/>
      <c r="AP9" s="760"/>
      <c r="AV9" s="794"/>
      <c r="AW9" s="794"/>
      <c r="AX9" s="794"/>
      <c r="AY9" s="794"/>
      <c r="AZ9" s="794"/>
      <c r="BA9" s="794"/>
      <c r="BB9" s="794"/>
      <c r="BC9" s="794"/>
      <c r="BD9" s="794"/>
    </row>
    <row r="10" spans="4:57" x14ac:dyDescent="0.35">
      <c r="D10" s="535" t="s">
        <v>2348</v>
      </c>
      <c r="E10" s="39" t="s">
        <v>115</v>
      </c>
      <c r="F10" s="763">
        <f>'Haver Pivoted'!GQ27</f>
        <v>1686.7</v>
      </c>
      <c r="G10" s="842">
        <f>'Haver Pivoted'!GR27</f>
        <v>1699.8</v>
      </c>
      <c r="H10" s="842">
        <f>'Haver Pivoted'!GS27</f>
        <v>1736.2</v>
      </c>
      <c r="I10" s="842">
        <f>'Haver Pivoted'!GT27</f>
        <v>1755.2</v>
      </c>
      <c r="J10" s="842">
        <f>'Haver Pivoted'!GU27</f>
        <v>1622.1</v>
      </c>
      <c r="K10" s="842">
        <f>'Haver Pivoted'!GV27</f>
        <v>1736.6</v>
      </c>
      <c r="L10" s="842">
        <f>'Haver Pivoted'!GW27</f>
        <v>1849.4</v>
      </c>
      <c r="M10" s="842">
        <f>'Haver Pivoted'!GX27</f>
        <v>1988.7</v>
      </c>
      <c r="N10" s="842">
        <f>'Haver Pivoted'!GY27</f>
        <v>2089.5</v>
      </c>
      <c r="O10" s="842">
        <f>'Haver Pivoted'!GZ27</f>
        <v>2173.6</v>
      </c>
      <c r="P10" s="842">
        <f>'Haver Pivoted'!HA27</f>
        <v>2248</v>
      </c>
      <c r="Q10" s="842">
        <f>'Haver Pivoted'!HB27</f>
        <v>2597.4</v>
      </c>
      <c r="R10" s="842">
        <f>'Haver Pivoted'!HC27</f>
        <v>2604.3000000000002</v>
      </c>
      <c r="S10" s="842">
        <f>'Haver Pivoted'!HD27</f>
        <v>2628.3</v>
      </c>
      <c r="T10" s="800">
        <f>'Haver Pivoted'!HE27</f>
        <v>2595.6999999999998</v>
      </c>
      <c r="U10" s="800">
        <f>'Haver Pivoted'!HF27</f>
        <v>2256.3000000000002</v>
      </c>
      <c r="V10" s="800">
        <f>'Haver Pivoted'!HG27</f>
        <v>2246.8000000000002</v>
      </c>
      <c r="W10" s="800">
        <f>'Haver Pivoted'!HH27</f>
        <v>2260.5</v>
      </c>
      <c r="X10" s="800">
        <f>'Haver Pivoted'!HI27</f>
        <v>2282.1999999999998</v>
      </c>
      <c r="Y10" s="800">
        <f>'Haver Pivoted'!HJ27</f>
        <v>2356.1</v>
      </c>
      <c r="Z10" s="800">
        <f>'Haver Pivoted'!HK27</f>
        <v>2375.4</v>
      </c>
      <c r="AA10" s="800">
        <f>'Haver Pivoted'!HL27</f>
        <v>2398.6999999999998</v>
      </c>
      <c r="AB10" s="800">
        <f>'Haver Pivoted'!HM27</f>
        <v>2447.1999999999998</v>
      </c>
      <c r="AC10" s="800">
        <f>'Haver Pivoted'!HN27</f>
        <v>2514.8000000000002</v>
      </c>
      <c r="AD10" s="800">
        <f>'Haver Pivoted'!HO27</f>
        <v>2553.1</v>
      </c>
      <c r="AE10" s="802">
        <f>AD10*(1.02)^0.25+AE11</f>
        <v>2449.7708605995467</v>
      </c>
      <c r="AF10" s="802">
        <f>AE10*(1.02)^0.25+AF11</f>
        <v>2461.9289057507308</v>
      </c>
      <c r="AG10" s="767">
        <f>AC10*(1+$M40-0.01)+AG11</f>
        <v>2442.623338497609</v>
      </c>
      <c r="AH10" s="802">
        <f>AG10*(1.02)^0.25+AH11</f>
        <v>2454.7459109856832</v>
      </c>
      <c r="AI10" s="802">
        <f>AH10*(1.02)^0.25+AI11</f>
        <v>2466.9286469715071</v>
      </c>
      <c r="AJ10" s="802">
        <f>AI10*(1.02)^0.25+AJ11</f>
        <v>2479.1718450424028</v>
      </c>
      <c r="AK10" s="767">
        <f>AG10*(1+$N40-0.01)+AK11</f>
        <v>2597.2813617112374</v>
      </c>
      <c r="AL10" s="802">
        <f>AK10*(1.02)^0.25+AL11</f>
        <v>2610.1714913857681</v>
      </c>
      <c r="AM10" s="802">
        <f>AL10*(1.02)^0.25+AM11</f>
        <v>2623.125593891843</v>
      </c>
      <c r="AN10" s="802">
        <f>AM10*(1.02)^0.25+AN11</f>
        <v>2636.143986722248</v>
      </c>
      <c r="AO10" s="760"/>
      <c r="AP10" s="760"/>
      <c r="AV10" s="693"/>
      <c r="AW10" s="693"/>
      <c r="AX10" s="693"/>
      <c r="AY10" s="693"/>
      <c r="AZ10" s="693"/>
      <c r="BA10" s="693"/>
      <c r="BB10" s="693"/>
      <c r="BC10" s="693"/>
      <c r="BD10" s="693"/>
    </row>
    <row r="11" spans="4:57" x14ac:dyDescent="0.35">
      <c r="D11" s="741" t="s">
        <v>2009</v>
      </c>
      <c r="E11" s="39"/>
      <c r="F11" s="763"/>
      <c r="G11" s="842"/>
      <c r="H11" s="842"/>
      <c r="I11" s="842"/>
      <c r="J11" s="842"/>
      <c r="K11" s="842"/>
      <c r="L11" s="842"/>
      <c r="M11" s="842"/>
      <c r="N11" s="842"/>
      <c r="O11" s="842"/>
      <c r="P11" s="842"/>
      <c r="Q11" s="842"/>
      <c r="R11" s="842"/>
      <c r="S11" s="842"/>
      <c r="T11" s="800"/>
      <c r="U11" s="800"/>
      <c r="V11" s="800"/>
      <c r="W11" s="800"/>
      <c r="X11" s="800"/>
      <c r="Y11" s="800"/>
      <c r="Z11" s="800"/>
      <c r="AA11" s="800"/>
      <c r="AB11" s="802">
        <v>0</v>
      </c>
      <c r="AC11" s="802">
        <v>0</v>
      </c>
      <c r="AD11" s="802">
        <v>0</v>
      </c>
      <c r="AE11" s="802">
        <v>-116</v>
      </c>
      <c r="AF11" s="802">
        <v>0</v>
      </c>
      <c r="AG11" s="802">
        <v>-380</v>
      </c>
      <c r="AH11" s="802">
        <v>0</v>
      </c>
      <c r="AI11" s="802">
        <v>0</v>
      </c>
      <c r="AJ11" s="802">
        <v>0</v>
      </c>
      <c r="AK11" s="802">
        <v>-55</v>
      </c>
      <c r="AL11" s="802">
        <v>0</v>
      </c>
      <c r="AM11" s="802">
        <v>0</v>
      </c>
      <c r="AN11" s="802"/>
      <c r="AO11" s="760"/>
      <c r="AP11" s="760"/>
      <c r="AV11" s="693"/>
      <c r="AW11" s="693"/>
      <c r="AX11" s="693"/>
      <c r="AY11" s="693"/>
      <c r="AZ11" s="693"/>
      <c r="BA11" s="693"/>
      <c r="BB11" s="693"/>
      <c r="BC11" s="693"/>
      <c r="BD11" s="693"/>
    </row>
    <row r="12" spans="4:57" x14ac:dyDescent="0.35">
      <c r="D12" s="535" t="s">
        <v>1745</v>
      </c>
      <c r="E12" s="39"/>
      <c r="F12" s="877"/>
      <c r="G12" s="876"/>
      <c r="H12" s="876"/>
      <c r="I12" s="876"/>
      <c r="J12" s="876"/>
      <c r="K12" s="876"/>
      <c r="L12" s="876"/>
      <c r="M12" s="876"/>
      <c r="N12" s="876"/>
      <c r="O12" s="876"/>
      <c r="P12" s="876"/>
      <c r="Q12" s="876"/>
      <c r="R12" s="876"/>
      <c r="S12" s="769"/>
      <c r="T12" s="769">
        <v>46</v>
      </c>
      <c r="U12" s="769">
        <v>-5</v>
      </c>
      <c r="V12" s="769">
        <v>12</v>
      </c>
      <c r="W12" s="769">
        <v>67</v>
      </c>
      <c r="X12" s="769">
        <v>7</v>
      </c>
      <c r="Y12" s="872">
        <v>-205</v>
      </c>
      <c r="Z12" s="872">
        <v>47</v>
      </c>
      <c r="AA12" s="872">
        <v>17</v>
      </c>
      <c r="AB12" s="872">
        <v>10</v>
      </c>
      <c r="AC12" s="872">
        <v>-32</v>
      </c>
      <c r="AD12" s="872">
        <v>42</v>
      </c>
      <c r="AE12" s="872">
        <v>0</v>
      </c>
      <c r="AF12" s="872">
        <v>0</v>
      </c>
      <c r="AG12" s="872">
        <v>0</v>
      </c>
      <c r="AH12" s="872">
        <v>0</v>
      </c>
      <c r="AI12" s="872">
        <v>0</v>
      </c>
      <c r="AJ12" s="872">
        <v>0</v>
      </c>
      <c r="AK12" s="872">
        <v>0</v>
      </c>
      <c r="AL12" s="872">
        <v>0</v>
      </c>
      <c r="AM12" s="872">
        <v>0</v>
      </c>
      <c r="AN12" s="872">
        <v>0</v>
      </c>
      <c r="AO12" s="760"/>
      <c r="AP12" s="760"/>
      <c r="AV12" s="693"/>
      <c r="AW12" s="693"/>
      <c r="AX12" s="693"/>
      <c r="AY12" s="693"/>
      <c r="AZ12" s="693"/>
      <c r="BA12" s="693"/>
      <c r="BB12" s="693"/>
      <c r="BC12" s="693"/>
      <c r="BD12" s="693"/>
    </row>
    <row r="13" spans="4:57" x14ac:dyDescent="0.35">
      <c r="D13" s="535" t="s">
        <v>481</v>
      </c>
      <c r="E13" s="36" t="s">
        <v>121</v>
      </c>
      <c r="F13" s="763">
        <f>'Haver Pivoted'!GQ30</f>
        <v>1403.5</v>
      </c>
      <c r="G13" s="842">
        <f>'Haver Pivoted'!GR30</f>
        <v>1410.3</v>
      </c>
      <c r="H13" s="842">
        <f>'Haver Pivoted'!GS30</f>
        <v>1428.2</v>
      </c>
      <c r="I13" s="842">
        <f>'Haver Pivoted'!GT30</f>
        <v>1453.2</v>
      </c>
      <c r="J13" s="842">
        <f>'Haver Pivoted'!GU30</f>
        <v>1383.7</v>
      </c>
      <c r="K13" s="842">
        <f>'Haver Pivoted'!GV30</f>
        <v>1433</v>
      </c>
      <c r="L13" s="842">
        <f>'Haver Pivoted'!GW30</f>
        <v>1470.2</v>
      </c>
      <c r="M13" s="842">
        <f>'Haver Pivoted'!GX30</f>
        <v>1487.2</v>
      </c>
      <c r="N13" s="842">
        <f>'Haver Pivoted'!GY30</f>
        <v>1522.5</v>
      </c>
      <c r="O13" s="842">
        <f>'Haver Pivoted'!GZ30</f>
        <v>1559</v>
      </c>
      <c r="P13" s="842">
        <f>'Haver Pivoted'!HA30</f>
        <v>1603.5</v>
      </c>
      <c r="Q13" s="842">
        <f>'Haver Pivoted'!HB30</f>
        <v>1642.9</v>
      </c>
      <c r="R13" s="842">
        <f>'Haver Pivoted'!HC30</f>
        <v>1665.9</v>
      </c>
      <c r="S13" s="842">
        <f>'Haver Pivoted'!HD30</f>
        <v>1713.2</v>
      </c>
      <c r="T13" s="800">
        <f>'Haver Pivoted'!HE30</f>
        <v>1729.9</v>
      </c>
      <c r="U13" s="800">
        <f>'Haver Pivoted'!HF30</f>
        <v>1761.2</v>
      </c>
      <c r="V13" s="800">
        <f>'Haver Pivoted'!HG30</f>
        <v>1789.9</v>
      </c>
      <c r="W13" s="800">
        <f>'Haver Pivoted'!HH30</f>
        <v>1818</v>
      </c>
      <c r="X13" s="800">
        <f>'Haver Pivoted'!HI30</f>
        <v>1836.2</v>
      </c>
      <c r="Y13" s="800">
        <f>'Haver Pivoted'!HJ30</f>
        <v>1864.1</v>
      </c>
      <c r="Z13" s="800">
        <f>'Haver Pivoted'!HK30</f>
        <v>1869.4</v>
      </c>
      <c r="AA13" s="800">
        <f>'Haver Pivoted'!HL30</f>
        <v>1876.4</v>
      </c>
      <c r="AB13" s="800">
        <f>'Haver Pivoted'!HM30</f>
        <v>1903.2</v>
      </c>
      <c r="AC13" s="800">
        <f>'Haver Pivoted'!HN30</f>
        <v>1934.6</v>
      </c>
      <c r="AD13" s="800">
        <f>'Haver Pivoted'!HO30</f>
        <v>1954.7</v>
      </c>
      <c r="AE13" s="802">
        <f>AD13*(1+$L42)^0.25+AE14</f>
        <v>1962.7583998646746</v>
      </c>
      <c r="AF13" s="802">
        <f>AE13*(1+$L42)^0.25+AF14</f>
        <v>1976.8747565552392</v>
      </c>
      <c r="AG13" s="767">
        <f>AF13*(1+$M42)^0.25+AG14</f>
        <v>1999.4269054379204</v>
      </c>
      <c r="AH13" s="802">
        <f>AG13*(1+$M42)^0.25+AH14</f>
        <v>2022.2363287976721</v>
      </c>
      <c r="AI13" s="802">
        <f>AH13*(1+$M42)^0.25+AI14</f>
        <v>2045.3059616167391</v>
      </c>
      <c r="AJ13" s="802">
        <f>AI13*(1+$M42)^0.25+AJ14</f>
        <v>2068.6387723595867</v>
      </c>
      <c r="AK13" s="767">
        <f>AJ13*(1+$M42)^0.25+AK14</f>
        <v>2092.2377633548654</v>
      </c>
      <c r="AL13" s="802">
        <f>AK13*(1+$L42)^0.25+AL14</f>
        <v>2107.285348707715</v>
      </c>
      <c r="AM13" s="802">
        <f>AL13*(1+$L42)^0.25+AM14</f>
        <v>2122.4411578145364</v>
      </c>
      <c r="AN13" s="802">
        <f>AM13*(1+$L42)^0.25+AN14</f>
        <v>2137.7059690315004</v>
      </c>
      <c r="AO13" s="760"/>
      <c r="AP13" s="760"/>
      <c r="AV13" s="693"/>
      <c r="AW13" s="693"/>
      <c r="AX13" s="693"/>
      <c r="AY13" s="693"/>
      <c r="AZ13" s="693"/>
      <c r="BA13" s="693"/>
      <c r="BB13" s="693"/>
      <c r="BC13" s="693"/>
      <c r="BD13" s="693"/>
    </row>
    <row r="14" spans="4:57" x14ac:dyDescent="0.35">
      <c r="D14" s="535" t="s">
        <v>1728</v>
      </c>
      <c r="E14" s="36"/>
      <c r="F14" s="877"/>
      <c r="G14" s="876"/>
      <c r="H14" s="876"/>
      <c r="I14" s="876"/>
      <c r="J14" s="876"/>
      <c r="K14" s="876"/>
      <c r="L14" s="876"/>
      <c r="M14" s="876"/>
      <c r="N14" s="876"/>
      <c r="O14" s="876"/>
      <c r="P14" s="876"/>
      <c r="Q14" s="876"/>
      <c r="R14" s="876"/>
      <c r="S14" s="876"/>
      <c r="T14" s="769"/>
      <c r="U14" s="769">
        <v>8</v>
      </c>
      <c r="V14" s="769">
        <v>-10</v>
      </c>
      <c r="W14" s="769">
        <v>-5</v>
      </c>
      <c r="X14" s="769">
        <v>-6</v>
      </c>
      <c r="Y14" s="872">
        <v>21</v>
      </c>
      <c r="Z14" s="872">
        <v>5</v>
      </c>
      <c r="AA14" s="872">
        <v>-10</v>
      </c>
      <c r="AB14" s="872"/>
      <c r="AC14" s="872">
        <v>5</v>
      </c>
      <c r="AD14" s="872">
        <v>4</v>
      </c>
      <c r="AE14" s="872">
        <v>-6</v>
      </c>
      <c r="AF14" s="872"/>
      <c r="AG14" s="872"/>
      <c r="AH14" s="802"/>
      <c r="AI14" s="802"/>
      <c r="AJ14" s="802"/>
      <c r="AK14" s="802"/>
      <c r="AL14" s="802"/>
      <c r="AM14" s="802"/>
      <c r="AN14" s="802"/>
      <c r="AO14" s="760"/>
      <c r="AP14" s="760"/>
      <c r="AV14" s="693"/>
      <c r="AW14" s="693"/>
      <c r="AX14" s="693"/>
      <c r="AY14" s="693"/>
      <c r="AZ14" s="693"/>
      <c r="BA14" s="693"/>
      <c r="BB14" s="693"/>
      <c r="BC14" s="693"/>
      <c r="BD14" s="693"/>
    </row>
    <row r="15" spans="4:57" x14ac:dyDescent="0.35">
      <c r="D15" s="535" t="s">
        <v>482</v>
      </c>
      <c r="E15" s="39" t="s">
        <v>117</v>
      </c>
      <c r="F15" s="763">
        <f t="shared" ref="F15:AD15" si="2">F16+F17</f>
        <v>169.2</v>
      </c>
      <c r="G15" s="763">
        <f t="shared" si="2"/>
        <v>176.8</v>
      </c>
      <c r="H15" s="763">
        <f t="shared" si="2"/>
        <v>178.9</v>
      </c>
      <c r="I15" s="763">
        <f t="shared" si="2"/>
        <v>184.1</v>
      </c>
      <c r="J15" s="763">
        <f t="shared" si="2"/>
        <v>129.30000000000001</v>
      </c>
      <c r="K15" s="763">
        <f t="shared" si="2"/>
        <v>149.30000000000001</v>
      </c>
      <c r="L15" s="763">
        <f t="shared" si="2"/>
        <v>158.69999999999999</v>
      </c>
      <c r="M15" s="763">
        <f t="shared" si="2"/>
        <v>162.19999999999999</v>
      </c>
      <c r="N15" s="763">
        <f t="shared" si="2"/>
        <v>180.5</v>
      </c>
      <c r="O15" s="763">
        <f t="shared" si="2"/>
        <v>183.8</v>
      </c>
      <c r="P15" s="763">
        <f t="shared" si="2"/>
        <v>195.8</v>
      </c>
      <c r="Q15" s="763">
        <f t="shared" si="2"/>
        <v>207.10000000000002</v>
      </c>
      <c r="R15" s="763">
        <f t="shared" si="2"/>
        <v>209</v>
      </c>
      <c r="S15" s="763">
        <f t="shared" si="2"/>
        <v>200.3</v>
      </c>
      <c r="T15" s="763">
        <f t="shared" si="2"/>
        <v>190</v>
      </c>
      <c r="U15" s="763">
        <f t="shared" si="2"/>
        <v>179.60000000000002</v>
      </c>
      <c r="V15" s="763">
        <f t="shared" si="2"/>
        <v>175.7</v>
      </c>
      <c r="W15" s="763">
        <f t="shared" si="2"/>
        <v>172.2</v>
      </c>
      <c r="X15" s="763">
        <f t="shared" si="2"/>
        <v>169.2</v>
      </c>
      <c r="Y15" s="763">
        <f t="shared" si="2"/>
        <v>177.10000000000002</v>
      </c>
      <c r="Z15" s="763">
        <f t="shared" si="2"/>
        <v>172.4</v>
      </c>
      <c r="AA15" s="763">
        <f t="shared" si="2"/>
        <v>181.3</v>
      </c>
      <c r="AB15" s="763">
        <f t="shared" si="2"/>
        <v>182.5</v>
      </c>
      <c r="AC15" s="763">
        <f t="shared" si="2"/>
        <v>191.3</v>
      </c>
      <c r="AD15" s="763">
        <f t="shared" si="2"/>
        <v>363.4</v>
      </c>
      <c r="AE15" s="763">
        <f t="shared" ref="AE15:AN15" si="3">AE16+AE17+AE18</f>
        <v>471.74887544686931</v>
      </c>
      <c r="AF15" s="763">
        <f t="shared" si="3"/>
        <v>530.12603110421526</v>
      </c>
      <c r="AG15" s="763">
        <f t="shared" si="3"/>
        <v>535.88120732170637</v>
      </c>
      <c r="AH15" s="763">
        <f t="shared" si="3"/>
        <v>541.70437626345915</v>
      </c>
      <c r="AI15" s="763">
        <f t="shared" si="3"/>
        <v>547.59642608514412</v>
      </c>
      <c r="AJ15" s="763">
        <f t="shared" si="3"/>
        <v>553.55825774473465</v>
      </c>
      <c r="AK15" s="763">
        <f t="shared" si="3"/>
        <v>558.01198374783041</v>
      </c>
      <c r="AL15" s="763">
        <f t="shared" si="3"/>
        <v>562.50593272837091</v>
      </c>
      <c r="AM15" s="763">
        <f t="shared" si="3"/>
        <v>567.04047841245836</v>
      </c>
      <c r="AN15" s="763">
        <f t="shared" si="3"/>
        <v>571.61599802082094</v>
      </c>
      <c r="AO15" s="760"/>
      <c r="AP15" s="760"/>
      <c r="AV15" s="693"/>
      <c r="AW15" s="693"/>
      <c r="AX15" s="693"/>
      <c r="AY15" s="693"/>
      <c r="AZ15" s="693"/>
      <c r="BA15" s="693"/>
      <c r="BB15" s="693"/>
      <c r="BC15" s="693"/>
      <c r="BD15" s="693"/>
    </row>
    <row r="16" spans="4:57" x14ac:dyDescent="0.35">
      <c r="D16" s="535" t="s">
        <v>2344</v>
      </c>
      <c r="E16" s="39" t="s">
        <v>2346</v>
      </c>
      <c r="F16">
        <v>70</v>
      </c>
      <c r="G16">
        <v>79.900000000000006</v>
      </c>
      <c r="H16">
        <v>85.4</v>
      </c>
      <c r="I16">
        <v>80.099999999999994</v>
      </c>
      <c r="J16">
        <v>54.6</v>
      </c>
      <c r="K16">
        <v>66.099999999999994</v>
      </c>
      <c r="L16">
        <v>73.7</v>
      </c>
      <c r="M16">
        <v>81.5</v>
      </c>
      <c r="N16">
        <v>88.8</v>
      </c>
      <c r="O16">
        <v>88.9</v>
      </c>
      <c r="P16">
        <v>97.2</v>
      </c>
      <c r="Q16">
        <v>108.4</v>
      </c>
      <c r="R16">
        <v>109</v>
      </c>
      <c r="S16">
        <v>101.3</v>
      </c>
      <c r="T16">
        <v>90.6</v>
      </c>
      <c r="U16">
        <v>85.3</v>
      </c>
      <c r="V16">
        <v>82.3</v>
      </c>
      <c r="W16">
        <v>79.3</v>
      </c>
      <c r="X16">
        <v>79.5</v>
      </c>
      <c r="Y16">
        <v>82.2</v>
      </c>
      <c r="Z16">
        <v>78.099999999999994</v>
      </c>
      <c r="AA16">
        <v>85.1</v>
      </c>
      <c r="AB16">
        <v>86.5</v>
      </c>
      <c r="AC16">
        <v>96.3</v>
      </c>
      <c r="AD16">
        <v>267</v>
      </c>
      <c r="AE16">
        <v>377</v>
      </c>
      <c r="AF16" s="802">
        <f>AE16+60</f>
        <v>437</v>
      </c>
      <c r="AG16" s="802">
        <f>AF16*(1.038)^0.25</f>
        <v>441.09361916881272</v>
      </c>
      <c r="AH16" s="802">
        <f t="shared" ref="AH16:AN16" si="4">AG16*(1.038)^0.25</f>
        <v>445.22558551817298</v>
      </c>
      <c r="AI16" s="802">
        <f t="shared" si="4"/>
        <v>449.396258267196</v>
      </c>
      <c r="AJ16" s="802">
        <f t="shared" si="4"/>
        <v>453.60599999999988</v>
      </c>
      <c r="AK16" s="802">
        <f t="shared" si="4"/>
        <v>457.85517669722748</v>
      </c>
      <c r="AL16" s="802">
        <f t="shared" si="4"/>
        <v>462.14415776786342</v>
      </c>
      <c r="AM16" s="802">
        <f t="shared" si="4"/>
        <v>466.47331608134931</v>
      </c>
      <c r="AN16" s="802">
        <f t="shared" si="4"/>
        <v>470.84302799999972</v>
      </c>
      <c r="AO16" s="760"/>
      <c r="AP16" s="760"/>
      <c r="AV16" s="693"/>
      <c r="AW16" s="693"/>
      <c r="AX16" s="693"/>
      <c r="AY16" s="693"/>
      <c r="AZ16" s="693"/>
      <c r="BA16" s="693"/>
      <c r="BB16" s="693"/>
      <c r="BC16" s="693"/>
      <c r="BD16" s="693"/>
    </row>
    <row r="17" spans="4:56" x14ac:dyDescent="0.35">
      <c r="D17" s="535" t="s">
        <v>2345</v>
      </c>
      <c r="E17" s="39" t="s">
        <v>2347</v>
      </c>
      <c r="F17">
        <v>99.2</v>
      </c>
      <c r="G17">
        <v>96.899999999999991</v>
      </c>
      <c r="H17">
        <v>93.5</v>
      </c>
      <c r="I17">
        <v>104</v>
      </c>
      <c r="J17">
        <v>74.7</v>
      </c>
      <c r="K17">
        <v>83.2</v>
      </c>
      <c r="L17">
        <v>85</v>
      </c>
      <c r="M17">
        <v>80.7</v>
      </c>
      <c r="N17">
        <v>91.7</v>
      </c>
      <c r="O17">
        <v>94.9</v>
      </c>
      <c r="P17">
        <v>98.600000000000009</v>
      </c>
      <c r="Q17">
        <v>98.7</v>
      </c>
      <c r="R17">
        <v>100</v>
      </c>
      <c r="S17">
        <v>99</v>
      </c>
      <c r="T17">
        <v>99.4</v>
      </c>
      <c r="U17">
        <v>94.300000000000011</v>
      </c>
      <c r="V17">
        <v>93.4</v>
      </c>
      <c r="W17">
        <v>92.9</v>
      </c>
      <c r="X17">
        <v>89.7</v>
      </c>
      <c r="Y17">
        <v>94.9</v>
      </c>
      <c r="Z17">
        <v>94.300000000000011</v>
      </c>
      <c r="AA17">
        <v>96.2</v>
      </c>
      <c r="AB17">
        <v>96</v>
      </c>
      <c r="AC17">
        <v>95</v>
      </c>
      <c r="AD17">
        <v>96.4</v>
      </c>
      <c r="AE17" s="802">
        <f>AD17*(1+$L$43)^0.25</f>
        <v>94.748875446869292</v>
      </c>
      <c r="AF17" s="802">
        <f>AE17*(1+$L$43)^0.25</f>
        <v>93.126031104215258</v>
      </c>
      <c r="AG17" s="802">
        <f>AF17*(1+$M$43)^0.25</f>
        <v>94.78758815289369</v>
      </c>
      <c r="AH17" s="802">
        <f>AG17*(1+$M$43)^0.25</f>
        <v>96.478790745286133</v>
      </c>
      <c r="AI17" s="802">
        <f>AH17*(1+$M$43)^0.25</f>
        <v>98.200167817948099</v>
      </c>
      <c r="AJ17" s="802">
        <f>AI17*(1+$M$43)^0.25</f>
        <v>99.952257744734752</v>
      </c>
      <c r="AK17" s="802">
        <f>AJ17*(1+$N$43)^0.25</f>
        <v>100.15680705060296</v>
      </c>
      <c r="AL17" s="802">
        <f>AK17*(1+$N$43)^0.25</f>
        <v>100.3617749605075</v>
      </c>
      <c r="AM17" s="802">
        <f>AL17*(1+$N$43)^0.25</f>
        <v>100.567162331109</v>
      </c>
      <c r="AN17" s="802">
        <f>AM17*(1+$N$43)^0.25</f>
        <v>100.77297002082123</v>
      </c>
      <c r="AO17" s="760"/>
      <c r="AP17" s="760"/>
      <c r="AV17" s="693"/>
      <c r="AW17" s="693"/>
      <c r="AX17" s="693"/>
      <c r="AY17" s="693"/>
      <c r="AZ17" s="693"/>
      <c r="BA17" s="693"/>
      <c r="BB17" s="693"/>
      <c r="BC17" s="693"/>
      <c r="BD17" s="693"/>
    </row>
    <row r="18" spans="4:56" x14ac:dyDescent="0.35">
      <c r="D18" s="788" t="s">
        <v>1424</v>
      </c>
      <c r="E18" s="789"/>
      <c r="F18" s="877"/>
      <c r="G18" s="876"/>
      <c r="H18" s="876"/>
      <c r="I18" s="876"/>
      <c r="J18" s="876"/>
      <c r="K18" s="876"/>
      <c r="L18" s="876"/>
      <c r="M18" s="876"/>
      <c r="N18" s="876"/>
      <c r="O18" s="876"/>
      <c r="P18" s="876"/>
      <c r="Q18" s="876"/>
      <c r="R18" s="876"/>
      <c r="S18" s="769"/>
      <c r="T18" s="769"/>
      <c r="U18" s="769">
        <v>0</v>
      </c>
      <c r="V18" s="769">
        <v>0</v>
      </c>
      <c r="W18" s="769">
        <v>0</v>
      </c>
      <c r="X18" s="769">
        <v>0</v>
      </c>
      <c r="Y18" s="872">
        <v>0</v>
      </c>
      <c r="Z18" s="872">
        <v>0</v>
      </c>
      <c r="AA18" s="872">
        <v>0</v>
      </c>
      <c r="AB18" s="872">
        <v>0</v>
      </c>
      <c r="AC18" s="872">
        <v>0</v>
      </c>
      <c r="AD18" s="872">
        <v>0</v>
      </c>
      <c r="AE18" s="872">
        <v>0</v>
      </c>
      <c r="AF18" s="872">
        <v>0</v>
      </c>
      <c r="AG18" s="872">
        <v>0</v>
      </c>
      <c r="AH18" s="872">
        <v>0</v>
      </c>
      <c r="AI18" s="872">
        <v>0</v>
      </c>
      <c r="AJ18" s="872">
        <v>0</v>
      </c>
      <c r="AK18" s="872">
        <v>0</v>
      </c>
      <c r="AL18" s="872">
        <v>0</v>
      </c>
      <c r="AM18" s="872">
        <v>0</v>
      </c>
      <c r="AN18" s="872">
        <v>0</v>
      </c>
      <c r="AO18" s="760"/>
      <c r="AP18" s="760"/>
      <c r="AV18" s="693"/>
      <c r="AW18" s="693"/>
      <c r="AX18" s="693"/>
      <c r="AY18" s="693"/>
      <c r="AZ18" s="693"/>
      <c r="BA18" s="693"/>
      <c r="BB18" s="693"/>
      <c r="BC18" s="693"/>
      <c r="BD18" s="693"/>
    </row>
    <row r="19" spans="4:56" ht="14.9" customHeight="1" x14ac:dyDescent="0.35">
      <c r="D19" s="431" t="s">
        <v>1873</v>
      </c>
      <c r="E19" s="785" t="s">
        <v>119</v>
      </c>
      <c r="F19" s="865">
        <f>'Haver Pivoted'!GQ29</f>
        <v>205.6</v>
      </c>
      <c r="G19" s="770">
        <f>'Haver Pivoted'!GR29</f>
        <v>206.9</v>
      </c>
      <c r="H19" s="770">
        <f>'Haver Pivoted'!GS29</f>
        <v>231.9</v>
      </c>
      <c r="I19" s="770">
        <f>'Haver Pivoted'!GT29</f>
        <v>191.5</v>
      </c>
      <c r="J19" s="770">
        <f>'Haver Pivoted'!GU29</f>
        <v>199.6</v>
      </c>
      <c r="K19" s="770">
        <f>'Haver Pivoted'!GV29</f>
        <v>258.60000000000002</v>
      </c>
      <c r="L19" s="770">
        <f>'Haver Pivoted'!GW29</f>
        <v>251.2</v>
      </c>
      <c r="M19" s="770">
        <f>'Haver Pivoted'!GX29</f>
        <v>289.89999999999998</v>
      </c>
      <c r="N19" s="770">
        <f>'Haver Pivoted'!GY29</f>
        <v>343.9</v>
      </c>
      <c r="O19" s="770">
        <f>'Haver Pivoted'!GZ29</f>
        <v>344.5</v>
      </c>
      <c r="P19" s="770">
        <f>'Haver Pivoted'!HA29</f>
        <v>357.9</v>
      </c>
      <c r="Q19" s="770">
        <f>'Haver Pivoted'!HB29</f>
        <v>379.6</v>
      </c>
      <c r="R19" s="770">
        <f>'Haver Pivoted'!HC29</f>
        <v>417.1</v>
      </c>
      <c r="S19" s="770">
        <f>'Haver Pivoted'!HD29</f>
        <v>402.2</v>
      </c>
      <c r="T19" s="766">
        <f>'Haver Pivoted'!HE29</f>
        <v>406.9</v>
      </c>
      <c r="U19" s="766">
        <f>'Haver Pivoted'!HF29</f>
        <v>434.3</v>
      </c>
      <c r="V19" s="766">
        <f>'Haver Pivoted'!HG29</f>
        <v>429.4</v>
      </c>
      <c r="W19" s="766">
        <f>'Haver Pivoted'!HH29</f>
        <v>451.9</v>
      </c>
      <c r="X19" s="766">
        <f>'Haver Pivoted'!HI29</f>
        <v>464.8</v>
      </c>
      <c r="Y19" s="766">
        <f>'Haver Pivoted'!HJ29</f>
        <v>459.9</v>
      </c>
      <c r="Z19" s="766">
        <f>'Haver Pivoted'!HK29</f>
        <v>493.4</v>
      </c>
      <c r="AA19" s="766">
        <f>'Haver Pivoted'!HL29</f>
        <v>493.1</v>
      </c>
      <c r="AB19" s="766">
        <f>'Haver Pivoted'!HM29</f>
        <v>512.1</v>
      </c>
      <c r="AC19" s="766">
        <f>'Haver Pivoted'!HN29</f>
        <v>519.79999999999995</v>
      </c>
      <c r="AD19" s="802">
        <f>AC19*(1+$L44)^0.25+AD20</f>
        <v>529.89791908292057</v>
      </c>
      <c r="AE19" s="802">
        <f>AD19*(1+$L44)^0.25+AE20</f>
        <v>140.19200586458146</v>
      </c>
      <c r="AF19" s="802">
        <f t="shared" ref="AF19:AN19" si="5">AE19*(1+$M44)^0.25+AF20</f>
        <v>394.32577705384216</v>
      </c>
      <c r="AG19" s="802">
        <f t="shared" si="5"/>
        <v>391.88928756362725</v>
      </c>
      <c r="AH19" s="802">
        <f t="shared" si="5"/>
        <v>389.46785283620335</v>
      </c>
      <c r="AI19" s="802">
        <f t="shared" si="5"/>
        <v>387.06137985008053</v>
      </c>
      <c r="AJ19" s="802">
        <f t="shared" si="5"/>
        <v>384.66977615853688</v>
      </c>
      <c r="AK19" s="802">
        <f t="shared" si="5"/>
        <v>392.29294988606722</v>
      </c>
      <c r="AL19" s="802">
        <f t="shared" si="5"/>
        <v>389.8690209798109</v>
      </c>
      <c r="AM19" s="802">
        <f t="shared" si="5"/>
        <v>387.46006922607359</v>
      </c>
      <c r="AN19" s="802">
        <f t="shared" si="5"/>
        <v>385.06600208290945</v>
      </c>
      <c r="AO19" s="760"/>
      <c r="AP19" s="760"/>
      <c r="AV19" s="794"/>
      <c r="AW19" s="794"/>
      <c r="AX19" s="794"/>
      <c r="AY19" s="794"/>
      <c r="AZ19" s="794"/>
      <c r="BA19" s="794"/>
      <c r="BB19" s="794"/>
      <c r="BC19" s="794"/>
      <c r="BD19" s="794"/>
    </row>
    <row r="20" spans="4:56" ht="14.9" customHeight="1" x14ac:dyDescent="0.35">
      <c r="D20" s="742" t="s">
        <v>2010</v>
      </c>
      <c r="E20" s="785"/>
      <c r="F20" s="865"/>
      <c r="G20" s="770"/>
      <c r="H20" s="770"/>
      <c r="I20" s="770"/>
      <c r="J20" s="770"/>
      <c r="K20" s="770"/>
      <c r="L20" s="770"/>
      <c r="M20" s="770"/>
      <c r="N20" s="770"/>
      <c r="O20" s="770"/>
      <c r="P20" s="770"/>
      <c r="Q20" s="770"/>
      <c r="R20" s="770"/>
      <c r="S20" s="770"/>
      <c r="T20" s="766"/>
      <c r="U20" s="766"/>
      <c r="V20" s="766"/>
      <c r="W20" s="766"/>
      <c r="X20" s="766"/>
      <c r="Y20" s="766"/>
      <c r="Z20" s="766"/>
      <c r="AA20" s="766"/>
      <c r="AB20" s="802">
        <v>0</v>
      </c>
      <c r="AC20" s="802">
        <v>0</v>
      </c>
      <c r="AD20" s="802">
        <v>0</v>
      </c>
      <c r="AE20" s="802">
        <v>-400</v>
      </c>
      <c r="AF20" s="802">
        <v>255</v>
      </c>
      <c r="AG20" s="802">
        <v>0</v>
      </c>
      <c r="AH20" s="802">
        <v>0</v>
      </c>
      <c r="AI20" s="802">
        <v>0</v>
      </c>
      <c r="AJ20" s="802">
        <v>0</v>
      </c>
      <c r="AK20" s="802">
        <v>10</v>
      </c>
      <c r="AL20" s="802">
        <v>0</v>
      </c>
      <c r="AM20" s="802">
        <v>0</v>
      </c>
      <c r="AN20" s="802">
        <v>0</v>
      </c>
      <c r="AO20" s="760"/>
      <c r="AP20" s="760"/>
      <c r="AV20" s="794"/>
      <c r="AW20" s="794"/>
      <c r="AX20" s="794"/>
      <c r="AY20" s="794"/>
      <c r="AZ20" s="794"/>
      <c r="BA20" s="794"/>
      <c r="BB20" s="794"/>
      <c r="BC20" s="794"/>
      <c r="BD20" s="794"/>
    </row>
    <row r="21" spans="4:56" x14ac:dyDescent="0.35">
      <c r="D21" s="871" t="s">
        <v>471</v>
      </c>
      <c r="E21" s="832"/>
      <c r="F21" s="815"/>
      <c r="G21" s="810"/>
      <c r="H21" s="810"/>
      <c r="I21" s="810"/>
      <c r="J21" s="810"/>
      <c r="K21" s="810"/>
      <c r="L21" s="810"/>
      <c r="M21" s="810"/>
      <c r="N21" s="810"/>
      <c r="O21" s="810"/>
      <c r="P21" s="810"/>
      <c r="Q21" s="810"/>
      <c r="R21" s="810"/>
      <c r="S21" s="810"/>
      <c r="T21" s="810"/>
      <c r="U21" s="874"/>
      <c r="V21" s="810"/>
      <c r="W21" s="810"/>
      <c r="X21" s="810"/>
      <c r="Y21" s="810"/>
      <c r="Z21" s="810"/>
      <c r="AA21" s="810"/>
      <c r="AB21" s="810"/>
      <c r="AC21" s="810"/>
      <c r="AD21" s="1264"/>
      <c r="AE21" s="1265"/>
      <c r="AF21" s="1265"/>
      <c r="AG21" s="1265"/>
      <c r="AH21" s="760"/>
      <c r="AI21" s="760"/>
      <c r="AJ21" s="760"/>
      <c r="AK21" s="1265"/>
      <c r="AL21" s="760"/>
      <c r="AM21" s="760"/>
      <c r="AN21" s="760"/>
      <c r="AO21" s="760"/>
      <c r="AP21" s="760"/>
    </row>
    <row r="22" spans="4:56" ht="14.9" customHeight="1" x14ac:dyDescent="0.35">
      <c r="D22" s="793" t="s">
        <v>479</v>
      </c>
      <c r="E22" s="786"/>
      <c r="F22" s="865">
        <f t="shared" ref="F22:P22" si="6">SUM(F25:F28)</f>
        <v>1902.8</v>
      </c>
      <c r="G22" s="770">
        <f t="shared" si="6"/>
        <v>1893</v>
      </c>
      <c r="H22" s="770">
        <f t="shared" si="6"/>
        <v>1884.1999999999998</v>
      </c>
      <c r="I22" s="770">
        <f t="shared" si="6"/>
        <v>1885.8999999999999</v>
      </c>
      <c r="J22" s="770">
        <f t="shared" si="6"/>
        <v>1793.2</v>
      </c>
      <c r="K22" s="770">
        <f t="shared" si="6"/>
        <v>1921.7</v>
      </c>
      <c r="L22" s="770">
        <f t="shared" si="6"/>
        <v>1960.7</v>
      </c>
      <c r="M22" s="770">
        <f t="shared" si="6"/>
        <v>2016.5</v>
      </c>
      <c r="N22" s="770">
        <f t="shared" si="6"/>
        <v>2132.4</v>
      </c>
      <c r="O22" s="770">
        <f t="shared" si="6"/>
        <v>2137.3000000000002</v>
      </c>
      <c r="P22" s="770">
        <f t="shared" si="6"/>
        <v>2201.5</v>
      </c>
      <c r="Q22" s="770">
        <f>SUM(Q24:Q28)</f>
        <v>2285.4</v>
      </c>
      <c r="R22" s="770">
        <f>SUM(R24:R28)</f>
        <v>2360.4</v>
      </c>
      <c r="S22" s="770">
        <f>SUM(S24:S28)</f>
        <v>2287.5</v>
      </c>
      <c r="T22" s="770">
        <f>SUM(T24:T28)</f>
        <v>2306.3000000000002</v>
      </c>
      <c r="U22" s="770">
        <f>SUM(U25:U28)</f>
        <v>2296.6</v>
      </c>
      <c r="V22" s="770">
        <f>SUM(V24:V28)</f>
        <v>2311.5</v>
      </c>
      <c r="W22" s="770">
        <f t="shared" ref="W22:AN22" si="7">SUM(W24,W25,W27,W28)</f>
        <v>2350.6999999999998</v>
      </c>
      <c r="X22" s="770">
        <f t="shared" si="7"/>
        <v>2379.1999999999998</v>
      </c>
      <c r="Y22" s="804">
        <f t="shared" si="7"/>
        <v>2395.3000000000002</v>
      </c>
      <c r="Z22" s="804">
        <f t="shared" si="7"/>
        <v>2439</v>
      </c>
      <c r="AA22" s="804">
        <f t="shared" si="7"/>
        <v>2477.5</v>
      </c>
      <c r="AB22" s="804">
        <f t="shared" si="7"/>
        <v>2519.8000000000002</v>
      </c>
      <c r="AC22" s="804">
        <f t="shared" si="7"/>
        <v>2550.5</v>
      </c>
      <c r="AD22" s="804">
        <f>SUM(AD24,AD25,AD27,AD28)</f>
        <v>2584.6999999999998</v>
      </c>
      <c r="AE22" s="804">
        <f t="shared" si="7"/>
        <v>2610.4179349654814</v>
      </c>
      <c r="AF22" s="804">
        <f t="shared" si="7"/>
        <v>2637.2590525097935</v>
      </c>
      <c r="AG22" s="804">
        <f t="shared" si="7"/>
        <v>2661.9450087697264</v>
      </c>
      <c r="AH22" s="804">
        <f t="shared" si="7"/>
        <v>2687.6209509421678</v>
      </c>
      <c r="AI22" s="804">
        <f t="shared" si="7"/>
        <v>2711.0655175084648</v>
      </c>
      <c r="AJ22" s="804">
        <f t="shared" si="7"/>
        <v>2736.4520878263743</v>
      </c>
      <c r="AK22" s="804">
        <f t="shared" si="7"/>
        <v>2763.2785072824095</v>
      </c>
      <c r="AL22" s="804">
        <f t="shared" si="7"/>
        <v>2788.0558611126189</v>
      </c>
      <c r="AM22" s="804">
        <f t="shared" si="7"/>
        <v>2813.0746803435031</v>
      </c>
      <c r="AN22" s="804">
        <f t="shared" si="7"/>
        <v>2839.4914214017181</v>
      </c>
      <c r="AO22" s="760"/>
      <c r="AP22" s="760"/>
    </row>
    <row r="23" spans="4:56" ht="14.9" customHeight="1" x14ac:dyDescent="0.35">
      <c r="D23" s="793"/>
      <c r="E23" s="786"/>
      <c r="F23" s="865"/>
      <c r="G23" s="770"/>
      <c r="H23" s="770"/>
      <c r="I23" s="770"/>
      <c r="J23" s="770"/>
      <c r="K23" s="770"/>
      <c r="L23" s="770"/>
      <c r="M23" s="770"/>
      <c r="N23" s="770"/>
      <c r="O23" s="770"/>
      <c r="P23" s="770"/>
      <c r="Q23" s="770"/>
      <c r="R23" s="770"/>
      <c r="S23" s="770"/>
      <c r="T23" s="1262">
        <f t="shared" ref="T23:AC23" si="8">(T22/S22)^4-1</f>
        <v>3.3281812267278221E-2</v>
      </c>
      <c r="U23" s="1262">
        <f t="shared" si="8"/>
        <v>-1.6717644686360389E-2</v>
      </c>
      <c r="V23" s="1262">
        <f t="shared" si="8"/>
        <v>2.6205053861741323E-2</v>
      </c>
      <c r="W23" s="1262">
        <f t="shared" si="8"/>
        <v>6.957991307406175E-2</v>
      </c>
      <c r="X23" s="1262">
        <f t="shared" si="8"/>
        <v>4.9385298071109363E-2</v>
      </c>
      <c r="Y23" s="1262">
        <f t="shared" si="8"/>
        <v>2.7343915732790824E-2</v>
      </c>
      <c r="Z23" s="1262">
        <f t="shared" si="8"/>
        <v>7.4997720401118295E-2</v>
      </c>
      <c r="AA23" s="1262">
        <f t="shared" si="8"/>
        <v>6.4651453570426787E-2</v>
      </c>
      <c r="AB23" s="1262">
        <f t="shared" si="8"/>
        <v>7.0063705219183703E-2</v>
      </c>
      <c r="AC23" s="1262">
        <f t="shared" si="8"/>
        <v>4.9631909519610717E-2</v>
      </c>
      <c r="AD23" s="1262">
        <f>(AD22/AC22)^4-1</f>
        <v>5.472504778142695E-2</v>
      </c>
      <c r="AE23" s="1262">
        <f t="shared" ref="AE23" si="9">(AE22/AD22)^4-1</f>
        <v>4.0398236064150383E-2</v>
      </c>
      <c r="AF23" s="1262">
        <f t="shared" ref="AF23" si="10">(AF22/AE22)^4-1</f>
        <v>4.1767940946521698E-2</v>
      </c>
      <c r="AG23" s="1262">
        <f t="shared" ref="AG23" si="11">(AG22/AF22)^4-1</f>
        <v>3.7970835020199711E-2</v>
      </c>
      <c r="AH23" s="1262">
        <f t="shared" ref="AH23" si="12">(AH22/AG22)^4-1</f>
        <v>3.914404662343629E-2</v>
      </c>
      <c r="AI23" s="1262">
        <f t="shared" ref="AI23" si="13">(AI22/AH22)^4-1</f>
        <v>3.5351891028228E-2</v>
      </c>
      <c r="AJ23" s="1262">
        <f t="shared" ref="AJ23" si="14">(AJ22/AI22)^4-1</f>
        <v>3.7985630832363393E-2</v>
      </c>
      <c r="AK23" s="1262">
        <f t="shared" ref="AK23" si="15">(AK22/AJ22)^4-1</f>
        <v>3.9793844827924696E-2</v>
      </c>
      <c r="AL23" s="1262">
        <f t="shared" ref="AL23" si="16">(AL22/AK22)^4-1</f>
        <v>3.6351898911484826E-2</v>
      </c>
      <c r="AM23" s="1262">
        <f t="shared" ref="AM23" si="17">(AM22/AL22)^4-1</f>
        <v>3.6380333690516187E-2</v>
      </c>
      <c r="AN23" s="1262">
        <f t="shared" ref="AN23" si="18">(AN22/AM22)^4-1</f>
        <v>3.8095232701880866E-2</v>
      </c>
      <c r="AO23" s="760"/>
      <c r="AP23" s="760"/>
    </row>
    <row r="24" spans="4:56" ht="42" customHeight="1" x14ac:dyDescent="0.35">
      <c r="D24" s="791" t="s">
        <v>825</v>
      </c>
      <c r="E24" s="786"/>
      <c r="F24" s="865"/>
      <c r="G24" s="770"/>
      <c r="H24" s="770"/>
      <c r="I24" s="770"/>
      <c r="J24" s="770"/>
      <c r="K24" s="770"/>
      <c r="L24" s="770"/>
      <c r="M24" s="770"/>
      <c r="N24" s="770"/>
      <c r="O24" s="770"/>
      <c r="P24" s="770"/>
      <c r="Q24" s="411"/>
      <c r="R24" s="411"/>
      <c r="S24" s="411"/>
      <c r="T24" s="411"/>
      <c r="U24" s="411">
        <v>0</v>
      </c>
      <c r="V24" s="411"/>
      <c r="W24" s="411"/>
      <c r="X24" s="411"/>
      <c r="Y24" s="361"/>
      <c r="Z24" s="361"/>
      <c r="AA24" s="361"/>
      <c r="AB24" s="361"/>
      <c r="AC24" s="361"/>
      <c r="AD24" s="361"/>
      <c r="AE24" s="361"/>
      <c r="AF24" s="361"/>
      <c r="AG24" s="361"/>
      <c r="AH24" s="361"/>
      <c r="AI24" s="361"/>
      <c r="AJ24" s="361"/>
      <c r="AK24" s="361"/>
      <c r="AL24" s="361"/>
      <c r="AM24" s="361"/>
      <c r="AN24" s="361"/>
      <c r="AO24" s="760"/>
      <c r="AP24" s="760"/>
    </row>
    <row r="25" spans="4:56" x14ac:dyDescent="0.35">
      <c r="D25" s="535" t="s">
        <v>484</v>
      </c>
      <c r="E25" s="36" t="s">
        <v>485</v>
      </c>
      <c r="F25" s="763">
        <f>'Haver Pivoted'!GQ33</f>
        <v>531</v>
      </c>
      <c r="G25" s="842">
        <f>'Haver Pivoted'!GR33</f>
        <v>495.6</v>
      </c>
      <c r="H25" s="842">
        <f>'Haver Pivoted'!GS33</f>
        <v>490.1</v>
      </c>
      <c r="I25" s="842">
        <f>'Haver Pivoted'!GT33</f>
        <v>492.5</v>
      </c>
      <c r="J25" s="842">
        <f>'Haver Pivoted'!GU33</f>
        <v>485.2</v>
      </c>
      <c r="K25" s="842">
        <f>'Haver Pivoted'!GV33</f>
        <v>511.6</v>
      </c>
      <c r="L25" s="842">
        <f>'Haver Pivoted'!GW33</f>
        <v>528.4</v>
      </c>
      <c r="M25" s="842">
        <f>'Haver Pivoted'!GX33</f>
        <v>559</v>
      </c>
      <c r="N25" s="842">
        <f>'Haver Pivoted'!GY33</f>
        <v>586.1</v>
      </c>
      <c r="O25" s="842">
        <f>'Haver Pivoted'!GZ33</f>
        <v>576.4</v>
      </c>
      <c r="P25" s="842">
        <f>'Haver Pivoted'!HA33</f>
        <v>599.1</v>
      </c>
      <c r="Q25" s="842">
        <f>'Haver Pivoted'!HB33</f>
        <v>656.7</v>
      </c>
      <c r="R25" s="842">
        <f>'Haver Pivoted'!HC33</f>
        <v>693.1</v>
      </c>
      <c r="S25" s="842">
        <f>'Haver Pivoted'!HD33</f>
        <v>596.6</v>
      </c>
      <c r="T25" s="800">
        <f>'Haver Pivoted'!HE33</f>
        <v>607.6</v>
      </c>
      <c r="U25" s="800">
        <f>'Haver Pivoted'!HF33</f>
        <v>578</v>
      </c>
      <c r="V25" s="800">
        <f>'Haver Pivoted'!HG33</f>
        <v>581.6</v>
      </c>
      <c r="W25" s="800">
        <f>'Haver Pivoted'!HH33</f>
        <v>605.5</v>
      </c>
      <c r="X25" s="800">
        <f>'Haver Pivoted'!HI33</f>
        <v>612.1</v>
      </c>
      <c r="Y25" s="800">
        <f>'Haver Pivoted'!HJ33</f>
        <v>609.5</v>
      </c>
      <c r="Z25" s="800">
        <f>'Haver Pivoted'!HK33</f>
        <v>630</v>
      </c>
      <c r="AA25" s="800">
        <f>'Haver Pivoted'!HL33</f>
        <v>655.5</v>
      </c>
      <c r="AB25" s="800">
        <f>'Haver Pivoted'!HM33</f>
        <v>670.5</v>
      </c>
      <c r="AC25" s="800">
        <f>'Haver Pivoted'!HN33</f>
        <v>677.6</v>
      </c>
      <c r="AD25" s="800">
        <f>'Haver Pivoted'!HO33</f>
        <v>691.1</v>
      </c>
      <c r="AE25" s="747">
        <f t="shared" ref="AE25:AN25" si="19">$AC129*AE138*(AE111/$AC111)+AE24+AE26</f>
        <v>692.44544884293339</v>
      </c>
      <c r="AF25" s="747">
        <f>$AC129*AF138*(AF111/$AC111)+AF24+AF26</f>
        <v>701.04729831790155</v>
      </c>
      <c r="AG25" s="747">
        <f>$AC129*AG138*(AG111/$AC111)+AG24+AG26</f>
        <v>709.08890024962318</v>
      </c>
      <c r="AH25" s="747">
        <f t="shared" si="19"/>
        <v>716.81621697415778</v>
      </c>
      <c r="AI25" s="747">
        <f t="shared" si="19"/>
        <v>724.53670141157954</v>
      </c>
      <c r="AJ25" s="747">
        <f t="shared" si="19"/>
        <v>732.15470154231002</v>
      </c>
      <c r="AK25" s="747">
        <f>$AC129*AK138*(AK111/$AC111)+AK24+AK26</f>
        <v>740.09040302378401</v>
      </c>
      <c r="AL25" s="747">
        <f t="shared" si="19"/>
        <v>747.97827849546854</v>
      </c>
      <c r="AM25" s="747">
        <f t="shared" si="19"/>
        <v>756.05745800631041</v>
      </c>
      <c r="AN25" s="747">
        <f t="shared" si="19"/>
        <v>764.33477384342234</v>
      </c>
      <c r="AO25" s="760"/>
      <c r="AP25" s="760"/>
    </row>
    <row r="26" spans="4:56" x14ac:dyDescent="0.35">
      <c r="D26" s="535" t="s">
        <v>1881</v>
      </c>
      <c r="E26" s="36"/>
      <c r="F26" s="763"/>
      <c r="G26" s="842"/>
      <c r="H26" s="842"/>
      <c r="I26" s="842"/>
      <c r="J26" s="842"/>
      <c r="K26" s="842"/>
      <c r="L26" s="842"/>
      <c r="M26" s="842"/>
      <c r="N26" s="842"/>
      <c r="O26" s="842"/>
      <c r="P26" s="842"/>
      <c r="Q26" s="842"/>
      <c r="R26" s="842"/>
      <c r="S26" s="842"/>
      <c r="T26" s="842"/>
      <c r="U26" s="842"/>
      <c r="V26" s="842"/>
      <c r="W26" s="842">
        <v>20</v>
      </c>
      <c r="X26" s="842">
        <v>20</v>
      </c>
      <c r="Y26" s="747">
        <v>0</v>
      </c>
      <c r="Z26" s="747">
        <f>-24</f>
        <v>-24</v>
      </c>
      <c r="AA26" s="747">
        <f>-11</f>
        <v>-11</v>
      </c>
      <c r="AB26" s="747">
        <f>-11</f>
        <v>-11</v>
      </c>
      <c r="AC26" s="747">
        <f t="shared" ref="AC26:AN26" si="20">-11</f>
        <v>-11</v>
      </c>
      <c r="AD26" s="747">
        <f>-11</f>
        <v>-11</v>
      </c>
      <c r="AE26" s="747">
        <f t="shared" si="20"/>
        <v>-11</v>
      </c>
      <c r="AF26" s="747">
        <f t="shared" si="20"/>
        <v>-11</v>
      </c>
      <c r="AG26" s="747">
        <f>-11</f>
        <v>-11</v>
      </c>
      <c r="AH26" s="747">
        <f t="shared" si="20"/>
        <v>-11</v>
      </c>
      <c r="AI26" s="747">
        <f t="shared" si="20"/>
        <v>-11</v>
      </c>
      <c r="AJ26" s="747">
        <f t="shared" si="20"/>
        <v>-11</v>
      </c>
      <c r="AK26" s="747">
        <f>-11</f>
        <v>-11</v>
      </c>
      <c r="AL26" s="747">
        <f t="shared" si="20"/>
        <v>-11</v>
      </c>
      <c r="AM26" s="747">
        <f t="shared" si="20"/>
        <v>-11</v>
      </c>
      <c r="AN26" s="747">
        <f t="shared" si="20"/>
        <v>-11</v>
      </c>
      <c r="AO26" s="760"/>
      <c r="AP26" s="760"/>
    </row>
    <row r="27" spans="4:56" x14ac:dyDescent="0.35">
      <c r="D27" s="535" t="s">
        <v>481</v>
      </c>
      <c r="E27" s="36" t="s">
        <v>486</v>
      </c>
      <c r="F27" s="763">
        <f>'Haver Pivoted'!GQ36</f>
        <v>20.8</v>
      </c>
      <c r="G27" s="842">
        <f>'Haver Pivoted'!GR36</f>
        <v>20.6</v>
      </c>
      <c r="H27" s="842">
        <f>'Haver Pivoted'!GS36</f>
        <v>20.5</v>
      </c>
      <c r="I27" s="842">
        <f>'Haver Pivoted'!GT36</f>
        <v>20.3</v>
      </c>
      <c r="J27" s="842">
        <f>'Haver Pivoted'!GU36</f>
        <v>19.3</v>
      </c>
      <c r="K27" s="842">
        <f>'Haver Pivoted'!GV36</f>
        <v>19.899999999999999</v>
      </c>
      <c r="L27" s="842">
        <f>'Haver Pivoted'!GW36</f>
        <v>20.6</v>
      </c>
      <c r="M27" s="842">
        <f>'Haver Pivoted'!GX36</f>
        <v>21.3</v>
      </c>
      <c r="N27" s="842">
        <f>'Haver Pivoted'!GY36</f>
        <v>22</v>
      </c>
      <c r="O27" s="842">
        <f>'Haver Pivoted'!GZ36</f>
        <v>22.6</v>
      </c>
      <c r="P27" s="842">
        <f>'Haver Pivoted'!HA36</f>
        <v>23.1</v>
      </c>
      <c r="Q27" s="842">
        <f>'Haver Pivoted'!HB36</f>
        <v>23.4</v>
      </c>
      <c r="R27" s="842">
        <f>'Haver Pivoted'!HC36</f>
        <v>23.1</v>
      </c>
      <c r="S27" s="842">
        <f>'Haver Pivoted'!HD36</f>
        <v>22.7</v>
      </c>
      <c r="T27" s="800">
        <f>'Haver Pivoted'!HE36</f>
        <v>21.8</v>
      </c>
      <c r="U27" s="800">
        <f>'Haver Pivoted'!HF36</f>
        <v>20.8</v>
      </c>
      <c r="V27" s="800">
        <f>'Haver Pivoted'!HG36</f>
        <v>20.5</v>
      </c>
      <c r="W27" s="800">
        <f>'Haver Pivoted'!HH36</f>
        <v>21.2</v>
      </c>
      <c r="X27" s="800">
        <f>'Haver Pivoted'!HI36</f>
        <v>22.8</v>
      </c>
      <c r="Y27" s="800">
        <f>'Haver Pivoted'!HJ36</f>
        <v>25</v>
      </c>
      <c r="Z27" s="800">
        <f>'Haver Pivoted'!HK36</f>
        <v>26.7</v>
      </c>
      <c r="AA27" s="800">
        <f>'Haver Pivoted'!HL36</f>
        <v>27.5</v>
      </c>
      <c r="AB27" s="800">
        <f>'Haver Pivoted'!HM36</f>
        <v>27.6</v>
      </c>
      <c r="AC27" s="800">
        <f>'Haver Pivoted'!HN36</f>
        <v>27</v>
      </c>
      <c r="AD27" s="800">
        <f>'Haver Pivoted'!HO36</f>
        <v>27.1</v>
      </c>
      <c r="AE27" s="747">
        <f t="shared" ref="AE27:AN27" si="21">$AC130*AE139*(AE112/$AC112)</f>
        <v>27.448479073315898</v>
      </c>
      <c r="AF27" s="747">
        <f t="shared" si="21"/>
        <v>27.777156961326522</v>
      </c>
      <c r="AG27" s="747">
        <f t="shared" si="21"/>
        <v>28.088866774812708</v>
      </c>
      <c r="AH27" s="747">
        <f t="shared" si="21"/>
        <v>28.389892985820524</v>
      </c>
      <c r="AI27" s="747">
        <f t="shared" si="21"/>
        <v>28.688195925608376</v>
      </c>
      <c r="AJ27" s="747">
        <f t="shared" si="21"/>
        <v>28.981471287759348</v>
      </c>
      <c r="AK27" s="747">
        <f t="shared" si="21"/>
        <v>29.281450086759488</v>
      </c>
      <c r="AL27" s="747">
        <f t="shared" si="21"/>
        <v>29.584361639381139</v>
      </c>
      <c r="AM27" s="747">
        <f t="shared" si="21"/>
        <v>29.892091287238131</v>
      </c>
      <c r="AN27" s="747">
        <f t="shared" si="21"/>
        <v>30.202544206315093</v>
      </c>
      <c r="AO27" s="760"/>
      <c r="AP27" s="760"/>
    </row>
    <row r="28" spans="4:56" x14ac:dyDescent="0.35">
      <c r="D28" s="535" t="s">
        <v>482</v>
      </c>
      <c r="E28" s="36" t="s">
        <v>487</v>
      </c>
      <c r="F28" s="763">
        <f>'Haver Pivoted'!GQ34</f>
        <v>1351</v>
      </c>
      <c r="G28" s="842">
        <f>'Haver Pivoted'!GR34</f>
        <v>1376.8</v>
      </c>
      <c r="H28" s="842">
        <f>'Haver Pivoted'!GS34</f>
        <v>1373.6</v>
      </c>
      <c r="I28" s="842">
        <f>'Haver Pivoted'!GT34</f>
        <v>1373.1</v>
      </c>
      <c r="J28" s="842">
        <f>'Haver Pivoted'!GU34</f>
        <v>1288.7</v>
      </c>
      <c r="K28" s="842">
        <f>'Haver Pivoted'!GV34</f>
        <v>1390.2</v>
      </c>
      <c r="L28" s="842">
        <f>'Haver Pivoted'!GW34</f>
        <v>1411.7</v>
      </c>
      <c r="M28" s="842">
        <f>'Haver Pivoted'!GX34</f>
        <v>1436.2</v>
      </c>
      <c r="N28" s="842">
        <f>'Haver Pivoted'!GY34</f>
        <v>1524.3</v>
      </c>
      <c r="O28" s="842">
        <f>'Haver Pivoted'!GZ34</f>
        <v>1538.3</v>
      </c>
      <c r="P28" s="842">
        <f>'Haver Pivoted'!HA34</f>
        <v>1579.3</v>
      </c>
      <c r="Q28" s="842">
        <f>'Haver Pivoted'!HB34</f>
        <v>1605.3</v>
      </c>
      <c r="R28" s="842">
        <f>'Haver Pivoted'!HC34</f>
        <v>1644.2</v>
      </c>
      <c r="S28" s="842">
        <f>'Haver Pivoted'!HD34</f>
        <v>1668.2</v>
      </c>
      <c r="T28" s="800">
        <f>'Haver Pivoted'!HE34</f>
        <v>1676.9</v>
      </c>
      <c r="U28" s="800">
        <f>'Haver Pivoted'!HF34</f>
        <v>1697.8</v>
      </c>
      <c r="V28" s="800">
        <f>'Haver Pivoted'!HG34</f>
        <v>1709.4</v>
      </c>
      <c r="W28" s="800">
        <f>'Haver Pivoted'!HH34</f>
        <v>1724</v>
      </c>
      <c r="X28" s="800">
        <f>'Haver Pivoted'!HI34</f>
        <v>1744.3</v>
      </c>
      <c r="Y28" s="800">
        <f>'Haver Pivoted'!HJ34</f>
        <v>1760.8</v>
      </c>
      <c r="Z28" s="800">
        <f>'Haver Pivoted'!HK34</f>
        <v>1782.3</v>
      </c>
      <c r="AA28" s="800">
        <f>'Haver Pivoted'!HL34</f>
        <v>1794.5</v>
      </c>
      <c r="AB28" s="800">
        <f>'Haver Pivoted'!HM34</f>
        <v>1821.7</v>
      </c>
      <c r="AC28" s="800">
        <f>'Haver Pivoted'!HN34</f>
        <v>1845.9</v>
      </c>
      <c r="AD28" s="800">
        <f>'Haver Pivoted'!HO34</f>
        <v>1866.5</v>
      </c>
      <c r="AE28" s="747">
        <f t="shared" ref="AE28:AN28" si="22">$AC135*AE140*(AE114/$AC114)</f>
        <v>1890.5240070492323</v>
      </c>
      <c r="AF28" s="747">
        <f t="shared" si="22"/>
        <v>1908.4345972305655</v>
      </c>
      <c r="AG28" s="747">
        <f t="shared" si="22"/>
        <v>1924.7672417452907</v>
      </c>
      <c r="AH28" s="747">
        <f t="shared" si="22"/>
        <v>1942.4148409821894</v>
      </c>
      <c r="AI28" s="747">
        <f t="shared" si="22"/>
        <v>1957.8406201712769</v>
      </c>
      <c r="AJ28" s="747">
        <f t="shared" si="22"/>
        <v>1975.3159149963049</v>
      </c>
      <c r="AK28" s="747">
        <f t="shared" si="22"/>
        <v>1993.906654171866</v>
      </c>
      <c r="AL28" s="747">
        <f t="shared" si="22"/>
        <v>2010.4932209777694</v>
      </c>
      <c r="AM28" s="747">
        <f t="shared" si="22"/>
        <v>2027.1251310499545</v>
      </c>
      <c r="AN28" s="747">
        <f t="shared" si="22"/>
        <v>2044.9541033519808</v>
      </c>
      <c r="AO28" s="760"/>
      <c r="AP28" s="760"/>
    </row>
    <row r="29" spans="4:56" ht="14.9" customHeight="1" x14ac:dyDescent="0.35">
      <c r="D29" s="795" t="s">
        <v>483</v>
      </c>
      <c r="E29" s="816" t="s">
        <v>488</v>
      </c>
      <c r="F29" s="866">
        <f>'Haver Pivoted'!GQ35</f>
        <v>76.8</v>
      </c>
      <c r="G29" s="880">
        <f>'Haver Pivoted'!GR35</f>
        <v>74.099999999999994</v>
      </c>
      <c r="H29" s="880">
        <f>'Haver Pivoted'!GS35</f>
        <v>70.3</v>
      </c>
      <c r="I29" s="880">
        <f>'Haver Pivoted'!GT35</f>
        <v>64.5</v>
      </c>
      <c r="J29" s="880">
        <f>'Haver Pivoted'!GU35</f>
        <v>66.400000000000006</v>
      </c>
      <c r="K29" s="880">
        <f>'Haver Pivoted'!GV35</f>
        <v>81.5</v>
      </c>
      <c r="L29" s="880">
        <f>'Haver Pivoted'!GW35</f>
        <v>82.4</v>
      </c>
      <c r="M29" s="880">
        <f>'Haver Pivoted'!GX35</f>
        <v>83.1</v>
      </c>
      <c r="N29" s="880">
        <f>'Haver Pivoted'!GY35</f>
        <v>93.7</v>
      </c>
      <c r="O29" s="880">
        <f>'Haver Pivoted'!GZ35</f>
        <v>119.3</v>
      </c>
      <c r="P29" s="880">
        <f>'Haver Pivoted'!HA35</f>
        <v>168.1</v>
      </c>
      <c r="Q29" s="880">
        <f>'Haver Pivoted'!HB35</f>
        <v>170.8</v>
      </c>
      <c r="R29" s="880">
        <f>'Haver Pivoted'!HC35</f>
        <v>157.6</v>
      </c>
      <c r="S29" s="880">
        <f>'Haver Pivoted'!HD35</f>
        <v>159.1</v>
      </c>
      <c r="T29" s="882">
        <f>'Haver Pivoted'!HE35</f>
        <v>162.19999999999999</v>
      </c>
      <c r="U29" s="803">
        <f>'Haver Pivoted'!HF35</f>
        <v>158.69999999999999</v>
      </c>
      <c r="V29" s="803">
        <f>'Haver Pivoted'!HG35</f>
        <v>162.4</v>
      </c>
      <c r="W29" s="803">
        <f>'Haver Pivoted'!HH35</f>
        <v>165.9</v>
      </c>
      <c r="X29" s="803">
        <f>'Haver Pivoted'!HI35</f>
        <v>166.9</v>
      </c>
      <c r="Y29" s="803">
        <f>'Haver Pivoted'!HJ35</f>
        <v>170.4</v>
      </c>
      <c r="Z29" s="803">
        <f>'Haver Pivoted'!HK35</f>
        <v>164</v>
      </c>
      <c r="AA29" s="803">
        <f>'Haver Pivoted'!HL35</f>
        <v>162.6</v>
      </c>
      <c r="AB29" s="803">
        <f>'Haver Pivoted'!HM35</f>
        <v>164.2</v>
      </c>
      <c r="AC29" s="803">
        <f>'Haver Pivoted'!HN35</f>
        <v>174.7</v>
      </c>
      <c r="AD29" s="881">
        <f>$Y136*AD141*(AD115/$Y115)</f>
        <v>172.29451851420589</v>
      </c>
      <c r="AE29" s="881">
        <f t="shared" ref="AE29:AN29" si="23">$Y136*AE141*(AE115/$Y115)</f>
        <v>172.4420004657662</v>
      </c>
      <c r="AF29" s="881">
        <f>$Y136*AF141*(AF115/$Y115)</f>
        <v>172.35554552864465</v>
      </c>
      <c r="AG29" s="881">
        <f t="shared" si="23"/>
        <v>172.5640544946437</v>
      </c>
      <c r="AH29" s="881">
        <f t="shared" si="23"/>
        <v>172.90478865859339</v>
      </c>
      <c r="AI29" s="881">
        <f t="shared" si="23"/>
        <v>172.73187878435027</v>
      </c>
      <c r="AJ29" s="881">
        <f t="shared" si="23"/>
        <v>172.94038775034934</v>
      </c>
      <c r="AK29" s="881">
        <f t="shared" si="23"/>
        <v>172.60982475547277</v>
      </c>
      <c r="AL29" s="881">
        <f t="shared" si="23"/>
        <v>171.97412668840244</v>
      </c>
      <c r="AM29" s="881">
        <f t="shared" si="23"/>
        <v>171.22654576152775</v>
      </c>
      <c r="AN29" s="881">
        <f t="shared" si="23"/>
        <v>171.36385654401494</v>
      </c>
      <c r="AO29" s="760"/>
      <c r="AP29" s="760"/>
    </row>
    <row r="30" spans="4:56" ht="14.9" customHeight="1" x14ac:dyDescent="0.35">
      <c r="D30" s="834" t="s">
        <v>1883</v>
      </c>
      <c r="E30" s="786"/>
      <c r="F30" s="509">
        <f t="shared" ref="F30:AN30" si="24">F9+F22</f>
        <v>5162.2</v>
      </c>
      <c r="G30" s="509">
        <f t="shared" si="24"/>
        <v>5179.8999999999996</v>
      </c>
      <c r="H30" s="509">
        <f t="shared" si="24"/>
        <v>5227.5</v>
      </c>
      <c r="I30" s="509">
        <f t="shared" si="24"/>
        <v>5278.4</v>
      </c>
      <c r="J30" s="509">
        <f t="shared" si="24"/>
        <v>4928.3</v>
      </c>
      <c r="K30" s="509">
        <f t="shared" si="24"/>
        <v>5240.6000000000004</v>
      </c>
      <c r="L30" s="509">
        <f t="shared" si="24"/>
        <v>5439</v>
      </c>
      <c r="M30" s="509">
        <f t="shared" si="24"/>
        <v>5654.6</v>
      </c>
      <c r="N30" s="509">
        <f t="shared" si="24"/>
        <v>5924.9</v>
      </c>
      <c r="O30" s="509">
        <f t="shared" si="24"/>
        <v>6053.7000000000007</v>
      </c>
      <c r="P30" s="509">
        <f t="shared" si="24"/>
        <v>6248.8</v>
      </c>
      <c r="Q30" s="509">
        <f t="shared" si="24"/>
        <v>6732.8000000000011</v>
      </c>
      <c r="R30" s="509">
        <f t="shared" si="24"/>
        <v>6839.6</v>
      </c>
      <c r="S30" s="509">
        <f t="shared" si="24"/>
        <v>6829.3</v>
      </c>
      <c r="T30" s="509">
        <f t="shared" si="24"/>
        <v>6821.9000000000005</v>
      </c>
      <c r="U30" s="509">
        <f t="shared" si="24"/>
        <v>6493.7000000000007</v>
      </c>
      <c r="V30" s="509">
        <f t="shared" si="24"/>
        <v>6523.9000000000005</v>
      </c>
      <c r="W30" s="509">
        <f t="shared" si="24"/>
        <v>6601.4</v>
      </c>
      <c r="X30" s="509">
        <f t="shared" si="24"/>
        <v>6666.7999999999993</v>
      </c>
      <c r="Y30" s="673">
        <f t="shared" si="24"/>
        <v>6792.6</v>
      </c>
      <c r="Z30" s="673">
        <f t="shared" si="24"/>
        <v>6856.2</v>
      </c>
      <c r="AA30" s="673">
        <f t="shared" si="24"/>
        <v>6933.9000000000005</v>
      </c>
      <c r="AB30" s="673">
        <f t="shared" si="24"/>
        <v>7052.7</v>
      </c>
      <c r="AC30" s="673">
        <f t="shared" si="24"/>
        <v>7191.2</v>
      </c>
      <c r="AD30" s="673">
        <f t="shared" si="24"/>
        <v>7455.9</v>
      </c>
      <c r="AE30" s="673">
        <f t="shared" si="24"/>
        <v>7494.6960708765728</v>
      </c>
      <c r="AF30" s="673">
        <f t="shared" si="24"/>
        <v>7606.1887459199788</v>
      </c>
      <c r="AG30" s="673">
        <f t="shared" si="24"/>
        <v>7639.8764600269624</v>
      </c>
      <c r="AH30" s="673">
        <f t="shared" si="24"/>
        <v>7706.3075669889822</v>
      </c>
      <c r="AI30" s="673">
        <f t="shared" si="24"/>
        <v>7770.8965521818554</v>
      </c>
      <c r="AJ30" s="673">
        <f t="shared" si="24"/>
        <v>7837.8209629730991</v>
      </c>
      <c r="AK30" s="673">
        <f t="shared" si="24"/>
        <v>8010.8096160963432</v>
      </c>
      <c r="AL30" s="673">
        <f t="shared" si="24"/>
        <v>8068.0186339344727</v>
      </c>
      <c r="AM30" s="673">
        <f t="shared" si="24"/>
        <v>8125.681910462341</v>
      </c>
      <c r="AN30" s="673">
        <f t="shared" si="24"/>
        <v>8184.9573751762882</v>
      </c>
    </row>
    <row r="31" spans="4:56" ht="14.9" customHeight="1" x14ac:dyDescent="0.35">
      <c r="D31" s="834" t="s">
        <v>1900</v>
      </c>
      <c r="E31" s="786"/>
      <c r="F31" s="509">
        <f t="shared" ref="F31:AN31" si="25">F10+F25</f>
        <v>2217.6999999999998</v>
      </c>
      <c r="G31" s="509">
        <f t="shared" si="25"/>
        <v>2195.4</v>
      </c>
      <c r="H31" s="509">
        <f t="shared" si="25"/>
        <v>2226.3000000000002</v>
      </c>
      <c r="I31" s="509">
        <f t="shared" si="25"/>
        <v>2247.6999999999998</v>
      </c>
      <c r="J31" s="509">
        <f t="shared" si="25"/>
        <v>2107.2999999999997</v>
      </c>
      <c r="K31" s="509">
        <f t="shared" si="25"/>
        <v>2248.1999999999998</v>
      </c>
      <c r="L31" s="509">
        <f t="shared" si="25"/>
        <v>2377.8000000000002</v>
      </c>
      <c r="M31" s="509">
        <f t="shared" si="25"/>
        <v>2547.6999999999998</v>
      </c>
      <c r="N31" s="509">
        <f t="shared" si="25"/>
        <v>2675.6</v>
      </c>
      <c r="O31" s="509">
        <f t="shared" si="25"/>
        <v>2750</v>
      </c>
      <c r="P31" s="509">
        <f t="shared" si="25"/>
        <v>2847.1</v>
      </c>
      <c r="Q31" s="509">
        <f t="shared" si="25"/>
        <v>3254.1000000000004</v>
      </c>
      <c r="R31" s="509">
        <f t="shared" si="25"/>
        <v>3297.4</v>
      </c>
      <c r="S31" s="509">
        <f t="shared" si="25"/>
        <v>3224.9</v>
      </c>
      <c r="T31" s="509">
        <f t="shared" si="25"/>
        <v>3203.2999999999997</v>
      </c>
      <c r="U31" s="509">
        <f t="shared" si="25"/>
        <v>2834.3</v>
      </c>
      <c r="V31" s="509">
        <f t="shared" si="25"/>
        <v>2828.4</v>
      </c>
      <c r="W31" s="509">
        <f t="shared" si="25"/>
        <v>2866</v>
      </c>
      <c r="X31" s="509">
        <f t="shared" si="25"/>
        <v>2894.2999999999997</v>
      </c>
      <c r="Y31" s="509">
        <f t="shared" si="25"/>
        <v>2965.6</v>
      </c>
      <c r="Z31" s="509">
        <f t="shared" si="25"/>
        <v>3005.4</v>
      </c>
      <c r="AA31" s="509">
        <f t="shared" si="25"/>
        <v>3054.2</v>
      </c>
      <c r="AB31" s="509">
        <f t="shared" si="25"/>
        <v>3117.7</v>
      </c>
      <c r="AC31" s="509">
        <f t="shared" si="25"/>
        <v>3192.4</v>
      </c>
      <c r="AD31" s="509">
        <f t="shared" si="25"/>
        <v>3244.2</v>
      </c>
      <c r="AE31" s="509">
        <f t="shared" si="25"/>
        <v>3142.21630944248</v>
      </c>
      <c r="AF31" s="509">
        <f t="shared" si="25"/>
        <v>3162.9762040686323</v>
      </c>
      <c r="AG31" s="509">
        <f t="shared" si="25"/>
        <v>3151.7122387472323</v>
      </c>
      <c r="AH31" s="509">
        <f t="shared" si="25"/>
        <v>3171.5621279598408</v>
      </c>
      <c r="AI31" s="509">
        <f t="shared" si="25"/>
        <v>3191.4653483830866</v>
      </c>
      <c r="AJ31" s="509">
        <f t="shared" si="25"/>
        <v>3211.3265465847126</v>
      </c>
      <c r="AK31" s="509">
        <f t="shared" si="25"/>
        <v>3337.3717647350213</v>
      </c>
      <c r="AL31" s="509">
        <f t="shared" si="25"/>
        <v>3358.1497698812368</v>
      </c>
      <c r="AM31" s="509">
        <f t="shared" si="25"/>
        <v>3379.1830518981533</v>
      </c>
      <c r="AN31" s="509">
        <f t="shared" si="25"/>
        <v>3400.4787605656702</v>
      </c>
    </row>
    <row r="32" spans="4:56" ht="14.9" customHeight="1" x14ac:dyDescent="0.35">
      <c r="D32" s="834" t="s">
        <v>1901</v>
      </c>
      <c r="E32" s="786"/>
      <c r="F32" s="509">
        <f t="shared" ref="F32:AN32" si="26">F13+F27</f>
        <v>1424.3</v>
      </c>
      <c r="G32" s="509">
        <f t="shared" si="26"/>
        <v>1430.8999999999999</v>
      </c>
      <c r="H32" s="509">
        <f t="shared" si="26"/>
        <v>1448.7</v>
      </c>
      <c r="I32" s="509">
        <f t="shared" si="26"/>
        <v>1473.5</v>
      </c>
      <c r="J32" s="509">
        <f t="shared" si="26"/>
        <v>1403</v>
      </c>
      <c r="K32" s="509">
        <f t="shared" si="26"/>
        <v>1452.9</v>
      </c>
      <c r="L32" s="509">
        <f t="shared" si="26"/>
        <v>1490.8</v>
      </c>
      <c r="M32" s="509">
        <f t="shared" si="26"/>
        <v>1508.5</v>
      </c>
      <c r="N32" s="509">
        <f t="shared" si="26"/>
        <v>1544.5</v>
      </c>
      <c r="O32" s="509">
        <f t="shared" si="26"/>
        <v>1581.6</v>
      </c>
      <c r="P32" s="509">
        <f t="shared" si="26"/>
        <v>1626.6</v>
      </c>
      <c r="Q32" s="509">
        <f t="shared" si="26"/>
        <v>1666.3000000000002</v>
      </c>
      <c r="R32" s="509">
        <f t="shared" si="26"/>
        <v>1689</v>
      </c>
      <c r="S32" s="509">
        <f t="shared" si="26"/>
        <v>1735.9</v>
      </c>
      <c r="T32" s="509">
        <f t="shared" si="26"/>
        <v>1751.7</v>
      </c>
      <c r="U32" s="509">
        <f t="shared" si="26"/>
        <v>1782</v>
      </c>
      <c r="V32" s="509">
        <f t="shared" si="26"/>
        <v>1810.4</v>
      </c>
      <c r="W32" s="509">
        <f t="shared" si="26"/>
        <v>1839.2</v>
      </c>
      <c r="X32" s="509">
        <f t="shared" si="26"/>
        <v>1859</v>
      </c>
      <c r="Y32" s="509">
        <f t="shared" si="26"/>
        <v>1889.1</v>
      </c>
      <c r="Z32" s="509">
        <f t="shared" si="26"/>
        <v>1896.1000000000001</v>
      </c>
      <c r="AA32" s="509">
        <f t="shared" si="26"/>
        <v>1903.9</v>
      </c>
      <c r="AB32" s="509">
        <f t="shared" si="26"/>
        <v>1930.8</v>
      </c>
      <c r="AC32" s="509">
        <f t="shared" si="26"/>
        <v>1961.6</v>
      </c>
      <c r="AD32" s="509">
        <f t="shared" si="26"/>
        <v>1981.8</v>
      </c>
      <c r="AE32" s="509">
        <f t="shared" si="26"/>
        <v>1990.2068789379905</v>
      </c>
      <c r="AF32" s="509">
        <f t="shared" si="26"/>
        <v>2004.6519135165656</v>
      </c>
      <c r="AG32" s="509">
        <f t="shared" si="26"/>
        <v>2027.5157722127331</v>
      </c>
      <c r="AH32" s="509">
        <f t="shared" si="26"/>
        <v>2050.6262217834924</v>
      </c>
      <c r="AI32" s="509">
        <f t="shared" si="26"/>
        <v>2073.9941575423472</v>
      </c>
      <c r="AJ32" s="509">
        <f t="shared" si="26"/>
        <v>2097.6202436473459</v>
      </c>
      <c r="AK32" s="509">
        <f t="shared" si="26"/>
        <v>2121.5192134416247</v>
      </c>
      <c r="AL32" s="509">
        <f t="shared" si="26"/>
        <v>2136.8697103470963</v>
      </c>
      <c r="AM32" s="509">
        <f t="shared" si="26"/>
        <v>2152.3332491017745</v>
      </c>
      <c r="AN32" s="509">
        <f t="shared" si="26"/>
        <v>2167.9085132378154</v>
      </c>
    </row>
    <row r="33" spans="3:41" ht="14.25" customHeight="1" x14ac:dyDescent="0.35"/>
    <row r="34" spans="3:41" ht="14.9" customHeight="1" x14ac:dyDescent="0.35">
      <c r="D34" s="529"/>
      <c r="E34" s="331"/>
      <c r="F34" s="331"/>
      <c r="G34" s="331"/>
      <c r="H34" s="331"/>
      <c r="I34" s="331"/>
      <c r="J34" s="331"/>
      <c r="K34" s="331"/>
      <c r="L34" s="331"/>
      <c r="AI34" s="267"/>
      <c r="AJ34" s="267"/>
      <c r="AK34" s="267"/>
      <c r="AL34" s="267"/>
      <c r="AM34" s="267"/>
      <c r="AN34" s="267"/>
      <c r="AO34" s="267"/>
    </row>
    <row r="35" spans="3:41" ht="14.9" customHeight="1" x14ac:dyDescent="0.35">
      <c r="D35" s="1423" t="s">
        <v>912</v>
      </c>
      <c r="E35" s="1424"/>
      <c r="F35" s="1425"/>
      <c r="G35" s="326">
        <v>2020</v>
      </c>
      <c r="H35" s="327">
        <v>2021</v>
      </c>
      <c r="I35" s="326">
        <v>2022</v>
      </c>
      <c r="J35" s="817">
        <v>2023</v>
      </c>
      <c r="K35" s="817">
        <v>2024</v>
      </c>
      <c r="L35" s="818">
        <v>2025</v>
      </c>
      <c r="M35" s="818">
        <v>2026</v>
      </c>
      <c r="N35" s="818">
        <v>2027</v>
      </c>
      <c r="AI35" s="267"/>
      <c r="AJ35" s="267"/>
      <c r="AK35" s="267"/>
      <c r="AL35" s="267"/>
      <c r="AM35" s="267"/>
      <c r="AN35" s="267"/>
      <c r="AO35" s="267"/>
    </row>
    <row r="36" spans="3:41" ht="14.9" customHeight="1" x14ac:dyDescent="0.35">
      <c r="D36" s="790" t="s">
        <v>489</v>
      </c>
      <c r="E36" s="288"/>
      <c r="F36" s="320"/>
      <c r="G36" s="856">
        <f>AVERAGE(H10:K10)</f>
        <v>1712.5250000000001</v>
      </c>
      <c r="H36" s="478">
        <f>AVERAGE(L10:O10)</f>
        <v>2025.3000000000002</v>
      </c>
      <c r="I36" s="478">
        <f>AVERAGE(P10:S10)</f>
        <v>2519.5</v>
      </c>
      <c r="J36" s="478">
        <f>I36*J60/I60</f>
        <v>2083.336548518414</v>
      </c>
      <c r="K36" s="478">
        <f>J36*K60/J60</f>
        <v>2322.2412923680117</v>
      </c>
      <c r="L36" s="478">
        <f>K36*L60/K60</f>
        <v>2509.1593240493971</v>
      </c>
      <c r="M36" s="478">
        <f>L36*M60/L60</f>
        <v>2841.3838105423524</v>
      </c>
      <c r="N36" s="478">
        <f>M36*N60/M60</f>
        <v>3113.682534016933</v>
      </c>
      <c r="O36" t="s">
        <v>1906</v>
      </c>
    </row>
    <row r="37" spans="3:41" ht="14.9" customHeight="1" x14ac:dyDescent="0.35">
      <c r="D37" s="811" t="s">
        <v>494</v>
      </c>
      <c r="E37" s="233"/>
      <c r="F37" s="233"/>
      <c r="G37" s="857">
        <f>AVERAGE(H13:K13)</f>
        <v>1424.5250000000001</v>
      </c>
      <c r="H37" s="246">
        <f>AVERAGE(L13:O13)</f>
        <v>1509.7249999999999</v>
      </c>
      <c r="I37" s="246">
        <f>AVERAGE(P13:S13)</f>
        <v>1656.375</v>
      </c>
      <c r="J37" s="246">
        <f t="shared" ref="J37:N38" si="27">I37*J64/I64</f>
        <v>1802.5599531117082</v>
      </c>
      <c r="K37" s="246">
        <f t="shared" si="27"/>
        <v>1908.0368684134958</v>
      </c>
      <c r="L37" s="246">
        <f t="shared" si="27"/>
        <v>1963.5230627909452</v>
      </c>
      <c r="M37" s="246">
        <f t="shared" si="27"/>
        <v>2054.6673099258119</v>
      </c>
      <c r="N37" s="246">
        <f t="shared" si="27"/>
        <v>2138.5117997594916</v>
      </c>
    </row>
    <row r="38" spans="3:41" ht="14.9" customHeight="1" x14ac:dyDescent="0.35">
      <c r="D38" s="811" t="s">
        <v>105</v>
      </c>
      <c r="E38" s="233"/>
      <c r="F38" s="233"/>
      <c r="G38" s="857">
        <f>AVERAGE(H15:K15)</f>
        <v>160.4</v>
      </c>
      <c r="H38" s="246">
        <f>AVERAGE(L15:O15)</f>
        <v>171.3</v>
      </c>
      <c r="I38" s="246">
        <f>AVERAGE(P15:S15)</f>
        <v>203.05</v>
      </c>
      <c r="J38" s="246">
        <f t="shared" si="27"/>
        <v>168.63950531914898</v>
      </c>
      <c r="K38" s="246">
        <f t="shared" si="27"/>
        <v>112.9368420212766</v>
      </c>
      <c r="L38" s="246">
        <f t="shared" si="27"/>
        <v>105.39591063829786</v>
      </c>
      <c r="M38" s="246">
        <f t="shared" si="27"/>
        <v>113.12153111702128</v>
      </c>
      <c r="N38" s="246">
        <f t="shared" si="27"/>
        <v>114.05037686170213</v>
      </c>
    </row>
    <row r="39" spans="3:41" ht="14.9" customHeight="1" x14ac:dyDescent="0.35">
      <c r="D39" s="811" t="s">
        <v>257</v>
      </c>
      <c r="E39" s="233"/>
      <c r="F39" s="233"/>
      <c r="G39" s="857">
        <f>AVERAGE(H19:K19)</f>
        <v>220.4</v>
      </c>
      <c r="H39" s="246">
        <f>AVERAGE(L19:O19)</f>
        <v>307.375</v>
      </c>
      <c r="I39" s="246">
        <f>AVERAGE(P19:S19)</f>
        <v>389.2</v>
      </c>
      <c r="J39" s="246">
        <f>I39*J68/I68</f>
        <v>384.36050058018151</v>
      </c>
      <c r="K39" s="246">
        <f>J39*K68/J68</f>
        <v>485.38539448815737</v>
      </c>
      <c r="L39" s="246">
        <f>K39*L68/K68</f>
        <v>479.71870067574088</v>
      </c>
      <c r="M39" s="246">
        <f>L39*M68/L68</f>
        <v>453.58009071074002</v>
      </c>
      <c r="N39" s="246">
        <f>M39*N68/M68</f>
        <v>429.60702619878685</v>
      </c>
    </row>
    <row r="40" spans="3:41" ht="14.9" customHeight="1" x14ac:dyDescent="0.35">
      <c r="C40" s="56"/>
      <c r="D40" s="811" t="s">
        <v>908</v>
      </c>
      <c r="E40" s="56"/>
      <c r="F40" s="249"/>
      <c r="G40" s="571"/>
      <c r="H40" s="855">
        <f>H36/G36-1+0.021</f>
        <v>0.2036396694938761</v>
      </c>
      <c r="I40" s="855">
        <f>I36/H36-1.05</f>
        <v>0.1940132326075148</v>
      </c>
      <c r="J40" s="855">
        <f>J36/I36-1</f>
        <v>-0.17311508294565825</v>
      </c>
      <c r="K40" s="855">
        <f>K36/J36-1+K41</f>
        <v>0.16967410007254818</v>
      </c>
      <c r="L40" s="855">
        <f>L36/K36-1+L41</f>
        <v>8.0490357438603333E-2</v>
      </c>
      <c r="M40" s="855">
        <f>M36/L36-1+M41</f>
        <v>0.13240469957754453</v>
      </c>
      <c r="N40" s="855">
        <f>N36/M36-1+N41</f>
        <v>9.5833136820261178E-2</v>
      </c>
      <c r="O40" t="s">
        <v>896</v>
      </c>
    </row>
    <row r="41" spans="3:41" ht="14.9" customHeight="1" x14ac:dyDescent="0.35">
      <c r="C41" s="56"/>
      <c r="D41" s="811" t="s">
        <v>1882</v>
      </c>
      <c r="E41" s="56"/>
      <c r="F41" s="249"/>
      <c r="G41" s="571"/>
      <c r="H41" s="855"/>
      <c r="I41" s="855"/>
      <c r="J41" s="855"/>
      <c r="K41" s="855">
        <v>5.5E-2</v>
      </c>
      <c r="L41" s="855"/>
      <c r="M41" s="855"/>
      <c r="N41" s="855"/>
    </row>
    <row r="42" spans="3:41" ht="14.9" customHeight="1" x14ac:dyDescent="0.35">
      <c r="C42" s="56"/>
      <c r="D42" s="811" t="s">
        <v>909</v>
      </c>
      <c r="E42" s="56"/>
      <c r="F42" s="249"/>
      <c r="G42" s="571"/>
      <c r="H42" s="855">
        <f>H37/G37-1.03</f>
        <v>2.9809410154261862E-2</v>
      </c>
      <c r="I42" s="855">
        <f>I37/H37-1.013</f>
        <v>8.413689579228012E-2</v>
      </c>
      <c r="J42" s="772">
        <f>J37/I37-1</f>
        <v>8.8255952372927826E-2</v>
      </c>
      <c r="K42" s="772">
        <f>K37/J37-1</f>
        <v>5.851506637529913E-2</v>
      </c>
      <c r="L42" s="772">
        <f>L37/K37-1</f>
        <v>2.9080252743536095E-2</v>
      </c>
      <c r="M42" s="772">
        <f>M37/L37-1</f>
        <v>4.6418730119377694E-2</v>
      </c>
      <c r="N42" s="772">
        <f>N37/M37-1</f>
        <v>4.0806844703587197E-2</v>
      </c>
      <c r="O42" t="s">
        <v>897</v>
      </c>
    </row>
    <row r="43" spans="3:41" ht="14.9" customHeight="1" x14ac:dyDescent="0.35">
      <c r="C43" s="56"/>
      <c r="D43" s="811" t="s">
        <v>910</v>
      </c>
      <c r="E43" s="56"/>
      <c r="F43" s="249"/>
      <c r="G43" s="571"/>
      <c r="H43" s="855">
        <f>H38/G38-1</f>
        <v>6.7955112219451497E-2</v>
      </c>
      <c r="I43" s="855">
        <f>I38/H38-1.01</f>
        <v>0.17534734384121431</v>
      </c>
      <c r="J43" s="855">
        <f>J38/I38-1</f>
        <v>-0.16946808510638278</v>
      </c>
      <c r="K43" s="855">
        <f t="shared" ref="K43" si="28">K38/J38-1</f>
        <v>-0.3303061355194058</v>
      </c>
      <c r="L43" s="855">
        <f>L38/K38-1</f>
        <v>-6.677122582866335E-2</v>
      </c>
      <c r="M43" s="855">
        <f>M38/L38-1</f>
        <v>7.3300950975569767E-2</v>
      </c>
      <c r="N43" s="855">
        <f>N38/M38-1</f>
        <v>8.2110428979254024E-3</v>
      </c>
    </row>
    <row r="44" spans="3:41" ht="14.9" customHeight="1" x14ac:dyDescent="0.35">
      <c r="C44" s="56"/>
      <c r="D44" s="773" t="s">
        <v>911</v>
      </c>
      <c r="E44" s="35"/>
      <c r="F44" s="370"/>
      <c r="G44" s="570"/>
      <c r="H44" s="774">
        <f>H39/G39-1</f>
        <v>0.39462341197822148</v>
      </c>
      <c r="I44" s="774">
        <f>I39/H39-1.103</f>
        <v>0.16320577470516473</v>
      </c>
      <c r="J44" s="774">
        <f>J39/I39-1</f>
        <v>-1.2434479495936457E-2</v>
      </c>
      <c r="K44" s="774">
        <f>K39/J39-1-0.15</f>
        <v>0.11283890710799263</v>
      </c>
      <c r="L44" s="774">
        <f>0.08</f>
        <v>0.08</v>
      </c>
      <c r="M44" s="774">
        <f>M39/L39-1+0.03</f>
        <v>-2.4487369219047511E-2</v>
      </c>
      <c r="N44" s="774">
        <f>N39/M39-1+0.03</f>
        <v>-2.2852991131926542E-2</v>
      </c>
    </row>
    <row r="45" spans="3:41" ht="14.9" customHeight="1" x14ac:dyDescent="0.35">
      <c r="D45" s="787"/>
      <c r="E45" s="786"/>
      <c r="F45" s="797"/>
      <c r="G45" s="797"/>
      <c r="H45" s="770"/>
      <c r="I45" s="770"/>
      <c r="J45" s="770"/>
      <c r="K45" s="770"/>
      <c r="L45" s="770"/>
    </row>
    <row r="46" spans="3:41" ht="14.9" customHeight="1" x14ac:dyDescent="0.35">
      <c r="D46" s="787"/>
      <c r="E46" s="786"/>
      <c r="F46" s="797"/>
      <c r="G46" s="797"/>
      <c r="H46" s="770"/>
      <c r="I46" s="770"/>
      <c r="J46" s="770"/>
      <c r="K46" s="770"/>
      <c r="L46" s="770"/>
    </row>
    <row r="47" spans="3:41" ht="14.9" customHeight="1" x14ac:dyDescent="0.35">
      <c r="D47" s="787"/>
      <c r="E47" s="786"/>
      <c r="F47" s="1420" t="s">
        <v>279</v>
      </c>
      <c r="G47" s="1421"/>
      <c r="H47" s="1421"/>
      <c r="I47" s="1421"/>
      <c r="J47" s="1421"/>
      <c r="K47" s="1421"/>
      <c r="L47" s="1421"/>
      <c r="M47" s="1421"/>
      <c r="N47" s="1421"/>
      <c r="O47" s="1421"/>
      <c r="P47" s="1421"/>
      <c r="Q47" s="1421"/>
      <c r="R47" s="1421"/>
      <c r="S47" s="1421"/>
      <c r="T47" s="1421"/>
      <c r="U47" s="1421"/>
      <c r="V47" s="1422"/>
      <c r="W47" s="1350" t="s">
        <v>280</v>
      </c>
      <c r="X47" s="1331"/>
      <c r="Y47" s="1331"/>
      <c r="Z47" s="1331"/>
      <c r="AA47" s="1331"/>
      <c r="AB47" s="1331"/>
      <c r="AC47" s="1331"/>
      <c r="AD47" s="1331"/>
      <c r="AE47" s="1331"/>
      <c r="AF47" s="1331"/>
      <c r="AG47" s="1331"/>
      <c r="AH47" s="1332"/>
      <c r="AJ47" s="831" t="s">
        <v>1955</v>
      </c>
    </row>
    <row r="48" spans="3:41" ht="14.9" customHeight="1" x14ac:dyDescent="0.35">
      <c r="D48" s="787"/>
      <c r="E48" s="786"/>
      <c r="F48" s="1342">
        <v>2019</v>
      </c>
      <c r="G48" s="1354"/>
      <c r="H48" s="1344"/>
      <c r="I48" s="1354">
        <v>2020</v>
      </c>
      <c r="J48" s="1354"/>
      <c r="K48" s="1354"/>
      <c r="L48" s="1354"/>
      <c r="M48" s="1342">
        <v>2021</v>
      </c>
      <c r="N48" s="1354"/>
      <c r="O48" s="1354"/>
      <c r="P48" s="1354"/>
      <c r="Q48" s="1342">
        <v>2022</v>
      </c>
      <c r="R48" s="1354"/>
      <c r="S48" s="1354"/>
      <c r="T48" s="1344"/>
      <c r="U48" s="302"/>
      <c r="V48" s="302">
        <v>2023</v>
      </c>
      <c r="W48" s="294"/>
      <c r="X48" s="745"/>
      <c r="Y48" s="1352">
        <v>2024</v>
      </c>
      <c r="Z48" s="1353"/>
      <c r="AA48" s="1353"/>
      <c r="AB48" s="1426"/>
      <c r="AC48" s="1352">
        <v>2025</v>
      </c>
      <c r="AD48" s="1353"/>
      <c r="AE48" s="1353"/>
      <c r="AF48" s="1426"/>
      <c r="AG48" s="1329">
        <v>2026</v>
      </c>
      <c r="AH48" s="1335"/>
      <c r="AI48" s="1335"/>
      <c r="AJ48" s="1334"/>
    </row>
    <row r="49" spans="4:41" ht="14.9" customHeight="1" x14ac:dyDescent="0.35">
      <c r="D49" s="787"/>
      <c r="E49" s="786"/>
      <c r="F49" s="286" t="s">
        <v>283</v>
      </c>
      <c r="G49" s="287" t="s">
        <v>238</v>
      </c>
      <c r="H49" s="285" t="s">
        <v>281</v>
      </c>
      <c r="I49" s="287" t="s">
        <v>282</v>
      </c>
      <c r="J49" s="287" t="s">
        <v>283</v>
      </c>
      <c r="K49" s="287" t="s">
        <v>238</v>
      </c>
      <c r="L49" s="287" t="s">
        <v>281</v>
      </c>
      <c r="M49" s="286" t="s">
        <v>282</v>
      </c>
      <c r="N49" s="287" t="s">
        <v>283</v>
      </c>
      <c r="O49" s="287" t="s">
        <v>238</v>
      </c>
      <c r="P49" s="287" t="s">
        <v>281</v>
      </c>
      <c r="Q49" s="286" t="s">
        <v>282</v>
      </c>
      <c r="R49" s="287" t="s">
        <v>283</v>
      </c>
      <c r="S49" s="287" t="s">
        <v>238</v>
      </c>
      <c r="T49" s="285" t="s">
        <v>281</v>
      </c>
      <c r="U49" s="287" t="s">
        <v>282</v>
      </c>
      <c r="V49" s="287" t="s">
        <v>283</v>
      </c>
      <c r="W49" s="273" t="s">
        <v>238</v>
      </c>
      <c r="X49" s="301" t="s">
        <v>281</v>
      </c>
      <c r="Y49" s="299" t="s">
        <v>282</v>
      </c>
      <c r="Z49" s="271" t="s">
        <v>283</v>
      </c>
      <c r="AA49" s="273" t="s">
        <v>238</v>
      </c>
      <c r="AB49" s="301" t="s">
        <v>281</v>
      </c>
      <c r="AC49" s="299" t="s">
        <v>282</v>
      </c>
      <c r="AD49" s="271" t="s">
        <v>283</v>
      </c>
      <c r="AE49" s="273" t="s">
        <v>238</v>
      </c>
      <c r="AF49" s="273" t="s">
        <v>281</v>
      </c>
      <c r="AG49" s="299" t="s">
        <v>282</v>
      </c>
      <c r="AH49" s="271" t="s">
        <v>283</v>
      </c>
      <c r="AI49" s="273" t="s">
        <v>238</v>
      </c>
      <c r="AJ49" s="301" t="s">
        <v>281</v>
      </c>
    </row>
    <row r="50" spans="4:41" ht="14.9" customHeight="1" x14ac:dyDescent="0.35">
      <c r="D50" s="811" t="s">
        <v>908</v>
      </c>
      <c r="E50" s="786"/>
      <c r="F50" s="797"/>
      <c r="G50" s="797"/>
      <c r="H50" s="770"/>
      <c r="I50" s="770"/>
      <c r="J50" s="770"/>
      <c r="K50" s="770"/>
      <c r="L50" s="770"/>
    </row>
    <row r="51" spans="4:41" ht="14.9" customHeight="1" x14ac:dyDescent="0.35">
      <c r="D51" s="811" t="s">
        <v>1882</v>
      </c>
      <c r="E51" s="786"/>
      <c r="F51" s="797"/>
      <c r="G51" s="797"/>
      <c r="H51" s="770"/>
      <c r="I51" s="770"/>
      <c r="J51" s="770"/>
      <c r="K51" s="770"/>
      <c r="L51" s="770"/>
      <c r="M51" s="833">
        <f>H40</f>
        <v>0.2036396694938761</v>
      </c>
      <c r="N51" s="833">
        <f>H40</f>
        <v>0.2036396694938761</v>
      </c>
      <c r="O51" s="833">
        <f>H40</f>
        <v>0.2036396694938761</v>
      </c>
      <c r="P51" s="833">
        <f>H40</f>
        <v>0.2036396694938761</v>
      </c>
      <c r="Q51" s="833">
        <f>I40</f>
        <v>0.1940132326075148</v>
      </c>
      <c r="R51" s="833">
        <f>I40</f>
        <v>0.1940132326075148</v>
      </c>
      <c r="S51" s="833">
        <f>I40</f>
        <v>0.1940132326075148</v>
      </c>
      <c r="T51" s="833">
        <f>I40</f>
        <v>0.1940132326075148</v>
      </c>
      <c r="U51" s="833">
        <f>J40</f>
        <v>-0.17311508294565825</v>
      </c>
      <c r="V51" s="833">
        <f>J40</f>
        <v>-0.17311508294565825</v>
      </c>
      <c r="W51" s="833">
        <f>J40</f>
        <v>-0.17311508294565825</v>
      </c>
      <c r="X51" s="833">
        <f>J40</f>
        <v>-0.17311508294565825</v>
      </c>
      <c r="Y51" s="833">
        <f>K40</f>
        <v>0.16967410007254818</v>
      </c>
      <c r="Z51" s="833">
        <f>K40</f>
        <v>0.16967410007254818</v>
      </c>
      <c r="AA51" s="833">
        <f>K40</f>
        <v>0.16967410007254818</v>
      </c>
      <c r="AB51" s="833">
        <f t="shared" ref="AB51:AC55" si="29">K40</f>
        <v>0.16967410007254818</v>
      </c>
      <c r="AC51" s="833">
        <f>L40</f>
        <v>8.0490357438603333E-2</v>
      </c>
      <c r="AD51" s="833">
        <f>L40</f>
        <v>8.0490357438603333E-2</v>
      </c>
      <c r="AE51" s="833">
        <f>L40</f>
        <v>8.0490357438603333E-2</v>
      </c>
      <c r="AF51" s="833">
        <f t="shared" ref="AF51:AG55" si="30">L40</f>
        <v>8.0490357438603333E-2</v>
      </c>
      <c r="AG51" s="833">
        <f t="shared" si="30"/>
        <v>0.13240469957754453</v>
      </c>
      <c r="AH51" s="833">
        <f>M40</f>
        <v>0.13240469957754453</v>
      </c>
      <c r="AI51" s="833">
        <f>M40</f>
        <v>0.13240469957754453</v>
      </c>
      <c r="AJ51" s="833">
        <f>M40</f>
        <v>0.13240469957754453</v>
      </c>
    </row>
    <row r="52" spans="4:41" ht="14.9" customHeight="1" x14ac:dyDescent="0.35">
      <c r="D52" s="811" t="s">
        <v>909</v>
      </c>
      <c r="E52" s="786"/>
      <c r="F52" s="797"/>
      <c r="G52" s="797"/>
      <c r="H52" s="770"/>
      <c r="I52" s="770"/>
      <c r="J52" s="770"/>
      <c r="K52" s="770"/>
      <c r="L52" s="770"/>
      <c r="Y52" s="833">
        <f>K41</f>
        <v>5.5E-2</v>
      </c>
      <c r="Z52" s="833">
        <f>K41</f>
        <v>5.5E-2</v>
      </c>
      <c r="AA52" s="833">
        <f>K41</f>
        <v>5.5E-2</v>
      </c>
      <c r="AB52" s="833">
        <f t="shared" si="29"/>
        <v>5.5E-2</v>
      </c>
      <c r="AC52" s="833">
        <f>L41</f>
        <v>0</v>
      </c>
      <c r="AD52" s="833">
        <f>L41</f>
        <v>0</v>
      </c>
      <c r="AE52" s="833">
        <f>L41</f>
        <v>0</v>
      </c>
      <c r="AF52" s="833">
        <f t="shared" si="30"/>
        <v>0</v>
      </c>
      <c r="AG52" s="833">
        <f t="shared" si="30"/>
        <v>0</v>
      </c>
      <c r="AH52" s="833">
        <f>M41</f>
        <v>0</v>
      </c>
      <c r="AI52" s="833">
        <f>M41</f>
        <v>0</v>
      </c>
      <c r="AJ52" s="833">
        <f>M41</f>
        <v>0</v>
      </c>
    </row>
    <row r="53" spans="4:41" ht="14.9" customHeight="1" x14ac:dyDescent="0.35">
      <c r="D53" s="811" t="s">
        <v>910</v>
      </c>
      <c r="E53" s="786"/>
      <c r="F53" s="797"/>
      <c r="G53" s="797"/>
      <c r="H53" s="770"/>
      <c r="I53" s="770"/>
      <c r="J53" s="770"/>
      <c r="K53" s="770"/>
      <c r="L53" s="770"/>
      <c r="M53" s="833">
        <f>H42</f>
        <v>2.9809410154261862E-2</v>
      </c>
      <c r="N53" s="833">
        <f>H42</f>
        <v>2.9809410154261862E-2</v>
      </c>
      <c r="O53" s="96">
        <f>H42</f>
        <v>2.9809410154261862E-2</v>
      </c>
      <c r="P53" s="833">
        <f t="shared" ref="P53:Q55" si="31">H42</f>
        <v>2.9809410154261862E-2</v>
      </c>
      <c r="Q53" s="833">
        <f t="shared" si="31"/>
        <v>8.413689579228012E-2</v>
      </c>
      <c r="R53" s="833">
        <f>I42</f>
        <v>8.413689579228012E-2</v>
      </c>
      <c r="S53" s="833">
        <f>I42</f>
        <v>8.413689579228012E-2</v>
      </c>
      <c r="T53" s="833">
        <f t="shared" ref="T53:U55" si="32">I42</f>
        <v>8.413689579228012E-2</v>
      </c>
      <c r="U53" s="96">
        <f t="shared" si="32"/>
        <v>8.8255952372927826E-2</v>
      </c>
      <c r="V53" s="96">
        <f>J42</f>
        <v>8.8255952372927826E-2</v>
      </c>
      <c r="W53" s="96">
        <f>J42</f>
        <v>8.8255952372927826E-2</v>
      </c>
      <c r="X53" s="96">
        <f>J42</f>
        <v>8.8255952372927826E-2</v>
      </c>
      <c r="Y53" s="833">
        <f>K42</f>
        <v>5.851506637529913E-2</v>
      </c>
      <c r="Z53" s="833">
        <f>K42</f>
        <v>5.851506637529913E-2</v>
      </c>
      <c r="AA53" s="833">
        <f>K42</f>
        <v>5.851506637529913E-2</v>
      </c>
      <c r="AB53" s="833">
        <f t="shared" si="29"/>
        <v>5.851506637529913E-2</v>
      </c>
      <c r="AC53" s="833">
        <f t="shared" si="29"/>
        <v>2.9080252743536095E-2</v>
      </c>
      <c r="AD53" s="833">
        <f>L42</f>
        <v>2.9080252743536095E-2</v>
      </c>
      <c r="AE53" s="833">
        <f>L42</f>
        <v>2.9080252743536095E-2</v>
      </c>
      <c r="AF53" s="833">
        <f t="shared" si="30"/>
        <v>2.9080252743536095E-2</v>
      </c>
      <c r="AG53" s="833">
        <f>M42</f>
        <v>4.6418730119377694E-2</v>
      </c>
      <c r="AH53" s="833">
        <f>M42</f>
        <v>4.6418730119377694E-2</v>
      </c>
      <c r="AI53" s="833">
        <f>M42</f>
        <v>4.6418730119377694E-2</v>
      </c>
      <c r="AJ53" s="833">
        <f>M42</f>
        <v>4.6418730119377694E-2</v>
      </c>
    </row>
    <row r="54" spans="4:41" ht="14.9" customHeight="1" x14ac:dyDescent="0.35">
      <c r="D54" s="773" t="s">
        <v>911</v>
      </c>
      <c r="E54" s="786"/>
      <c r="F54" s="797"/>
      <c r="G54" s="797"/>
      <c r="H54" s="770"/>
      <c r="I54" s="770"/>
      <c r="J54" s="770"/>
      <c r="K54" s="770"/>
      <c r="L54" s="770"/>
      <c r="M54" s="833">
        <f>H43</f>
        <v>6.7955112219451497E-2</v>
      </c>
      <c r="N54" s="833">
        <f>H43</f>
        <v>6.7955112219451497E-2</v>
      </c>
      <c r="O54" s="833">
        <f>H43</f>
        <v>6.7955112219451497E-2</v>
      </c>
      <c r="P54" s="833">
        <f t="shared" si="31"/>
        <v>6.7955112219451497E-2</v>
      </c>
      <c r="Q54" s="833">
        <f t="shared" si="31"/>
        <v>0.17534734384121431</v>
      </c>
      <c r="R54" s="833">
        <f>I43</f>
        <v>0.17534734384121431</v>
      </c>
      <c r="S54" s="833">
        <f>I43</f>
        <v>0.17534734384121431</v>
      </c>
      <c r="T54" s="833">
        <f t="shared" si="32"/>
        <v>0.17534734384121431</v>
      </c>
      <c r="U54" s="833">
        <f t="shared" si="32"/>
        <v>-0.16946808510638278</v>
      </c>
      <c r="V54" s="833">
        <f>J43</f>
        <v>-0.16946808510638278</v>
      </c>
      <c r="W54" s="833">
        <f>J43</f>
        <v>-0.16946808510638278</v>
      </c>
      <c r="X54" s="833">
        <f>J43</f>
        <v>-0.16946808510638278</v>
      </c>
      <c r="Y54" s="833">
        <f>K43</f>
        <v>-0.3303061355194058</v>
      </c>
      <c r="Z54" s="833">
        <f>K43</f>
        <v>-0.3303061355194058</v>
      </c>
      <c r="AA54" s="833">
        <f>K43</f>
        <v>-0.3303061355194058</v>
      </c>
      <c r="AB54" s="833">
        <f t="shared" si="29"/>
        <v>-0.3303061355194058</v>
      </c>
      <c r="AC54" s="833">
        <f t="shared" si="29"/>
        <v>-6.677122582866335E-2</v>
      </c>
      <c r="AD54" s="833">
        <f>L43</f>
        <v>-6.677122582866335E-2</v>
      </c>
      <c r="AE54" s="833">
        <f>L43</f>
        <v>-6.677122582866335E-2</v>
      </c>
      <c r="AF54" s="833">
        <f t="shared" si="30"/>
        <v>-6.677122582866335E-2</v>
      </c>
      <c r="AG54" s="833">
        <f t="shared" si="30"/>
        <v>7.3300950975569767E-2</v>
      </c>
      <c r="AH54" s="833">
        <f>M43</f>
        <v>7.3300950975569767E-2</v>
      </c>
      <c r="AI54" s="833">
        <f>M43</f>
        <v>7.3300950975569767E-2</v>
      </c>
      <c r="AJ54" s="833">
        <f>M43</f>
        <v>7.3300950975569767E-2</v>
      </c>
    </row>
    <row r="55" spans="4:41" ht="14.9" customHeight="1" x14ac:dyDescent="0.35">
      <c r="D55" s="787"/>
      <c r="E55" s="786"/>
      <c r="F55" s="797"/>
      <c r="G55" s="797"/>
      <c r="H55" s="770"/>
      <c r="I55" s="770"/>
      <c r="J55" s="770"/>
      <c r="K55" s="770"/>
      <c r="L55" s="770"/>
      <c r="M55" s="833">
        <f>H44</f>
        <v>0.39462341197822148</v>
      </c>
      <c r="N55" s="833">
        <f>H44</f>
        <v>0.39462341197822148</v>
      </c>
      <c r="O55" s="833">
        <f>H44</f>
        <v>0.39462341197822148</v>
      </c>
      <c r="P55" s="833">
        <f t="shared" si="31"/>
        <v>0.39462341197822148</v>
      </c>
      <c r="Q55" s="833">
        <f t="shared" si="31"/>
        <v>0.16320577470516473</v>
      </c>
      <c r="R55" s="833">
        <f>I44</f>
        <v>0.16320577470516473</v>
      </c>
      <c r="S55" s="833">
        <f>I44</f>
        <v>0.16320577470516473</v>
      </c>
      <c r="T55" s="833">
        <f t="shared" si="32"/>
        <v>0.16320577470516473</v>
      </c>
      <c r="U55" s="833">
        <f t="shared" si="32"/>
        <v>-1.2434479495936457E-2</v>
      </c>
      <c r="V55" s="833">
        <f>J44</f>
        <v>-1.2434479495936457E-2</v>
      </c>
      <c r="W55" s="833">
        <f>J44</f>
        <v>-1.2434479495936457E-2</v>
      </c>
      <c r="X55" s="833">
        <f>J44</f>
        <v>-1.2434479495936457E-2</v>
      </c>
      <c r="Y55" s="833">
        <f>K44</f>
        <v>0.11283890710799263</v>
      </c>
      <c r="Z55" s="833">
        <f>K44</f>
        <v>0.11283890710799263</v>
      </c>
      <c r="AA55" s="833">
        <f>K44</f>
        <v>0.11283890710799263</v>
      </c>
      <c r="AB55" s="833">
        <f t="shared" si="29"/>
        <v>0.11283890710799263</v>
      </c>
      <c r="AC55" s="833">
        <f t="shared" si="29"/>
        <v>0.08</v>
      </c>
      <c r="AD55" s="833">
        <f>L44</f>
        <v>0.08</v>
      </c>
      <c r="AE55" s="833">
        <f>L44</f>
        <v>0.08</v>
      </c>
      <c r="AF55" s="833">
        <f t="shared" si="30"/>
        <v>0.08</v>
      </c>
      <c r="AG55" s="833">
        <f t="shared" si="30"/>
        <v>-2.4487369219047511E-2</v>
      </c>
      <c r="AH55" s="833">
        <f>O44</f>
        <v>0</v>
      </c>
      <c r="AI55" s="833" t="e">
        <f>#REF!</f>
        <v>#REF!</v>
      </c>
      <c r="AJ55" s="833">
        <f>P44</f>
        <v>0</v>
      </c>
    </row>
    <row r="56" spans="4:41" ht="14.9" customHeight="1" x14ac:dyDescent="0.35">
      <c r="D56" s="787"/>
      <c r="E56" s="786"/>
      <c r="F56" s="797"/>
      <c r="G56" s="797"/>
      <c r="H56" s="770"/>
      <c r="I56" s="770"/>
      <c r="J56" s="870"/>
      <c r="K56" s="770"/>
      <c r="L56" s="770"/>
    </row>
    <row r="57" spans="4:41" ht="14.9" customHeight="1" x14ac:dyDescent="0.35">
      <c r="D57" s="787"/>
      <c r="E57" s="786"/>
      <c r="F57" s="797"/>
      <c r="G57" s="797"/>
      <c r="H57" s="770"/>
      <c r="I57" s="770"/>
      <c r="J57" s="770"/>
      <c r="K57" s="770"/>
      <c r="L57" s="770"/>
    </row>
    <row r="58" spans="4:41" ht="41.9" customHeight="1" x14ac:dyDescent="0.35">
      <c r="F58" s="249"/>
      <c r="G58" s="249"/>
      <c r="H58" s="744"/>
      <c r="I58" s="744"/>
      <c r="J58" s="744"/>
      <c r="K58" s="744"/>
      <c r="L58" s="744"/>
      <c r="M58" s="249" t="s">
        <v>1912</v>
      </c>
      <c r="N58" s="284"/>
      <c r="AF58" s="744"/>
      <c r="AG58" s="744"/>
      <c r="AH58" s="744"/>
      <c r="AI58" s="744"/>
      <c r="AJ58" s="744"/>
      <c r="AK58" s="744"/>
      <c r="AL58" s="744"/>
      <c r="AN58" s="744"/>
      <c r="AO58" s="744"/>
    </row>
    <row r="59" spans="4:41" ht="30.75" customHeight="1" x14ac:dyDescent="0.35">
      <c r="D59" s="752" t="s">
        <v>1966</v>
      </c>
      <c r="E59" s="666">
        <v>2018</v>
      </c>
      <c r="F59" s="754">
        <v>2019</v>
      </c>
      <c r="G59" s="754">
        <v>2020</v>
      </c>
      <c r="H59" s="754">
        <v>2021</v>
      </c>
      <c r="I59" s="754">
        <v>2022</v>
      </c>
      <c r="J59" s="824">
        <v>2023</v>
      </c>
      <c r="K59" s="827">
        <v>2024</v>
      </c>
      <c r="L59" s="843">
        <v>2025</v>
      </c>
      <c r="M59" s="821">
        <v>2026</v>
      </c>
      <c r="N59" s="827">
        <v>2027</v>
      </c>
      <c r="O59" s="843">
        <v>2028</v>
      </c>
      <c r="P59" s="821">
        <v>2029</v>
      </c>
      <c r="Q59" s="827">
        <v>2030</v>
      </c>
      <c r="R59" s="843">
        <v>2031</v>
      </c>
      <c r="S59" s="821">
        <v>2032</v>
      </c>
      <c r="T59" s="843">
        <v>2033</v>
      </c>
      <c r="U59" s="821">
        <v>2034</v>
      </c>
      <c r="V59" s="827">
        <v>2035</v>
      </c>
    </row>
    <row r="60" spans="4:41" ht="30.75" customHeight="1" x14ac:dyDescent="0.35">
      <c r="D60" s="738" t="s">
        <v>2002</v>
      </c>
      <c r="E60" s="755">
        <v>1683.5</v>
      </c>
      <c r="F60" s="755">
        <v>1717.9</v>
      </c>
      <c r="G60" s="755">
        <v>1609</v>
      </c>
      <c r="H60" s="378">
        <v>2044.377</v>
      </c>
      <c r="I60" s="478">
        <v>2632.145</v>
      </c>
      <c r="J60" s="478">
        <v>2176.4810000000002</v>
      </c>
      <c r="K60" s="478">
        <v>2426.067</v>
      </c>
      <c r="L60" s="822">
        <f>L61+L62</f>
        <v>2621.3420000000001</v>
      </c>
      <c r="M60" s="822">
        <f>M61+M62</f>
        <v>2968.42</v>
      </c>
      <c r="N60" s="822">
        <f>N61+N62</f>
        <v>3252.893</v>
      </c>
      <c r="O60" s="822">
        <f t="shared" ref="O60:Q60" si="33">O61+O62</f>
        <v>3355.3890000000001</v>
      </c>
      <c r="P60" s="822">
        <f t="shared" si="33"/>
        <v>3454.9960000000001</v>
      </c>
      <c r="Q60" s="822">
        <f t="shared" si="33"/>
        <v>3583.7379999999998</v>
      </c>
      <c r="R60" s="822">
        <f t="shared" ref="R60:U60" si="34">R61-R62</f>
        <v>3720.614</v>
      </c>
      <c r="S60" s="822">
        <f t="shared" si="34"/>
        <v>3869.8490000000002</v>
      </c>
      <c r="T60" s="822">
        <f t="shared" si="34"/>
        <v>4036.6990000000001</v>
      </c>
      <c r="U60" s="822">
        <f t="shared" si="34"/>
        <v>4220.3469999999998</v>
      </c>
      <c r="V60" s="441">
        <v>4412.8320000000003</v>
      </c>
    </row>
    <row r="61" spans="4:41" ht="30.75" customHeight="1" x14ac:dyDescent="0.35">
      <c r="D61" s="780" t="s">
        <v>2001</v>
      </c>
      <c r="E61" s="840">
        <v>1683.5</v>
      </c>
      <c r="F61" s="840">
        <v>1717.9</v>
      </c>
      <c r="G61" s="840">
        <v>1609</v>
      </c>
      <c r="H61" s="441">
        <v>2044.377</v>
      </c>
      <c r="I61" s="246">
        <v>2632.145</v>
      </c>
      <c r="J61" s="246">
        <v>2176.4810000000002</v>
      </c>
      <c r="K61" s="246">
        <v>2426.067</v>
      </c>
      <c r="L61" s="246">
        <v>2621.3420000000001</v>
      </c>
      <c r="M61" s="441">
        <v>2968.42</v>
      </c>
      <c r="N61" s="840">
        <v>3252.893</v>
      </c>
      <c r="O61" s="441">
        <v>3355.3890000000001</v>
      </c>
      <c r="P61" s="441">
        <v>3454.9960000000001</v>
      </c>
      <c r="Q61" s="441">
        <v>3583.7379999999998</v>
      </c>
      <c r="R61" s="441">
        <v>3720.614</v>
      </c>
      <c r="S61" s="441">
        <v>3869.8490000000002</v>
      </c>
      <c r="T61" s="441">
        <v>4036.6990000000001</v>
      </c>
      <c r="U61" s="441">
        <v>4220.3469999999998</v>
      </c>
      <c r="V61" s="441">
        <v>4412.8320000000003</v>
      </c>
    </row>
    <row r="62" spans="4:41" ht="30.75" customHeight="1" x14ac:dyDescent="0.35">
      <c r="D62" s="737" t="s">
        <v>2000</v>
      </c>
      <c r="E62" s="840"/>
      <c r="F62" s="840"/>
      <c r="G62" s="840"/>
      <c r="H62" s="441"/>
      <c r="I62" s="246"/>
      <c r="J62" s="246"/>
      <c r="K62" s="246"/>
      <c r="L62" s="441">
        <v>0</v>
      </c>
      <c r="M62" s="441">
        <v>0</v>
      </c>
      <c r="N62" s="441">
        <v>0</v>
      </c>
      <c r="O62" s="441">
        <v>0</v>
      </c>
      <c r="P62" s="441">
        <v>0</v>
      </c>
      <c r="Q62" s="441">
        <v>0</v>
      </c>
      <c r="R62" s="441"/>
      <c r="S62" s="441"/>
      <c r="T62" s="441"/>
      <c r="U62" s="441"/>
      <c r="V62" s="441"/>
    </row>
    <row r="63" spans="4:41" ht="30.75" customHeight="1" x14ac:dyDescent="0.35">
      <c r="D63" s="780" t="s">
        <v>1975</v>
      </c>
      <c r="E63" s="840"/>
      <c r="F63" s="840"/>
      <c r="G63" s="840"/>
      <c r="H63" s="635">
        <f>((H60/G60)-1)*100</f>
        <v>27.058856432566802</v>
      </c>
      <c r="I63" s="635">
        <f t="shared" ref="I63:U63" si="35">((I60/H60)-1)*100</f>
        <v>28.750470192141677</v>
      </c>
      <c r="J63" s="635">
        <f t="shared" si="35"/>
        <v>-17.311508294565826</v>
      </c>
      <c r="K63" s="635">
        <f t="shared" si="35"/>
        <v>11.46741000725482</v>
      </c>
      <c r="L63" s="635">
        <f t="shared" si="35"/>
        <v>8.0490357438603333</v>
      </c>
      <c r="M63" s="635">
        <f t="shared" si="35"/>
        <v>13.240469957754453</v>
      </c>
      <c r="N63" s="635">
        <f t="shared" si="35"/>
        <v>9.5833136820261178</v>
      </c>
      <c r="O63" s="635">
        <f t="shared" si="35"/>
        <v>3.1509182749017706</v>
      </c>
      <c r="P63" s="635">
        <f t="shared" si="35"/>
        <v>2.9685678769287183</v>
      </c>
      <c r="Q63" s="635">
        <f t="shared" si="35"/>
        <v>3.726256123017202</v>
      </c>
      <c r="R63" s="635">
        <f t="shared" si="35"/>
        <v>3.8193640271694029</v>
      </c>
      <c r="S63" s="635">
        <f t="shared" si="35"/>
        <v>4.0110315125406748</v>
      </c>
      <c r="T63" s="635">
        <f t="shared" si="35"/>
        <v>4.3115377370021468</v>
      </c>
      <c r="U63" s="635">
        <f t="shared" si="35"/>
        <v>4.5494598433026612</v>
      </c>
      <c r="V63" s="441"/>
    </row>
    <row r="64" spans="4:41" ht="16.5" customHeight="1" x14ac:dyDescent="0.35">
      <c r="D64" s="819" t="s">
        <v>490</v>
      </c>
      <c r="E64" s="840">
        <v>1170.7</v>
      </c>
      <c r="F64" s="840">
        <v>1243.4000000000001</v>
      </c>
      <c r="G64" s="840">
        <v>1310</v>
      </c>
      <c r="H64" s="441">
        <v>1314.088</v>
      </c>
      <c r="I64" s="246">
        <v>1483.5260000000001</v>
      </c>
      <c r="J64" s="246">
        <v>1614.4559999999999</v>
      </c>
      <c r="K64" s="246">
        <v>1708.9259999999999</v>
      </c>
      <c r="L64" s="246">
        <v>1758.6220000000001</v>
      </c>
      <c r="M64" s="825">
        <v>1840.2550000000001</v>
      </c>
      <c r="N64" s="246">
        <v>1915.35</v>
      </c>
      <c r="O64" s="246">
        <v>1989.9770000000001</v>
      </c>
      <c r="P64" s="246">
        <v>2071.8760000000002</v>
      </c>
      <c r="Q64" s="246">
        <v>2155.48</v>
      </c>
      <c r="R64" s="246">
        <v>2241.7910000000002</v>
      </c>
      <c r="S64" s="246">
        <v>2329.39</v>
      </c>
      <c r="T64" s="246">
        <v>2418.5300000000002</v>
      </c>
      <c r="U64" s="246">
        <v>2510.3110000000001</v>
      </c>
      <c r="V64" s="246">
        <v>2605.1819999999998</v>
      </c>
    </row>
    <row r="65" spans="4:26" x14ac:dyDescent="0.35">
      <c r="D65" s="571" t="s">
        <v>491</v>
      </c>
      <c r="E65" s="441">
        <f>E66+E67</f>
        <v>136.30000000000001</v>
      </c>
      <c r="F65" s="441">
        <f t="shared" ref="F65:K65" si="36">F66+F67</f>
        <v>170.6</v>
      </c>
      <c r="G65" s="441">
        <f t="shared" si="36"/>
        <v>156</v>
      </c>
      <c r="H65" s="441">
        <f t="shared" si="36"/>
        <v>155.25900000000001</v>
      </c>
      <c r="I65" s="441">
        <f t="shared" si="36"/>
        <v>188</v>
      </c>
      <c r="J65" s="441">
        <f t="shared" si="36"/>
        <v>156.14000000000001</v>
      </c>
      <c r="K65" s="441">
        <f t="shared" si="36"/>
        <v>104.566</v>
      </c>
      <c r="L65" s="441">
        <f>L66+L67</f>
        <v>97.583999999999989</v>
      </c>
      <c r="M65" s="838">
        <f>M66+M67</f>
        <v>104.73699999999999</v>
      </c>
      <c r="N65" s="838">
        <f t="shared" ref="N65:V65" si="37">N66+N67</f>
        <v>105.59699999999999</v>
      </c>
      <c r="O65" s="838">
        <f t="shared" si="37"/>
        <v>105.84200000000001</v>
      </c>
      <c r="P65" s="838">
        <f t="shared" si="37"/>
        <v>109.229</v>
      </c>
      <c r="Q65" s="838">
        <f t="shared" si="37"/>
        <v>157.536</v>
      </c>
      <c r="R65" s="838">
        <f t="shared" si="37"/>
        <v>206.88</v>
      </c>
      <c r="S65" s="838">
        <f t="shared" si="37"/>
        <v>222.535</v>
      </c>
      <c r="T65" s="838">
        <f t="shared" si="37"/>
        <v>231.29900000000001</v>
      </c>
      <c r="U65" s="838">
        <f t="shared" si="37"/>
        <v>240.52500000000003</v>
      </c>
      <c r="V65" s="838">
        <f t="shared" si="37"/>
        <v>252.53300000000002</v>
      </c>
      <c r="W65" s="814"/>
    </row>
    <row r="66" spans="4:26" x14ac:dyDescent="0.35">
      <c r="D66" s="683" t="s">
        <v>1908</v>
      </c>
      <c r="E66" s="840">
        <v>95</v>
      </c>
      <c r="F66" s="840">
        <v>99.8</v>
      </c>
      <c r="G66" s="840">
        <v>87</v>
      </c>
      <c r="H66" s="441">
        <v>75.274000000000001</v>
      </c>
      <c r="I66" s="839">
        <v>88</v>
      </c>
      <c r="J66" s="823">
        <v>75.802000000000007</v>
      </c>
      <c r="K66" s="441">
        <v>101.435</v>
      </c>
      <c r="L66" s="441">
        <v>91.840999999999994</v>
      </c>
      <c r="M66" s="838">
        <v>97.257999999999996</v>
      </c>
      <c r="N66" s="441">
        <v>97.07</v>
      </c>
      <c r="O66" s="441">
        <v>95.424000000000007</v>
      </c>
      <c r="P66" s="441">
        <v>96.096000000000004</v>
      </c>
      <c r="Q66" s="441">
        <v>96.950999999999993</v>
      </c>
      <c r="R66" s="441">
        <v>95.209000000000003</v>
      </c>
      <c r="S66" s="441">
        <v>95.295000000000002</v>
      </c>
      <c r="T66" s="441">
        <v>95.778999999999996</v>
      </c>
      <c r="U66" s="441">
        <v>95.177000000000007</v>
      </c>
      <c r="V66" s="441">
        <v>97.59</v>
      </c>
      <c r="W66" s="441">
        <v>482.79899999999998</v>
      </c>
      <c r="X66" s="441">
        <v>961.84900000000005</v>
      </c>
    </row>
    <row r="67" spans="4:26" ht="16.5" customHeight="1" x14ac:dyDescent="0.35">
      <c r="D67" s="535" t="s">
        <v>1907</v>
      </c>
      <c r="E67" s="840">
        <v>41.3</v>
      </c>
      <c r="F67" s="840">
        <v>70.8</v>
      </c>
      <c r="G67" s="840">
        <v>69</v>
      </c>
      <c r="H67" s="441">
        <v>79.984999999999999</v>
      </c>
      <c r="I67" s="839">
        <v>100</v>
      </c>
      <c r="J67" s="823">
        <v>80.338000000000008</v>
      </c>
      <c r="K67" s="441">
        <v>3.1309999999999998</v>
      </c>
      <c r="L67" s="441">
        <v>5.7430000000000003</v>
      </c>
      <c r="M67" s="838">
        <v>7.4790000000000001</v>
      </c>
      <c r="N67" s="441">
        <v>8.5269999999999992</v>
      </c>
      <c r="O67" s="441">
        <v>10.417999999999999</v>
      </c>
      <c r="P67" s="441">
        <v>13.132999999999999</v>
      </c>
      <c r="Q67" s="441">
        <v>60.585000000000001</v>
      </c>
      <c r="R67" s="441">
        <v>111.67100000000001</v>
      </c>
      <c r="S67" s="441">
        <v>127.24</v>
      </c>
      <c r="T67" s="441">
        <v>135.52000000000001</v>
      </c>
      <c r="U67" s="441">
        <v>145.34800000000001</v>
      </c>
      <c r="V67" s="441">
        <v>154.94300000000001</v>
      </c>
      <c r="W67" s="441">
        <v>100.142</v>
      </c>
      <c r="X67" s="441">
        <v>774.86400000000003</v>
      </c>
      <c r="Y67" s="798"/>
      <c r="Z67" s="813"/>
    </row>
    <row r="68" spans="4:26" ht="16.5" customHeight="1" x14ac:dyDescent="0.35">
      <c r="D68" s="739" t="s">
        <v>2008</v>
      </c>
      <c r="E68" s="756">
        <v>204.7</v>
      </c>
      <c r="F68" s="756">
        <v>230.2</v>
      </c>
      <c r="G68" s="756">
        <v>212</v>
      </c>
      <c r="H68" s="783">
        <v>371.83100000000002</v>
      </c>
      <c r="I68" s="501">
        <v>424.86700000000002</v>
      </c>
      <c r="J68" s="501">
        <v>419.584</v>
      </c>
      <c r="K68" s="501">
        <v>529.86699999999996</v>
      </c>
      <c r="L68" s="501">
        <f>L69+L70</f>
        <v>523.68100000000004</v>
      </c>
      <c r="M68" s="501">
        <f t="shared" ref="M68:Q68" si="38">M69+M70</f>
        <v>495.14699999999999</v>
      </c>
      <c r="N68" s="501">
        <f t="shared" si="38"/>
        <v>468.97699999999998</v>
      </c>
      <c r="O68" s="501">
        <f t="shared" si="38"/>
        <v>462.33800000000002</v>
      </c>
      <c r="P68" s="501">
        <f t="shared" si="38"/>
        <v>452.81200000000001</v>
      </c>
      <c r="Q68" s="501">
        <f t="shared" si="38"/>
        <v>450.154</v>
      </c>
      <c r="R68" s="836">
        <v>455.77699999999999</v>
      </c>
      <c r="S68" s="836">
        <v>467.89699999999999</v>
      </c>
      <c r="T68" s="836">
        <v>493.13400000000001</v>
      </c>
      <c r="U68" s="836">
        <v>503.37799999999999</v>
      </c>
      <c r="V68" s="836">
        <v>517.11500000000001</v>
      </c>
      <c r="W68" s="812"/>
      <c r="X68" s="798"/>
      <c r="Y68" s="798"/>
      <c r="Z68" s="813"/>
    </row>
    <row r="69" spans="4:26" ht="16.5" customHeight="1" x14ac:dyDescent="0.35">
      <c r="D69" s="605" t="s">
        <v>106</v>
      </c>
      <c r="E69" s="840">
        <v>204.7</v>
      </c>
      <c r="F69" s="840">
        <v>230.2</v>
      </c>
      <c r="G69" s="840">
        <v>212</v>
      </c>
      <c r="H69" s="441">
        <v>371.83100000000002</v>
      </c>
      <c r="I69" s="246">
        <v>424.86700000000002</v>
      </c>
      <c r="J69" s="246">
        <v>419.584</v>
      </c>
      <c r="K69" s="246">
        <v>529.86699999999996</v>
      </c>
      <c r="L69" s="246">
        <v>523.68100000000004</v>
      </c>
      <c r="M69" s="836">
        <v>495.14699999999999</v>
      </c>
      <c r="N69" s="836">
        <v>468.97699999999998</v>
      </c>
      <c r="O69" s="826">
        <v>462.33800000000002</v>
      </c>
      <c r="P69" s="836">
        <v>452.81200000000001</v>
      </c>
      <c r="Q69" s="836">
        <v>450.154</v>
      </c>
      <c r="R69" s="836">
        <v>455.77699999999999</v>
      </c>
      <c r="S69" s="836">
        <v>467.89699999999999</v>
      </c>
      <c r="T69" s="836">
        <v>493.13400000000001</v>
      </c>
      <c r="U69" s="836">
        <v>503.37799999999999</v>
      </c>
      <c r="V69" s="836">
        <v>517.11500000000001</v>
      </c>
      <c r="W69" s="812"/>
      <c r="X69" s="798"/>
      <c r="Y69" s="798"/>
      <c r="Z69" s="813"/>
    </row>
    <row r="70" spans="4:26" ht="16.5" customHeight="1" x14ac:dyDescent="0.35">
      <c r="D70" s="740" t="s">
        <v>2007</v>
      </c>
      <c r="E70" s="840"/>
      <c r="F70" s="840"/>
      <c r="G70" s="840"/>
      <c r="H70" s="441"/>
      <c r="I70" s="246"/>
      <c r="J70" s="246"/>
      <c r="K70" s="246"/>
      <c r="L70" s="246"/>
      <c r="M70" s="836">
        <v>0</v>
      </c>
      <c r="N70" s="836">
        <v>0</v>
      </c>
      <c r="O70" s="826">
        <v>0</v>
      </c>
      <c r="P70" s="836">
        <v>0</v>
      </c>
      <c r="Q70" s="836">
        <v>0</v>
      </c>
      <c r="R70" s="836"/>
      <c r="S70" s="836"/>
      <c r="T70" s="836"/>
      <c r="U70" s="836"/>
      <c r="V70" s="836"/>
      <c r="W70" s="812"/>
      <c r="X70" s="798"/>
      <c r="Y70" s="798"/>
      <c r="Z70" s="813"/>
    </row>
    <row r="71" spans="4:26" ht="16.5" customHeight="1" x14ac:dyDescent="0.35">
      <c r="J71" s="1263">
        <f t="shared" ref="J71:M71" si="39">J69/I69-1</f>
        <v>-1.2434479495936457E-2</v>
      </c>
      <c r="K71" s="1263">
        <f t="shared" si="39"/>
        <v>0.26283890710799263</v>
      </c>
      <c r="L71" s="1263">
        <f t="shared" si="39"/>
        <v>-1.1674627783953229E-2</v>
      </c>
      <c r="M71" s="1263">
        <f t="shared" si="39"/>
        <v>-5.448736921904751E-2</v>
      </c>
      <c r="N71" s="1263">
        <f>N69/M69-1</f>
        <v>-5.2852991131926541E-2</v>
      </c>
    </row>
    <row r="72" spans="4:26" x14ac:dyDescent="0.35">
      <c r="D72" s="617" t="s">
        <v>492</v>
      </c>
      <c r="E72" s="666">
        <v>2018</v>
      </c>
      <c r="F72" s="720">
        <v>2019</v>
      </c>
      <c r="G72" s="720">
        <v>2020</v>
      </c>
      <c r="H72" s="743">
        <v>2021</v>
      </c>
      <c r="I72" s="720">
        <v>2022</v>
      </c>
      <c r="J72" s="743">
        <v>2023</v>
      </c>
      <c r="K72" s="817">
        <v>2024</v>
      </c>
      <c r="L72" s="817">
        <v>2025</v>
      </c>
      <c r="M72" s="821">
        <v>2026</v>
      </c>
      <c r="O72" s="529" t="s">
        <v>493</v>
      </c>
    </row>
    <row r="73" spans="4:26" ht="14.9" customHeight="1" x14ac:dyDescent="0.35">
      <c r="D73" s="790" t="s">
        <v>489</v>
      </c>
      <c r="E73" s="320">
        <v>1622</v>
      </c>
      <c r="F73" s="320">
        <v>1687</v>
      </c>
      <c r="G73" s="845">
        <f t="shared" ref="G73:M76" si="40">G36</f>
        <v>1712.5250000000001</v>
      </c>
      <c r="H73" s="845">
        <f t="shared" si="40"/>
        <v>2025.3000000000002</v>
      </c>
      <c r="I73" s="845">
        <f t="shared" si="40"/>
        <v>2519.5</v>
      </c>
      <c r="J73" s="836">
        <f t="shared" si="40"/>
        <v>2083.336548518414</v>
      </c>
      <c r="K73" s="836">
        <f t="shared" si="40"/>
        <v>2322.2412923680117</v>
      </c>
      <c r="L73" s="836">
        <f t="shared" si="40"/>
        <v>2509.1593240493971</v>
      </c>
      <c r="M73" s="858">
        <f t="shared" si="40"/>
        <v>2841.3838105423524</v>
      </c>
    </row>
    <row r="74" spans="4:26" x14ac:dyDescent="0.35">
      <c r="D74" s="811" t="s">
        <v>494</v>
      </c>
      <c r="E74" s="233">
        <v>1332</v>
      </c>
      <c r="F74" s="233">
        <v>1388</v>
      </c>
      <c r="G74" s="836">
        <f t="shared" si="40"/>
        <v>1424.5250000000001</v>
      </c>
      <c r="H74" s="836">
        <f t="shared" si="40"/>
        <v>1509.7249999999999</v>
      </c>
      <c r="I74" s="836">
        <f t="shared" si="40"/>
        <v>1656.375</v>
      </c>
      <c r="J74" s="836">
        <f t="shared" si="40"/>
        <v>1802.5599531117082</v>
      </c>
      <c r="K74" s="836">
        <f t="shared" si="40"/>
        <v>1908.0368684134958</v>
      </c>
      <c r="L74" s="836">
        <f t="shared" si="40"/>
        <v>1963.5230627909452</v>
      </c>
      <c r="M74" s="858">
        <f t="shared" si="40"/>
        <v>2054.6673099258119</v>
      </c>
      <c r="N74" s="796"/>
    </row>
    <row r="75" spans="4:26" x14ac:dyDescent="0.35">
      <c r="D75" s="811" t="s">
        <v>105</v>
      </c>
      <c r="E75" s="233">
        <v>150</v>
      </c>
      <c r="F75" s="233">
        <v>175</v>
      </c>
      <c r="G75" s="836">
        <f t="shared" si="40"/>
        <v>160.4</v>
      </c>
      <c r="H75" s="836">
        <f t="shared" si="40"/>
        <v>171.3</v>
      </c>
      <c r="I75" s="836">
        <f t="shared" si="40"/>
        <v>203.05</v>
      </c>
      <c r="J75" s="836">
        <f t="shared" si="40"/>
        <v>168.63950531914898</v>
      </c>
      <c r="K75" s="836">
        <f t="shared" si="40"/>
        <v>112.9368420212766</v>
      </c>
      <c r="L75" s="836">
        <f t="shared" si="40"/>
        <v>105.39591063829786</v>
      </c>
      <c r="M75" s="858">
        <f t="shared" si="40"/>
        <v>113.12153111702128</v>
      </c>
      <c r="N75" s="796"/>
    </row>
    <row r="76" spans="4:26" x14ac:dyDescent="0.35">
      <c r="D76" s="773" t="s">
        <v>257</v>
      </c>
      <c r="E76" s="568">
        <v>208</v>
      </c>
      <c r="F76" s="568">
        <v>219</v>
      </c>
      <c r="G76" s="846">
        <f t="shared" si="40"/>
        <v>220.4</v>
      </c>
      <c r="H76" s="846">
        <f t="shared" si="40"/>
        <v>307.375</v>
      </c>
      <c r="I76" s="846">
        <f t="shared" si="40"/>
        <v>389.2</v>
      </c>
      <c r="J76" s="846">
        <f t="shared" si="40"/>
        <v>384.36050058018151</v>
      </c>
      <c r="K76" s="846">
        <f t="shared" si="40"/>
        <v>485.38539448815737</v>
      </c>
      <c r="L76" s="846">
        <f t="shared" si="40"/>
        <v>479.71870067574088</v>
      </c>
      <c r="M76" s="869">
        <f t="shared" si="40"/>
        <v>453.58009071074002</v>
      </c>
      <c r="O76" s="1311" t="s">
        <v>891</v>
      </c>
      <c r="P76" s="1311" t="s">
        <v>891</v>
      </c>
      <c r="Q76" s="1311" t="s">
        <v>891</v>
      </c>
      <c r="R76" s="1311" t="s">
        <v>891</v>
      </c>
      <c r="S76" s="1311" t="s">
        <v>891</v>
      </c>
      <c r="T76" s="1311" t="s">
        <v>891</v>
      </c>
      <c r="U76" s="1311" t="s">
        <v>891</v>
      </c>
      <c r="V76" s="1312" t="s">
        <v>891</v>
      </c>
    </row>
    <row r="77" spans="4:26" ht="14.9" customHeight="1" x14ac:dyDescent="0.35">
      <c r="D77" s="269"/>
      <c r="E77" s="233"/>
      <c r="F77" s="233"/>
      <c r="G77" s="233"/>
      <c r="P77" s="1313">
        <v>2022</v>
      </c>
      <c r="Q77" s="1314">
        <v>2022</v>
      </c>
      <c r="R77" s="1314">
        <v>2022</v>
      </c>
      <c r="S77" s="1315">
        <v>2022</v>
      </c>
    </row>
    <row r="78" spans="4:26" ht="17.25" customHeight="1" x14ac:dyDescent="0.35">
      <c r="D78" s="234" t="s">
        <v>496</v>
      </c>
      <c r="E78" s="233"/>
      <c r="F78" s="233"/>
      <c r="G78" s="233"/>
      <c r="P78" s="141" t="s">
        <v>892</v>
      </c>
      <c r="Q78" s="141" t="s">
        <v>893</v>
      </c>
      <c r="R78" s="141" t="s">
        <v>894</v>
      </c>
      <c r="S78" s="141" t="s">
        <v>895</v>
      </c>
      <c r="T78" s="117" t="s">
        <v>907</v>
      </c>
    </row>
    <row r="79" spans="4:26" ht="30" customHeight="1" x14ac:dyDescent="0.35">
      <c r="D79" s="853" t="s">
        <v>497</v>
      </c>
      <c r="E79" s="720">
        <v>2018</v>
      </c>
      <c r="F79" s="720">
        <v>2019</v>
      </c>
      <c r="G79" s="720">
        <v>2020</v>
      </c>
      <c r="H79" s="743">
        <v>2021</v>
      </c>
      <c r="I79" s="720">
        <v>2022</v>
      </c>
      <c r="J79" s="720">
        <v>2023</v>
      </c>
      <c r="K79" s="844">
        <v>2024</v>
      </c>
      <c r="L79" s="844">
        <v>2025</v>
      </c>
      <c r="M79" s="821">
        <v>2026</v>
      </c>
      <c r="O79" s="31" t="s">
        <v>495</v>
      </c>
      <c r="P79" s="145">
        <v>2973</v>
      </c>
      <c r="Q79" s="145">
        <v>3062.8</v>
      </c>
      <c r="R79" s="145">
        <v>3085.2</v>
      </c>
      <c r="S79" s="753">
        <v>2106.1999999999998</v>
      </c>
      <c r="T79" s="145">
        <v>3123.2</v>
      </c>
    </row>
    <row r="80" spans="4:26" x14ac:dyDescent="0.35">
      <c r="D80" s="790" t="s">
        <v>489</v>
      </c>
      <c r="E80" s="854">
        <f t="shared" ref="E80:M80" si="41">E73/E60</f>
        <v>0.96346896346896349</v>
      </c>
      <c r="F80" s="854">
        <f t="shared" si="41"/>
        <v>0.98201292275452579</v>
      </c>
      <c r="G80" s="854">
        <f t="shared" si="41"/>
        <v>1.0643412057178372</v>
      </c>
      <c r="H80" s="854">
        <f t="shared" si="41"/>
        <v>0.99066855085925942</v>
      </c>
      <c r="I80" s="854">
        <f t="shared" si="41"/>
        <v>0.95720410539692913</v>
      </c>
      <c r="J80" s="854">
        <f t="shared" si="41"/>
        <v>0.95720410539692913</v>
      </c>
      <c r="K80" s="854">
        <f t="shared" si="41"/>
        <v>0.95720410539692913</v>
      </c>
      <c r="L80" s="854">
        <f t="shared" si="41"/>
        <v>0.95720410539692913</v>
      </c>
      <c r="M80" s="837">
        <f t="shared" si="41"/>
        <v>0.95720410539692913</v>
      </c>
      <c r="T80" s="238"/>
    </row>
    <row r="81" spans="4:22" x14ac:dyDescent="0.35">
      <c r="D81" s="811" t="s">
        <v>494</v>
      </c>
      <c r="E81" s="635">
        <f t="shared" ref="E81:M83" si="42">E74/E64</f>
        <v>1.1377808148970701</v>
      </c>
      <c r="F81" s="635">
        <f t="shared" si="42"/>
        <v>1.1162940324915553</v>
      </c>
      <c r="G81" s="635">
        <f t="shared" si="42"/>
        <v>1.0874236641221375</v>
      </c>
      <c r="H81" s="635">
        <f t="shared" si="42"/>
        <v>1.1488766353547097</v>
      </c>
      <c r="I81" s="635">
        <f t="shared" si="42"/>
        <v>1.1165122822249154</v>
      </c>
      <c r="J81" s="635">
        <f t="shared" si="42"/>
        <v>1.1165122822249156</v>
      </c>
      <c r="K81" s="635">
        <f t="shared" si="42"/>
        <v>1.1165122822249154</v>
      </c>
      <c r="L81" s="635">
        <f t="shared" si="42"/>
        <v>1.1165122822249154</v>
      </c>
      <c r="M81" s="636">
        <f t="shared" si="42"/>
        <v>1.1165122822249154</v>
      </c>
    </row>
    <row r="82" spans="4:22" x14ac:dyDescent="0.35">
      <c r="D82" s="811" t="s">
        <v>105</v>
      </c>
      <c r="E82" s="635">
        <f t="shared" si="42"/>
        <v>1.1005135730007336</v>
      </c>
      <c r="F82" s="635">
        <f t="shared" si="42"/>
        <v>1.0257913247362251</v>
      </c>
      <c r="G82" s="635">
        <f t="shared" si="42"/>
        <v>1.0282051282051283</v>
      </c>
      <c r="H82" s="635">
        <f t="shared" si="42"/>
        <v>1.1033176820667401</v>
      </c>
      <c r="I82" s="635">
        <f t="shared" si="42"/>
        <v>1.0800531914893619</v>
      </c>
      <c r="J82" s="635">
        <f t="shared" si="42"/>
        <v>1.0800531914893619</v>
      </c>
      <c r="K82" s="635">
        <f t="shared" si="42"/>
        <v>1.0800531914893619</v>
      </c>
      <c r="L82" s="635">
        <f t="shared" si="42"/>
        <v>1.0800531914893616</v>
      </c>
      <c r="M82" s="636">
        <f t="shared" si="42"/>
        <v>1.0800531914893619</v>
      </c>
    </row>
    <row r="83" spans="4:22" x14ac:dyDescent="0.35">
      <c r="D83" s="773" t="s">
        <v>257</v>
      </c>
      <c r="E83" s="775">
        <f t="shared" ref="E83:I83" si="43">E76/E68</f>
        <v>1.0161211529066927</v>
      </c>
      <c r="F83" s="775">
        <f t="shared" si="43"/>
        <v>0.95134665508253702</v>
      </c>
      <c r="G83" s="775">
        <f t="shared" si="43"/>
        <v>1.0396226415094341</v>
      </c>
      <c r="H83" s="775">
        <f t="shared" si="43"/>
        <v>0.82665243080862005</v>
      </c>
      <c r="I83" s="775">
        <f t="shared" si="43"/>
        <v>0.91605137607769016</v>
      </c>
      <c r="J83" s="775">
        <f t="shared" si="42"/>
        <v>5.070585216487447</v>
      </c>
      <c r="K83" s="775">
        <f t="shared" si="42"/>
        <v>4.7851865183433464</v>
      </c>
      <c r="L83" s="775">
        <f t="shared" si="42"/>
        <v>5.2233610334789571</v>
      </c>
      <c r="M83" s="820">
        <f t="shared" si="42"/>
        <v>4.6636789848726075</v>
      </c>
    </row>
    <row r="85" spans="4:22" x14ac:dyDescent="0.35">
      <c r="D85" s="269"/>
      <c r="E85" s="233"/>
      <c r="F85" s="233"/>
      <c r="G85" s="233"/>
    </row>
    <row r="86" spans="4:22" x14ac:dyDescent="0.35">
      <c r="D86" s="249"/>
    </row>
    <row r="87" spans="4:22" ht="30" customHeight="1" x14ac:dyDescent="0.35">
      <c r="D87" s="828" t="s">
        <v>1967</v>
      </c>
      <c r="E87" s="666">
        <v>2018</v>
      </c>
      <c r="F87" s="754">
        <v>2019</v>
      </c>
      <c r="G87" s="754">
        <v>2020</v>
      </c>
      <c r="H87" s="824">
        <v>2021</v>
      </c>
      <c r="I87" s="754">
        <v>2022</v>
      </c>
      <c r="J87" s="754">
        <v>2023</v>
      </c>
      <c r="K87" s="757">
        <v>2024</v>
      </c>
      <c r="L87" s="757">
        <v>2025</v>
      </c>
      <c r="M87" s="821">
        <v>2026</v>
      </c>
    </row>
    <row r="88" spans="4:22" x14ac:dyDescent="0.35">
      <c r="D88" s="578" t="s">
        <v>1910</v>
      </c>
      <c r="E88" s="378">
        <v>14016.099999999999</v>
      </c>
      <c r="F88" s="378">
        <v>14604.2</v>
      </c>
      <c r="G88" s="378">
        <v>14711.300000000001</v>
      </c>
      <c r="H88" s="799">
        <v>21015.3</v>
      </c>
      <c r="I88" s="378">
        <v>21762.3</v>
      </c>
      <c r="J88" s="378">
        <v>23112</v>
      </c>
      <c r="K88" s="378">
        <v>24369</v>
      </c>
      <c r="L88" s="378">
        <v>25562.2</v>
      </c>
      <c r="M88" s="822">
        <v>26815.3</v>
      </c>
      <c r="N88" s="441">
        <v>28003.5</v>
      </c>
      <c r="O88" s="441">
        <v>29281.8</v>
      </c>
      <c r="P88" s="441">
        <v>30603</v>
      </c>
      <c r="Q88" s="441">
        <v>31928</v>
      </c>
      <c r="R88" s="441">
        <v>33261.4</v>
      </c>
      <c r="S88" s="441">
        <v>34629.4</v>
      </c>
      <c r="T88" s="441">
        <v>36043</v>
      </c>
      <c r="U88" s="441">
        <v>37506.6</v>
      </c>
      <c r="V88" s="441">
        <v>39046.400000000001</v>
      </c>
    </row>
    <row r="89" spans="4:22" x14ac:dyDescent="0.35">
      <c r="D89" s="811" t="s">
        <v>499</v>
      </c>
      <c r="E89" s="233">
        <v>8804</v>
      </c>
      <c r="F89" s="233">
        <v>9209</v>
      </c>
      <c r="G89" s="441">
        <v>9300</v>
      </c>
      <c r="H89" s="852">
        <v>10074.1</v>
      </c>
      <c r="I89" s="441">
        <v>10981.9</v>
      </c>
      <c r="J89" s="441">
        <v>11567.7</v>
      </c>
      <c r="K89" s="441">
        <v>12251.7</v>
      </c>
      <c r="L89" s="441">
        <v>12861.2</v>
      </c>
      <c r="M89" s="838">
        <v>13479</v>
      </c>
      <c r="N89" s="441">
        <v>14051.2</v>
      </c>
      <c r="O89" s="441">
        <v>14645.1</v>
      </c>
      <c r="P89" s="441">
        <v>15252.3</v>
      </c>
      <c r="Q89" s="441">
        <v>15861.9</v>
      </c>
      <c r="R89" s="441">
        <v>16483.3</v>
      </c>
      <c r="S89" s="441">
        <v>17122.599999999999</v>
      </c>
      <c r="T89" s="441">
        <v>17774.400000000001</v>
      </c>
      <c r="U89" s="441">
        <v>18450.599999999999</v>
      </c>
      <c r="V89" s="441">
        <v>19151.3</v>
      </c>
    </row>
    <row r="90" spans="4:22" x14ac:dyDescent="0.35">
      <c r="D90" s="811" t="s">
        <v>500</v>
      </c>
      <c r="E90" s="233">
        <v>13844</v>
      </c>
      <c r="F90" s="233">
        <v>14403</v>
      </c>
      <c r="G90" s="441">
        <v>14201</v>
      </c>
      <c r="H90" s="852">
        <v>15545.1</v>
      </c>
      <c r="I90" s="441">
        <v>17367.8</v>
      </c>
      <c r="J90" s="441">
        <v>18557.3</v>
      </c>
      <c r="K90" s="441">
        <v>19551.5</v>
      </c>
      <c r="L90" s="441">
        <v>20519.400000000001</v>
      </c>
      <c r="M90" s="838">
        <v>21319.200000000001</v>
      </c>
      <c r="N90" s="441">
        <v>22072.799999999999</v>
      </c>
      <c r="O90" s="441">
        <v>22860.5</v>
      </c>
      <c r="P90" s="441">
        <v>23741.7</v>
      </c>
      <c r="Q90" s="441">
        <v>24698.799999999999</v>
      </c>
      <c r="R90" s="441">
        <v>25739.1</v>
      </c>
      <c r="S90" s="441">
        <v>26824.9</v>
      </c>
      <c r="T90" s="441">
        <v>27957.200000000001</v>
      </c>
      <c r="U90" s="441">
        <v>29140.3</v>
      </c>
      <c r="V90" s="441">
        <v>30362.400000000001</v>
      </c>
    </row>
    <row r="91" spans="4:22" x14ac:dyDescent="0.35">
      <c r="D91" s="773" t="s">
        <v>1909</v>
      </c>
      <c r="E91" s="783">
        <v>2335</v>
      </c>
      <c r="F91" s="783">
        <v>2442</v>
      </c>
      <c r="G91" s="783">
        <v>2392</v>
      </c>
      <c r="H91" s="758">
        <v>2796</v>
      </c>
      <c r="I91" s="783">
        <v>3262.7</v>
      </c>
      <c r="J91" s="783">
        <v>3457.5</v>
      </c>
      <c r="K91" s="783">
        <v>3764.8</v>
      </c>
      <c r="L91" s="783">
        <v>3887.7</v>
      </c>
      <c r="M91" s="829">
        <v>3921.8</v>
      </c>
      <c r="N91" s="441">
        <v>3946.5</v>
      </c>
      <c r="O91" s="441">
        <v>3943.2</v>
      </c>
      <c r="P91" s="441">
        <v>3951.3</v>
      </c>
      <c r="Q91" s="441">
        <v>4036.5</v>
      </c>
      <c r="R91" s="441">
        <v>4193.8</v>
      </c>
      <c r="S91" s="441">
        <v>4390.6000000000004</v>
      </c>
      <c r="T91" s="441">
        <v>4585.7</v>
      </c>
      <c r="U91" s="441">
        <v>4776.3999999999996</v>
      </c>
      <c r="V91" s="441">
        <v>4969</v>
      </c>
    </row>
    <row r="93" spans="4:22" x14ac:dyDescent="0.35">
      <c r="D93" s="249" t="s">
        <v>501</v>
      </c>
    </row>
    <row r="94" spans="4:22" x14ac:dyDescent="0.35">
      <c r="D94" s="617" t="s">
        <v>502</v>
      </c>
      <c r="E94" s="720">
        <v>2018</v>
      </c>
      <c r="F94" s="754">
        <v>2019</v>
      </c>
      <c r="G94" s="754">
        <v>2020</v>
      </c>
      <c r="H94" s="824">
        <v>2021</v>
      </c>
      <c r="I94" s="754">
        <v>2022</v>
      </c>
      <c r="J94" s="754">
        <v>2023</v>
      </c>
      <c r="K94" s="757">
        <v>2024</v>
      </c>
      <c r="L94" s="757">
        <v>2025</v>
      </c>
      <c r="M94" s="821">
        <v>2026</v>
      </c>
    </row>
    <row r="95" spans="4:22" x14ac:dyDescent="0.35">
      <c r="D95" s="847" t="s">
        <v>489</v>
      </c>
      <c r="E95" s="848">
        <f t="shared" ref="E95:M95" si="44">E60/E88</f>
        <v>0.12011187134794987</v>
      </c>
      <c r="F95" s="848">
        <f t="shared" si="44"/>
        <v>0.11763054463784391</v>
      </c>
      <c r="G95" s="848">
        <f t="shared" si="44"/>
        <v>0.10937170746297063</v>
      </c>
      <c r="H95" s="848">
        <f t="shared" si="44"/>
        <v>9.7280409987009472E-2</v>
      </c>
      <c r="I95" s="848">
        <f t="shared" si="44"/>
        <v>0.12094976174393332</v>
      </c>
      <c r="J95" s="848">
        <f t="shared" si="44"/>
        <v>9.417103669089652E-2</v>
      </c>
      <c r="K95" s="848">
        <f t="shared" si="44"/>
        <v>9.9555459805490576E-2</v>
      </c>
      <c r="L95" s="848">
        <f t="shared" si="44"/>
        <v>0.1025475898005649</v>
      </c>
      <c r="M95" s="848">
        <f t="shared" si="44"/>
        <v>0.11069874288186222</v>
      </c>
    </row>
    <row r="96" spans="4:22" x14ac:dyDescent="0.35">
      <c r="D96" s="859" t="s">
        <v>490</v>
      </c>
      <c r="E96" s="807">
        <f t="shared" ref="E96:M97" si="45">E64/E89</f>
        <v>0.13297364834166289</v>
      </c>
      <c r="F96" s="807">
        <f t="shared" si="45"/>
        <v>0.13502008904332718</v>
      </c>
      <c r="G96" s="807">
        <f t="shared" si="45"/>
        <v>0.14086021505376345</v>
      </c>
      <c r="H96" s="807">
        <f t="shared" si="45"/>
        <v>0.13044222312663165</v>
      </c>
      <c r="I96" s="807">
        <f t="shared" si="45"/>
        <v>0.13508828162704087</v>
      </c>
      <c r="J96" s="807">
        <f t="shared" si="45"/>
        <v>0.13956586011048003</v>
      </c>
      <c r="K96" s="807">
        <f t="shared" si="45"/>
        <v>0.13948480619016135</v>
      </c>
      <c r="L96" s="807">
        <f t="shared" si="45"/>
        <v>0.13673856249805616</v>
      </c>
      <c r="M96" s="807">
        <f t="shared" si="45"/>
        <v>0.13652756139179464</v>
      </c>
    </row>
    <row r="97" spans="4:72" x14ac:dyDescent="0.35">
      <c r="D97" s="811" t="s">
        <v>503</v>
      </c>
      <c r="E97" s="807">
        <f t="shared" si="45"/>
        <v>9.8454203987286912E-3</v>
      </c>
      <c r="F97" s="807">
        <f t="shared" si="45"/>
        <v>1.1844754565021176E-2</v>
      </c>
      <c r="G97" s="807">
        <f t="shared" si="45"/>
        <v>1.0985141891416098E-2</v>
      </c>
      <c r="H97" s="807">
        <f t="shared" si="45"/>
        <v>9.9876488411139216E-3</v>
      </c>
      <c r="I97" s="807">
        <f t="shared" si="45"/>
        <v>1.0824629486751345E-2</v>
      </c>
      <c r="J97" s="807">
        <f t="shared" si="45"/>
        <v>8.4139395278407976E-3</v>
      </c>
      <c r="K97" s="807">
        <f t="shared" si="45"/>
        <v>5.3482341508324172E-3</v>
      </c>
      <c r="L97" s="807">
        <f t="shared" si="45"/>
        <v>4.7556946109535356E-3</v>
      </c>
      <c r="M97" s="807">
        <f t="shared" si="45"/>
        <v>4.9128016060640172E-3</v>
      </c>
    </row>
    <row r="98" spans="4:72" x14ac:dyDescent="0.35">
      <c r="D98" s="860" t="s">
        <v>106</v>
      </c>
      <c r="E98" s="777">
        <f t="shared" ref="E98:M98" si="46">E68/E91</f>
        <v>8.7665952890792292E-2</v>
      </c>
      <c r="F98" s="777">
        <f t="shared" si="46"/>
        <v>9.4266994266994267E-2</v>
      </c>
      <c r="G98" s="777">
        <f t="shared" si="46"/>
        <v>8.8628762541806017E-2</v>
      </c>
      <c r="H98" s="777">
        <f t="shared" si="46"/>
        <v>0.13298676680972818</v>
      </c>
      <c r="I98" s="777">
        <f t="shared" si="46"/>
        <v>0.13021945014864991</v>
      </c>
      <c r="J98" s="777">
        <f t="shared" si="46"/>
        <v>0.12135473608098336</v>
      </c>
      <c r="K98" s="777">
        <f t="shared" si="46"/>
        <v>0.14074240331491711</v>
      </c>
      <c r="L98" s="777">
        <f t="shared" si="46"/>
        <v>0.1347020088998637</v>
      </c>
      <c r="M98" s="777">
        <f t="shared" si="46"/>
        <v>0.12625503595287876</v>
      </c>
    </row>
    <row r="100" spans="4:72" x14ac:dyDescent="0.35">
      <c r="D100" s="249" t="s">
        <v>504</v>
      </c>
    </row>
    <row r="101" spans="4:72" x14ac:dyDescent="0.35">
      <c r="D101" s="864" t="s">
        <v>351</v>
      </c>
    </row>
    <row r="102" spans="4:72" x14ac:dyDescent="0.35">
      <c r="D102" s="617" t="s">
        <v>505</v>
      </c>
      <c r="E102" s="720">
        <v>2018</v>
      </c>
      <c r="F102" s="754">
        <v>2019</v>
      </c>
      <c r="G102" s="824">
        <v>2020</v>
      </c>
      <c r="H102" s="754">
        <v>2021</v>
      </c>
      <c r="I102" s="754">
        <v>2022</v>
      </c>
      <c r="J102" s="754">
        <v>2023</v>
      </c>
      <c r="K102" s="757">
        <v>2024</v>
      </c>
      <c r="L102" s="757">
        <v>2025</v>
      </c>
      <c r="M102" s="821">
        <v>2026</v>
      </c>
    </row>
    <row r="103" spans="4:72" ht="20.25" customHeight="1" x14ac:dyDescent="0.35">
      <c r="D103" s="847" t="s">
        <v>489</v>
      </c>
      <c r="E103" s="848">
        <f t="shared" ref="E103:G106" si="47">E95*E80</f>
        <v>0.11572406018792676</v>
      </c>
      <c r="F103" s="848">
        <f t="shared" si="47"/>
        <v>0.11551471494501581</v>
      </c>
      <c r="G103" s="848">
        <f t="shared" si="47"/>
        <v>0.11640881499255673</v>
      </c>
      <c r="H103" s="848">
        <f>N122</f>
        <v>0.13102202825485806</v>
      </c>
      <c r="I103" s="848">
        <f>H103</f>
        <v>0.13102202825485806</v>
      </c>
      <c r="J103" s="848">
        <f t="shared" ref="J103" si="48">I103</f>
        <v>0.13102202825485806</v>
      </c>
      <c r="K103" s="848">
        <f>J103</f>
        <v>0.13102202825485806</v>
      </c>
      <c r="L103" s="848">
        <f>K103</f>
        <v>0.13102202825485806</v>
      </c>
      <c r="M103" s="849"/>
      <c r="N103" s="861"/>
      <c r="O103" s="807"/>
      <c r="P103" s="807"/>
      <c r="Q103" s="807"/>
      <c r="R103" s="807"/>
      <c r="S103" s="807"/>
      <c r="T103" s="807"/>
      <c r="U103" s="807"/>
      <c r="V103" s="807"/>
      <c r="W103" s="807"/>
      <c r="X103" s="807"/>
      <c r="Y103" s="807"/>
    </row>
    <row r="104" spans="4:72" ht="18.75" customHeight="1" x14ac:dyDescent="0.35">
      <c r="D104" s="859" t="s">
        <v>490</v>
      </c>
      <c r="E104" s="807">
        <f t="shared" si="47"/>
        <v>0.15129486597001363</v>
      </c>
      <c r="F104" s="807">
        <f t="shared" si="47"/>
        <v>0.15072211966554458</v>
      </c>
      <c r="G104" s="807">
        <f t="shared" si="47"/>
        <v>0.15317473118279573</v>
      </c>
      <c r="H104" s="807">
        <f>N124</f>
        <v>0.14952123741713724</v>
      </c>
      <c r="I104" s="807">
        <f>H104</f>
        <v>0.14952123741713724</v>
      </c>
      <c r="J104" s="807">
        <f>I104</f>
        <v>0.14952123741713724</v>
      </c>
      <c r="K104" s="807">
        <f t="shared" ref="K104:L104" si="49">J104</f>
        <v>0.14952123741713724</v>
      </c>
      <c r="L104" s="807">
        <f t="shared" si="49"/>
        <v>0.14952123741713724</v>
      </c>
      <c r="M104" s="850"/>
      <c r="N104" s="861"/>
      <c r="O104" s="807"/>
      <c r="P104" s="807"/>
      <c r="Q104" s="807"/>
      <c r="R104" s="807"/>
      <c r="S104" s="807"/>
      <c r="T104" s="807"/>
      <c r="U104" s="807"/>
      <c r="V104" s="807"/>
      <c r="W104" s="807"/>
      <c r="X104" s="807"/>
      <c r="Y104" s="807"/>
    </row>
    <row r="105" spans="4:72" ht="19.399999999999999" customHeight="1" x14ac:dyDescent="0.35">
      <c r="D105" s="811" t="s">
        <v>105</v>
      </c>
      <c r="E105" s="807">
        <f t="shared" si="47"/>
        <v>1.0835018780699219E-2</v>
      </c>
      <c r="F105" s="807">
        <f t="shared" si="47"/>
        <v>1.2150246476428523E-2</v>
      </c>
      <c r="G105" s="807">
        <f t="shared" si="47"/>
        <v>1.1294979226815015E-2</v>
      </c>
      <c r="H105" s="807">
        <f>N125</f>
        <v>1.1269768922909786E-2</v>
      </c>
      <c r="I105" s="807">
        <f>AVERAGE($F82:$G82)*I97</f>
        <v>1.1116875285095822E-2</v>
      </c>
      <c r="J105" s="807">
        <f>AVERAGE($F82:$G82)*J97</f>
        <v>8.6411009727240216E-3</v>
      </c>
      <c r="K105" s="807">
        <f>J105</f>
        <v>8.6411009727240216E-3</v>
      </c>
      <c r="L105" s="807">
        <f>K105</f>
        <v>8.6411009727240216E-3</v>
      </c>
      <c r="M105" s="850"/>
      <c r="N105" s="861"/>
      <c r="O105" s="807"/>
      <c r="P105" s="807"/>
      <c r="Q105" s="807"/>
      <c r="R105" s="807"/>
      <c r="S105" s="807"/>
      <c r="T105" s="807"/>
      <c r="U105" s="807"/>
      <c r="V105" s="807"/>
      <c r="W105" s="807"/>
      <c r="X105" s="807"/>
      <c r="Y105" s="807"/>
    </row>
    <row r="106" spans="4:72" ht="19.399999999999999" customHeight="1" x14ac:dyDescent="0.35">
      <c r="D106" s="860" t="s">
        <v>106</v>
      </c>
      <c r="E106" s="777">
        <f t="shared" si="47"/>
        <v>8.9079229122055667E-2</v>
      </c>
      <c r="F106" s="777">
        <f t="shared" si="47"/>
        <v>8.9680589680589687E-2</v>
      </c>
      <c r="G106" s="777">
        <f t="shared" si="47"/>
        <v>9.2140468227424749E-2</v>
      </c>
      <c r="H106" s="777">
        <f>M126</f>
        <v>0.11887481034977652</v>
      </c>
      <c r="I106" s="777">
        <f>N126</f>
        <v>0.12443013242636948</v>
      </c>
      <c r="J106" s="777">
        <f>I106</f>
        <v>0.12443013242636948</v>
      </c>
      <c r="K106" s="777">
        <f>J106</f>
        <v>0.12443013242636948</v>
      </c>
      <c r="L106" s="777">
        <f>K106</f>
        <v>0.12443013242636948</v>
      </c>
      <c r="M106" s="851"/>
      <c r="N106" s="861"/>
      <c r="O106" s="807"/>
      <c r="P106" s="807"/>
      <c r="Q106" s="807"/>
      <c r="R106" s="807"/>
      <c r="S106" s="807"/>
      <c r="T106" s="807"/>
      <c r="U106" s="807"/>
      <c r="V106" s="807"/>
      <c r="W106" s="807"/>
      <c r="X106" s="807"/>
      <c r="Y106" s="807"/>
    </row>
    <row r="107" spans="4:72" x14ac:dyDescent="0.35">
      <c r="E107" s="693"/>
      <c r="F107" s="693"/>
      <c r="G107" s="693"/>
      <c r="H107" s="693"/>
      <c r="I107" s="693"/>
      <c r="J107" s="693"/>
      <c r="K107" s="693"/>
      <c r="L107" s="693"/>
    </row>
    <row r="108" spans="4:72" x14ac:dyDescent="0.35">
      <c r="D108" s="863" t="s">
        <v>364</v>
      </c>
      <c r="E108" s="807"/>
      <c r="F108" s="807"/>
      <c r="G108" s="807"/>
      <c r="H108" s="807"/>
      <c r="I108" s="807"/>
      <c r="J108" s="807"/>
      <c r="K108" s="807"/>
      <c r="L108" s="807"/>
      <c r="M108" s="807"/>
      <c r="N108" s="807"/>
      <c r="O108" s="807"/>
      <c r="P108" s="807"/>
      <c r="Q108" s="807"/>
      <c r="R108" s="807"/>
      <c r="S108" s="807"/>
      <c r="T108" s="807"/>
      <c r="U108" s="807"/>
      <c r="V108" s="807"/>
      <c r="W108" s="807"/>
      <c r="X108" s="807"/>
      <c r="Y108" s="807"/>
    </row>
    <row r="109" spans="4:72" x14ac:dyDescent="0.35">
      <c r="D109" s="1410" t="s">
        <v>1968</v>
      </c>
      <c r="E109" s="1427"/>
      <c r="F109" s="1342">
        <v>2019</v>
      </c>
      <c r="G109" s="1343"/>
      <c r="H109" s="1344"/>
      <c r="I109" s="1342">
        <v>2020</v>
      </c>
      <c r="J109" s="1343"/>
      <c r="K109" s="1343"/>
      <c r="L109" s="1344"/>
      <c r="M109" s="1342">
        <v>2021</v>
      </c>
      <c r="N109" s="1343"/>
      <c r="O109" s="1343"/>
      <c r="P109" s="1343"/>
      <c r="Q109" s="1342">
        <v>2022</v>
      </c>
      <c r="R109" s="1354"/>
      <c r="S109" s="1354"/>
      <c r="T109" s="1344"/>
      <c r="U109" s="302"/>
      <c r="V109" s="302">
        <v>2023</v>
      </c>
      <c r="W109" s="442"/>
      <c r="X109" s="309"/>
      <c r="Y109" s="460"/>
      <c r="Z109" s="442">
        <v>2024</v>
      </c>
      <c r="AA109" s="442"/>
      <c r="AB109" s="335"/>
      <c r="AC109" s="1329">
        <v>2025</v>
      </c>
      <c r="AD109" s="1335"/>
      <c r="AE109" s="1335"/>
      <c r="AF109" s="1334"/>
      <c r="AG109" s="1329">
        <v>2026</v>
      </c>
      <c r="AH109" s="1335"/>
      <c r="AI109" s="1335"/>
      <c r="AJ109" s="1334"/>
      <c r="AK109" s="1329">
        <v>2027</v>
      </c>
      <c r="AL109" s="1335"/>
      <c r="AM109" s="1335"/>
      <c r="AN109" s="1334"/>
    </row>
    <row r="110" spans="4:72" x14ac:dyDescent="0.35">
      <c r="D110" s="1428"/>
      <c r="E110" s="1429"/>
      <c r="F110" s="225" t="s">
        <v>283</v>
      </c>
      <c r="G110" s="226" t="s">
        <v>238</v>
      </c>
      <c r="H110" s="232" t="s">
        <v>281</v>
      </c>
      <c r="I110" s="225" t="s">
        <v>282</v>
      </c>
      <c r="J110" s="226" t="s">
        <v>283</v>
      </c>
      <c r="K110" s="226" t="s">
        <v>238</v>
      </c>
      <c r="L110" s="232" t="s">
        <v>281</v>
      </c>
      <c r="M110" s="225" t="s">
        <v>282</v>
      </c>
      <c r="N110" s="226" t="s">
        <v>283</v>
      </c>
      <c r="O110" s="226" t="s">
        <v>238</v>
      </c>
      <c r="P110" s="226" t="s">
        <v>281</v>
      </c>
      <c r="Q110" s="225" t="s">
        <v>282</v>
      </c>
      <c r="R110" s="226" t="s">
        <v>283</v>
      </c>
      <c r="S110" s="226" t="s">
        <v>238</v>
      </c>
      <c r="T110" s="232" t="s">
        <v>281</v>
      </c>
      <c r="U110" s="226" t="s">
        <v>282</v>
      </c>
      <c r="V110" s="287" t="s">
        <v>283</v>
      </c>
      <c r="W110" s="287" t="s">
        <v>238</v>
      </c>
      <c r="X110" s="285" t="s">
        <v>281</v>
      </c>
      <c r="Y110" s="286" t="s">
        <v>282</v>
      </c>
      <c r="Z110" s="292" t="s">
        <v>283</v>
      </c>
      <c r="AA110" s="287" t="s">
        <v>238</v>
      </c>
      <c r="AB110" s="273" t="s">
        <v>281</v>
      </c>
      <c r="AC110" s="299" t="s">
        <v>282</v>
      </c>
      <c r="AD110" s="271" t="s">
        <v>283</v>
      </c>
      <c r="AE110" s="273" t="s">
        <v>238</v>
      </c>
      <c r="AF110" s="273" t="s">
        <v>281</v>
      </c>
      <c r="AG110" s="299" t="s">
        <v>282</v>
      </c>
      <c r="AH110" s="271" t="s">
        <v>283</v>
      </c>
      <c r="AI110" s="273" t="s">
        <v>238</v>
      </c>
      <c r="AJ110" s="301" t="s">
        <v>281</v>
      </c>
      <c r="AK110" s="299" t="s">
        <v>282</v>
      </c>
      <c r="AL110" s="271" t="s">
        <v>283</v>
      </c>
      <c r="AM110" s="273" t="s">
        <v>238</v>
      </c>
      <c r="AN110" s="301" t="s">
        <v>281</v>
      </c>
    </row>
    <row r="111" spans="4:72" x14ac:dyDescent="0.35">
      <c r="D111" s="867" t="s">
        <v>498</v>
      </c>
      <c r="E111" s="759"/>
      <c r="F111" s="378">
        <f t="shared" ref="F111:AN111" si="50">F112+F113</f>
        <v>0</v>
      </c>
      <c r="G111" s="378">
        <f t="shared" si="50"/>
        <v>0</v>
      </c>
      <c r="H111" s="378">
        <f t="shared" si="50"/>
        <v>0</v>
      </c>
      <c r="I111" s="378">
        <f t="shared" si="50"/>
        <v>15134.800000000001</v>
      </c>
      <c r="J111" s="378">
        <f t="shared" si="50"/>
        <v>14265.5</v>
      </c>
      <c r="K111" s="378">
        <f t="shared" si="50"/>
        <v>14943.5</v>
      </c>
      <c r="L111" s="378">
        <f t="shared" si="50"/>
        <v>15319.300000000001</v>
      </c>
      <c r="M111" s="378">
        <f t="shared" si="50"/>
        <v>15399.800000000001</v>
      </c>
      <c r="N111" s="378">
        <f t="shared" si="50"/>
        <v>15959.6</v>
      </c>
      <c r="O111" s="378">
        <f t="shared" si="50"/>
        <v>16325.6</v>
      </c>
      <c r="P111" s="378">
        <f t="shared" si="50"/>
        <v>16677.3</v>
      </c>
      <c r="Q111" s="378">
        <f t="shared" si="50"/>
        <v>16874</v>
      </c>
      <c r="R111" s="378">
        <f t="shared" si="50"/>
        <v>17129</v>
      </c>
      <c r="S111" s="378">
        <f t="shared" si="50"/>
        <v>17573.3</v>
      </c>
      <c r="T111" s="883">
        <f t="shared" si="50"/>
        <v>17787.8</v>
      </c>
      <c r="U111" s="378">
        <f t="shared" si="50"/>
        <v>18108.900000000001</v>
      </c>
      <c r="V111" s="378">
        <f t="shared" si="50"/>
        <v>18368.099999999999</v>
      </c>
      <c r="W111" s="378">
        <f>W112+W113</f>
        <v>18609.7</v>
      </c>
      <c r="X111" s="378">
        <f t="shared" si="50"/>
        <v>18858.199999999997</v>
      </c>
      <c r="Y111" s="378">
        <f t="shared" si="50"/>
        <v>19208.2</v>
      </c>
      <c r="Z111" s="378">
        <f t="shared" si="50"/>
        <v>19348.900000000001</v>
      </c>
      <c r="AA111" s="378">
        <f>AA112+AA113</f>
        <v>19461.599999999999</v>
      </c>
      <c r="AB111" s="762">
        <f t="shared" si="50"/>
        <v>19750.7</v>
      </c>
      <c r="AC111" s="762">
        <f t="shared" si="50"/>
        <v>20062.900000000001</v>
      </c>
      <c r="AD111" s="762">
        <f t="shared" si="50"/>
        <v>20347.099999999999</v>
      </c>
      <c r="AE111" s="762">
        <f t="shared" si="50"/>
        <v>20591.8</v>
      </c>
      <c r="AF111" s="762">
        <f t="shared" si="50"/>
        <v>20843.599999999999</v>
      </c>
      <c r="AG111" s="762">
        <f t="shared" si="50"/>
        <v>21079</v>
      </c>
      <c r="AH111" s="761">
        <f t="shared" si="50"/>
        <v>21305.200000000001</v>
      </c>
      <c r="AI111" s="761">
        <f t="shared" si="50"/>
        <v>21531.199999999997</v>
      </c>
      <c r="AJ111" s="761">
        <f t="shared" si="50"/>
        <v>21754.199999999997</v>
      </c>
      <c r="AK111" s="761">
        <f t="shared" si="50"/>
        <v>21986.5</v>
      </c>
      <c r="AL111" s="761">
        <f t="shared" si="50"/>
        <v>22217.4</v>
      </c>
      <c r="AM111" s="761">
        <f t="shared" si="50"/>
        <v>22453.9</v>
      </c>
      <c r="AN111" s="761">
        <f t="shared" si="50"/>
        <v>22696.2</v>
      </c>
    </row>
    <row r="112" spans="4:72" x14ac:dyDescent="0.35">
      <c r="D112" s="683" t="s">
        <v>499</v>
      </c>
      <c r="E112" s="613"/>
      <c r="F112" s="441"/>
      <c r="G112" s="441"/>
      <c r="H112" s="441"/>
      <c r="I112" s="238">
        <v>9624.7000000000007</v>
      </c>
      <c r="J112" s="462">
        <v>8995.7000000000007</v>
      </c>
      <c r="K112" s="462">
        <v>9425.4</v>
      </c>
      <c r="L112" s="462">
        <v>9783.7000000000007</v>
      </c>
      <c r="M112" s="462">
        <v>9878.7000000000007</v>
      </c>
      <c r="N112" s="462">
        <v>10170</v>
      </c>
      <c r="O112" s="462">
        <v>10447.700000000001</v>
      </c>
      <c r="P112" s="462">
        <v>10754.1</v>
      </c>
      <c r="Q112" s="462">
        <v>10892.8</v>
      </c>
      <c r="R112" s="462">
        <v>10995.9</v>
      </c>
      <c r="S112" s="462">
        <v>11278.9</v>
      </c>
      <c r="T112" s="462">
        <v>11325</v>
      </c>
      <c r="U112" s="462">
        <v>11480.7</v>
      </c>
      <c r="V112" s="462">
        <v>11641</v>
      </c>
      <c r="W112" s="462">
        <v>11824</v>
      </c>
      <c r="X112" s="462">
        <v>11955.3</v>
      </c>
      <c r="Y112" s="462">
        <v>12251</v>
      </c>
      <c r="Z112" s="462">
        <v>12343</v>
      </c>
      <c r="AA112" s="462">
        <v>12457.6</v>
      </c>
      <c r="AB112" s="674">
        <v>12613.1</v>
      </c>
      <c r="AC112" s="674">
        <v>12784.3</v>
      </c>
      <c r="AD112" s="674">
        <v>12944.6</v>
      </c>
      <c r="AE112" s="674">
        <v>13103</v>
      </c>
      <c r="AF112" s="674">
        <v>13259.9</v>
      </c>
      <c r="AG112" s="674">
        <v>13408.7</v>
      </c>
      <c r="AH112" s="229">
        <v>13552.4</v>
      </c>
      <c r="AI112" s="229">
        <v>13694.8</v>
      </c>
      <c r="AJ112" s="229">
        <v>13834.8</v>
      </c>
      <c r="AK112">
        <v>13978</v>
      </c>
      <c r="AL112">
        <v>14122.6</v>
      </c>
      <c r="AM112">
        <v>14269.5</v>
      </c>
      <c r="AN112">
        <v>14417.7</v>
      </c>
      <c r="AO112">
        <v>14568.8</v>
      </c>
      <c r="AP112">
        <v>14720.6</v>
      </c>
      <c r="AQ112">
        <v>14873.1</v>
      </c>
      <c r="AR112">
        <v>15023</v>
      </c>
      <c r="AS112">
        <v>15175.6</v>
      </c>
      <c r="AT112">
        <v>15328.8</v>
      </c>
      <c r="AU112">
        <v>15482.1</v>
      </c>
      <c r="AV112">
        <v>15630.6</v>
      </c>
      <c r="AW112">
        <v>15784.3</v>
      </c>
      <c r="AX112">
        <v>15938.8</v>
      </c>
      <c r="AY112">
        <v>16094.2</v>
      </c>
      <c r="AZ112">
        <v>16245.7</v>
      </c>
      <c r="BA112">
        <v>16403.3</v>
      </c>
      <c r="BB112">
        <v>16562.099999999999</v>
      </c>
      <c r="BC112">
        <v>16722.099999999999</v>
      </c>
      <c r="BD112">
        <v>16878.099999999999</v>
      </c>
      <c r="BE112">
        <v>17040.8</v>
      </c>
      <c r="BF112">
        <v>17203.900000000001</v>
      </c>
      <c r="BG112">
        <v>17367.599999999999</v>
      </c>
      <c r="BH112">
        <v>17525.2</v>
      </c>
      <c r="BI112">
        <v>17689.599999999999</v>
      </c>
      <c r="BJ112">
        <v>17856.900000000001</v>
      </c>
      <c r="BK112">
        <v>18026</v>
      </c>
      <c r="BL112">
        <v>18191.8</v>
      </c>
      <c r="BM112">
        <v>18363.7</v>
      </c>
      <c r="BN112">
        <v>18536.5</v>
      </c>
      <c r="BO112">
        <v>18710.3</v>
      </c>
      <c r="BP112">
        <v>18885.3</v>
      </c>
      <c r="BQ112">
        <v>19061.5</v>
      </c>
      <c r="BR112">
        <v>19239.3</v>
      </c>
      <c r="BS112">
        <v>19419.2</v>
      </c>
      <c r="BT112">
        <v>19601.3</v>
      </c>
    </row>
    <row r="113" spans="4:72" x14ac:dyDescent="0.35">
      <c r="D113" s="275" t="s">
        <v>890</v>
      </c>
      <c r="E113" s="576"/>
      <c r="F113" s="441"/>
      <c r="G113" s="441"/>
      <c r="H113" s="441"/>
      <c r="I113" s="462">
        <v>5510.1</v>
      </c>
      <c r="J113" s="462">
        <v>5269.8</v>
      </c>
      <c r="K113" s="462">
        <v>5518.1</v>
      </c>
      <c r="L113" s="462">
        <v>5535.6</v>
      </c>
      <c r="M113" s="462">
        <v>5521.1</v>
      </c>
      <c r="N113" s="462">
        <v>5789.6</v>
      </c>
      <c r="O113" s="462">
        <v>5877.9</v>
      </c>
      <c r="P113" s="462">
        <v>5923.2</v>
      </c>
      <c r="Q113" s="462">
        <v>5981.2</v>
      </c>
      <c r="R113" s="462">
        <v>6133.1</v>
      </c>
      <c r="S113" s="462">
        <v>6294.4</v>
      </c>
      <c r="T113" s="462">
        <v>6462.8</v>
      </c>
      <c r="U113" s="462">
        <v>6628.2</v>
      </c>
      <c r="V113" s="462">
        <v>6727.1</v>
      </c>
      <c r="W113" s="462">
        <v>6785.7</v>
      </c>
      <c r="X113" s="462">
        <v>6902.9</v>
      </c>
      <c r="Y113" s="462">
        <v>6957.2</v>
      </c>
      <c r="Z113" s="462">
        <v>7005.9</v>
      </c>
      <c r="AA113" s="462">
        <v>7004</v>
      </c>
      <c r="AB113" s="674">
        <v>7137.6</v>
      </c>
      <c r="AC113" s="674">
        <v>7278.6</v>
      </c>
      <c r="AD113" s="674">
        <v>7402.5</v>
      </c>
      <c r="AE113" s="674">
        <v>7488.8</v>
      </c>
      <c r="AF113" s="674">
        <v>7583.7</v>
      </c>
      <c r="AG113" s="674">
        <v>7670.3</v>
      </c>
      <c r="AH113" s="229">
        <v>7752.8</v>
      </c>
      <c r="AI113" s="229">
        <v>7836.4</v>
      </c>
      <c r="AJ113" s="229">
        <v>7919.4</v>
      </c>
      <c r="AK113">
        <v>8008.5</v>
      </c>
      <c r="AL113">
        <v>8094.8</v>
      </c>
      <c r="AM113">
        <v>8184.4</v>
      </c>
      <c r="AN113">
        <v>8278.5</v>
      </c>
      <c r="AO113">
        <v>8381</v>
      </c>
      <c r="AP113">
        <v>8484.2999999999993</v>
      </c>
      <c r="AQ113">
        <v>8587.9</v>
      </c>
      <c r="AR113">
        <v>8689.6</v>
      </c>
      <c r="AS113">
        <v>8790</v>
      </c>
      <c r="AT113">
        <v>8887.1</v>
      </c>
      <c r="AU113">
        <v>8983.2000000000007</v>
      </c>
      <c r="AV113">
        <v>9079.1</v>
      </c>
      <c r="AW113">
        <v>9175.2999999999993</v>
      </c>
      <c r="AX113">
        <v>9270.2999999999993</v>
      </c>
      <c r="AY113">
        <v>9364.2999999999993</v>
      </c>
      <c r="AZ113">
        <v>9459.7999999999993</v>
      </c>
      <c r="BA113">
        <v>9539.6</v>
      </c>
      <c r="BB113">
        <v>9624.2000000000007</v>
      </c>
      <c r="BC113">
        <v>9707.2999999999993</v>
      </c>
      <c r="BD113">
        <v>9809.1</v>
      </c>
      <c r="BE113">
        <v>9898.9</v>
      </c>
      <c r="BF113">
        <v>9994.7999999999993</v>
      </c>
      <c r="BG113">
        <v>10090.700000000001</v>
      </c>
      <c r="BH113">
        <v>10185.200000000001</v>
      </c>
      <c r="BI113">
        <v>10278.9</v>
      </c>
      <c r="BJ113">
        <v>10371</v>
      </c>
      <c r="BK113">
        <v>10463</v>
      </c>
      <c r="BL113">
        <v>10568.7</v>
      </c>
      <c r="BM113">
        <v>10678.3</v>
      </c>
      <c r="BN113">
        <v>10787.6</v>
      </c>
      <c r="BO113">
        <v>10896.9</v>
      </c>
      <c r="BP113">
        <v>11005</v>
      </c>
      <c r="BQ113">
        <v>11113.9</v>
      </c>
      <c r="BR113">
        <v>11223.1</v>
      </c>
      <c r="BS113">
        <v>11332.5</v>
      </c>
      <c r="BT113">
        <v>11442.4</v>
      </c>
    </row>
    <row r="114" spans="4:72" x14ac:dyDescent="0.35">
      <c r="D114" s="275" t="s">
        <v>500</v>
      </c>
      <c r="E114" s="576"/>
      <c r="F114" s="441"/>
      <c r="G114" s="441"/>
      <c r="H114" s="441"/>
      <c r="I114" s="462">
        <v>14440.2</v>
      </c>
      <c r="J114" s="462">
        <v>13049.8</v>
      </c>
      <c r="K114" s="462">
        <v>14388.7</v>
      </c>
      <c r="L114" s="462">
        <v>14586</v>
      </c>
      <c r="M114" s="462">
        <v>15217.7</v>
      </c>
      <c r="N114" s="462">
        <v>15950.9</v>
      </c>
      <c r="O114" s="462">
        <v>16285.1</v>
      </c>
      <c r="P114" s="462">
        <v>16718.2</v>
      </c>
      <c r="Q114" s="462">
        <v>17175.099999999999</v>
      </c>
      <c r="R114" s="462">
        <v>17603.8</v>
      </c>
      <c r="S114" s="462">
        <v>17876.2</v>
      </c>
      <c r="T114" s="462">
        <v>18108.3</v>
      </c>
      <c r="U114" s="462">
        <v>18506.2</v>
      </c>
      <c r="V114" s="462">
        <v>18685.7</v>
      </c>
      <c r="W114" s="462">
        <v>18929</v>
      </c>
      <c r="X114" s="462">
        <v>19170.2</v>
      </c>
      <c r="Y114" s="462">
        <v>19424.8</v>
      </c>
      <c r="Z114" s="462">
        <v>19682.7</v>
      </c>
      <c r="AA114" s="462">
        <v>19928.2</v>
      </c>
      <c r="AB114" s="674">
        <v>20185.7</v>
      </c>
      <c r="AC114" s="674">
        <v>20403.099999999999</v>
      </c>
      <c r="AD114" s="674">
        <v>20642.2</v>
      </c>
      <c r="AE114" s="674">
        <v>20846.8</v>
      </c>
      <c r="AF114" s="674">
        <v>21044.3</v>
      </c>
      <c r="AG114" s="674">
        <v>21224.400000000001</v>
      </c>
      <c r="AH114" s="229">
        <v>21419</v>
      </c>
      <c r="AI114" s="229">
        <v>21589.1</v>
      </c>
      <c r="AJ114" s="229">
        <v>21781.8</v>
      </c>
      <c r="AK114">
        <v>21986.799999999999</v>
      </c>
      <c r="AL114">
        <v>22169.7</v>
      </c>
      <c r="AM114">
        <v>22353.1</v>
      </c>
      <c r="AN114">
        <v>22549.7</v>
      </c>
      <c r="AO114">
        <v>22756.3</v>
      </c>
      <c r="AP114">
        <v>22960.5</v>
      </c>
      <c r="AQ114">
        <v>23175.7</v>
      </c>
      <c r="AR114">
        <v>23394.799999999999</v>
      </c>
      <c r="AS114">
        <v>23623.8</v>
      </c>
      <c r="AT114">
        <v>23858.3</v>
      </c>
      <c r="AU114">
        <v>24089.9</v>
      </c>
      <c r="AV114">
        <v>24324.3</v>
      </c>
      <c r="AW114">
        <v>24567.4</v>
      </c>
      <c r="AX114">
        <v>24824.5</v>
      </c>
      <c r="AY114">
        <v>25079.200000000001</v>
      </c>
      <c r="AZ114">
        <v>25340.7</v>
      </c>
      <c r="BA114">
        <v>25603</v>
      </c>
      <c r="BB114">
        <v>25871.9</v>
      </c>
      <c r="BC114">
        <v>26140.7</v>
      </c>
      <c r="BD114">
        <v>26411.5</v>
      </c>
      <c r="BE114">
        <v>26684.9</v>
      </c>
      <c r="BF114">
        <v>26961.599999999999</v>
      </c>
      <c r="BG114">
        <v>27241.4</v>
      </c>
      <c r="BH114">
        <v>27524.400000000001</v>
      </c>
      <c r="BI114">
        <v>27809.7</v>
      </c>
      <c r="BJ114">
        <v>28100.3</v>
      </c>
      <c r="BK114">
        <v>28394.3</v>
      </c>
      <c r="BL114">
        <v>28690.400000000001</v>
      </c>
      <c r="BM114">
        <v>28988.400000000001</v>
      </c>
      <c r="BN114">
        <v>29289</v>
      </c>
      <c r="BO114">
        <v>29593.3</v>
      </c>
      <c r="BP114">
        <v>29899.7</v>
      </c>
      <c r="BQ114">
        <v>30207</v>
      </c>
      <c r="BR114">
        <v>30516</v>
      </c>
      <c r="BS114">
        <v>30827</v>
      </c>
      <c r="BT114">
        <v>31138.6</v>
      </c>
    </row>
    <row r="115" spans="4:72" x14ac:dyDescent="0.35">
      <c r="D115" s="719" t="s">
        <v>1913</v>
      </c>
      <c r="E115" s="587"/>
      <c r="F115" s="587"/>
      <c r="G115" s="587"/>
      <c r="H115" s="783"/>
      <c r="I115" s="764">
        <v>1736.3</v>
      </c>
      <c r="J115" s="764">
        <v>1597.1</v>
      </c>
      <c r="K115" s="764">
        <v>2041.1</v>
      </c>
      <c r="L115" s="764">
        <v>1947.4</v>
      </c>
      <c r="M115" s="764">
        <v>2280.4</v>
      </c>
      <c r="N115" s="764">
        <v>2580</v>
      </c>
      <c r="O115" s="764">
        <v>2541.1</v>
      </c>
      <c r="P115" s="764">
        <v>2555</v>
      </c>
      <c r="Q115" s="764">
        <v>2738.7</v>
      </c>
      <c r="R115" s="764">
        <v>2876.9</v>
      </c>
      <c r="S115" s="764">
        <v>2950.7</v>
      </c>
      <c r="T115" s="764">
        <v>2921.1</v>
      </c>
      <c r="U115" s="764">
        <v>2941.2</v>
      </c>
      <c r="V115" s="764">
        <v>2953.4</v>
      </c>
      <c r="W115" s="764">
        <v>3079.7</v>
      </c>
      <c r="X115" s="764">
        <v>3253.6</v>
      </c>
      <c r="Y115" s="764">
        <v>3186.2</v>
      </c>
      <c r="Z115" s="764">
        <v>3337.4</v>
      </c>
      <c r="AA115" s="764">
        <v>3365.5</v>
      </c>
      <c r="AB115" s="765">
        <v>3380.3</v>
      </c>
      <c r="AC115" s="765">
        <v>3389.3</v>
      </c>
      <c r="AD115" s="765">
        <v>3387.9</v>
      </c>
      <c r="AE115" s="765">
        <v>3390.8</v>
      </c>
      <c r="AF115" s="765">
        <v>3389.1</v>
      </c>
      <c r="AG115" s="765">
        <v>3393.2</v>
      </c>
      <c r="AH115" s="229">
        <v>3399.9</v>
      </c>
      <c r="AI115" s="229">
        <v>3396.5</v>
      </c>
      <c r="AJ115" s="229">
        <v>3400.6</v>
      </c>
      <c r="AK115">
        <v>3394.1</v>
      </c>
      <c r="AL115">
        <v>3381.6</v>
      </c>
      <c r="AM115">
        <v>3366.9</v>
      </c>
      <c r="AN115">
        <v>3369.6</v>
      </c>
      <c r="AO115">
        <v>3361.6</v>
      </c>
      <c r="AP115">
        <v>3346.4</v>
      </c>
      <c r="AQ115">
        <v>3335.2</v>
      </c>
      <c r="AR115">
        <v>3336.1</v>
      </c>
      <c r="AS115">
        <v>3337.1</v>
      </c>
      <c r="AT115">
        <v>3344.5</v>
      </c>
      <c r="AU115">
        <v>3352.2</v>
      </c>
      <c r="AV115">
        <v>3375.5</v>
      </c>
      <c r="AW115">
        <v>3396.4</v>
      </c>
      <c r="AX115">
        <v>3426.8</v>
      </c>
      <c r="AY115">
        <v>3446.4</v>
      </c>
      <c r="AZ115">
        <v>3483.8</v>
      </c>
      <c r="BA115">
        <v>3528.1</v>
      </c>
      <c r="BB115">
        <v>3572.6</v>
      </c>
      <c r="BC115">
        <v>3617.2</v>
      </c>
      <c r="BD115">
        <v>3662.1</v>
      </c>
      <c r="BE115">
        <v>3706</v>
      </c>
      <c r="BF115">
        <v>3748</v>
      </c>
      <c r="BG115">
        <v>3786.8</v>
      </c>
      <c r="BH115">
        <v>3835.5</v>
      </c>
      <c r="BI115">
        <v>3873</v>
      </c>
      <c r="BJ115">
        <v>3914.5</v>
      </c>
      <c r="BK115">
        <v>3953.1</v>
      </c>
      <c r="BL115">
        <v>4000.1</v>
      </c>
      <c r="BM115">
        <v>4037.5</v>
      </c>
      <c r="BN115">
        <v>4076.8</v>
      </c>
      <c r="BO115">
        <v>4113.6000000000004</v>
      </c>
      <c r="BP115">
        <v>4158.3999999999996</v>
      </c>
      <c r="BQ115">
        <v>4198.7</v>
      </c>
      <c r="BR115">
        <v>4242.1000000000004</v>
      </c>
      <c r="BS115">
        <v>4282.6000000000004</v>
      </c>
      <c r="BT115">
        <v>4332.1000000000004</v>
      </c>
    </row>
    <row r="116" spans="4:72" ht="18.75" customHeight="1" x14ac:dyDescent="0.35"/>
    <row r="117" spans="4:72" x14ac:dyDescent="0.35">
      <c r="D117" s="868"/>
      <c r="E117" s="613"/>
      <c r="F117" s="613"/>
      <c r="G117" s="613"/>
      <c r="H117" s="441"/>
      <c r="I117" s="441"/>
      <c r="J117" s="441"/>
      <c r="K117" s="441"/>
      <c r="L117" s="441"/>
      <c r="M117" s="441"/>
      <c r="N117" s="441"/>
      <c r="O117" s="441"/>
      <c r="P117" s="441"/>
      <c r="Q117" s="441"/>
      <c r="R117" s="441"/>
      <c r="S117" s="441"/>
      <c r="T117" s="441"/>
      <c r="U117" s="441"/>
      <c r="V117" s="441"/>
      <c r="W117" s="441"/>
      <c r="X117" s="441"/>
      <c r="Y117" s="441"/>
      <c r="Z117" s="841"/>
      <c r="AA117" s="441"/>
      <c r="AB117" s="441"/>
      <c r="AC117" s="441"/>
    </row>
    <row r="118" spans="4:72" x14ac:dyDescent="0.35">
      <c r="D118" s="529"/>
      <c r="AC118" s="56"/>
    </row>
    <row r="119" spans="4:72" x14ac:dyDescent="0.35">
      <c r="D119" s="1410" t="s">
        <v>506</v>
      </c>
      <c r="E119" s="1427"/>
      <c r="F119" s="1342">
        <v>2019</v>
      </c>
      <c r="G119" s="1343"/>
      <c r="H119" s="1344"/>
      <c r="I119" s="1343">
        <v>2020</v>
      </c>
      <c r="J119" s="1343"/>
      <c r="K119" s="1343"/>
      <c r="L119" s="1344"/>
      <c r="M119" s="1342">
        <v>2021</v>
      </c>
      <c r="N119" s="1343"/>
      <c r="O119" s="1343"/>
      <c r="P119" s="1343"/>
      <c r="Q119" s="1342">
        <v>2022</v>
      </c>
      <c r="R119" s="1354"/>
      <c r="S119" s="1354"/>
      <c r="T119" s="1344"/>
      <c r="U119" s="302"/>
      <c r="V119" s="302">
        <v>2023</v>
      </c>
      <c r="W119" s="442"/>
      <c r="X119" s="309"/>
      <c r="Y119" s="1342">
        <v>2024</v>
      </c>
      <c r="Z119" s="1343"/>
      <c r="AA119" s="1343"/>
      <c r="AB119" s="1344"/>
      <c r="AC119" s="1329">
        <v>2025</v>
      </c>
      <c r="AD119" s="1335"/>
      <c r="AE119" s="1335"/>
      <c r="AF119" s="1334"/>
      <c r="AG119" s="1329">
        <v>2026</v>
      </c>
      <c r="AH119" s="1335"/>
      <c r="AI119" s="1335"/>
      <c r="AJ119" s="1334"/>
      <c r="AK119" s="1329">
        <v>2027</v>
      </c>
      <c r="AL119" s="1335"/>
      <c r="AM119" s="1335"/>
      <c r="AN119" s="1334"/>
    </row>
    <row r="120" spans="4:72" x14ac:dyDescent="0.35">
      <c r="D120" s="1428"/>
      <c r="E120" s="1429"/>
      <c r="F120" s="225" t="s">
        <v>283</v>
      </c>
      <c r="G120" s="226" t="s">
        <v>238</v>
      </c>
      <c r="H120" s="232" t="s">
        <v>281</v>
      </c>
      <c r="I120" s="226" t="s">
        <v>282</v>
      </c>
      <c r="J120" s="226" t="s">
        <v>283</v>
      </c>
      <c r="K120" s="226" t="s">
        <v>238</v>
      </c>
      <c r="L120" s="232" t="s">
        <v>281</v>
      </c>
      <c r="M120" s="225" t="s">
        <v>282</v>
      </c>
      <c r="N120" s="226" t="s">
        <v>283</v>
      </c>
      <c r="O120" s="226" t="s">
        <v>238</v>
      </c>
      <c r="P120" s="226" t="s">
        <v>281</v>
      </c>
      <c r="Q120" s="225" t="s">
        <v>282</v>
      </c>
      <c r="R120" s="226" t="s">
        <v>283</v>
      </c>
      <c r="S120" s="226" t="s">
        <v>238</v>
      </c>
      <c r="T120" s="232" t="s">
        <v>281</v>
      </c>
      <c r="U120" s="225" t="s">
        <v>282</v>
      </c>
      <c r="V120" s="287" t="s">
        <v>283</v>
      </c>
      <c r="W120" s="287" t="s">
        <v>238</v>
      </c>
      <c r="X120" s="285" t="s">
        <v>281</v>
      </c>
      <c r="Y120" s="286" t="s">
        <v>282</v>
      </c>
      <c r="Z120" s="292" t="s">
        <v>283</v>
      </c>
      <c r="AA120" s="287" t="s">
        <v>238</v>
      </c>
      <c r="AB120" s="287" t="s">
        <v>281</v>
      </c>
      <c r="AC120" s="286" t="s">
        <v>282</v>
      </c>
      <c r="AD120" s="271" t="s">
        <v>283</v>
      </c>
      <c r="AE120" s="273" t="s">
        <v>238</v>
      </c>
      <c r="AF120" s="273" t="s">
        <v>281</v>
      </c>
      <c r="AG120" s="299" t="s">
        <v>282</v>
      </c>
      <c r="AH120" s="271" t="s">
        <v>283</v>
      </c>
      <c r="AI120" s="273" t="s">
        <v>238</v>
      </c>
      <c r="AJ120" s="301" t="s">
        <v>281</v>
      </c>
      <c r="AK120" s="299" t="s">
        <v>282</v>
      </c>
      <c r="AL120" s="271" t="s">
        <v>283</v>
      </c>
      <c r="AM120" s="273" t="s">
        <v>238</v>
      </c>
      <c r="AN120" s="301" t="s">
        <v>281</v>
      </c>
    </row>
    <row r="121" spans="4:72" x14ac:dyDescent="0.35">
      <c r="D121" s="1430" t="s">
        <v>507</v>
      </c>
      <c r="E121" s="1431"/>
      <c r="F121" s="260"/>
      <c r="G121" s="320"/>
      <c r="H121" s="320"/>
      <c r="I121" s="320"/>
      <c r="J121" s="320"/>
      <c r="K121" s="320"/>
      <c r="L121" s="320"/>
      <c r="M121" s="320"/>
      <c r="N121" s="320"/>
      <c r="O121" s="320"/>
      <c r="P121" s="320"/>
      <c r="Q121" s="320"/>
      <c r="R121" s="320"/>
      <c r="S121" s="320"/>
      <c r="T121" s="288"/>
      <c r="U121" s="320"/>
      <c r="V121" s="320"/>
      <c r="W121" s="288"/>
      <c r="X121" s="288"/>
      <c r="Y121" s="288"/>
      <c r="Z121" s="288"/>
      <c r="AA121" s="288"/>
      <c r="AB121" s="288"/>
      <c r="AC121" s="320"/>
    </row>
    <row r="122" spans="4:72" x14ac:dyDescent="0.35">
      <c r="D122" s="535" t="s">
        <v>480</v>
      </c>
      <c r="F122" s="784"/>
      <c r="G122" s="807"/>
      <c r="H122" s="807">
        <f t="shared" ref="H122:AD122" si="51">H10/H129</f>
        <v>0.11784269540900824</v>
      </c>
      <c r="I122" s="807">
        <f t="shared" si="51"/>
        <v>0.11798949979497039</v>
      </c>
      <c r="J122" s="807">
        <f t="shared" si="51"/>
        <v>0.11557617083128487</v>
      </c>
      <c r="K122" s="807">
        <f t="shared" si="51"/>
        <v>0.11769489871298738</v>
      </c>
      <c r="L122" s="807">
        <f t="shared" si="51"/>
        <v>0.12162864264434113</v>
      </c>
      <c r="M122" s="807">
        <f t="shared" si="51"/>
        <v>0.12929672515912594</v>
      </c>
      <c r="N122" s="807">
        <f t="shared" si="51"/>
        <v>0.13102202825485806</v>
      </c>
      <c r="O122" s="807">
        <f t="shared" si="51"/>
        <v>0.13305175527193708</v>
      </c>
      <c r="P122" s="807">
        <f t="shared" si="51"/>
        <v>0.13449158829300981</v>
      </c>
      <c r="Q122" s="807">
        <f t="shared" si="51"/>
        <v>0.15377510967444011</v>
      </c>
      <c r="R122" s="807">
        <f t="shared" si="51"/>
        <v>0.15188876770810855</v>
      </c>
      <c r="S122" s="805">
        <f t="shared" si="51"/>
        <v>0.14941502848112062</v>
      </c>
      <c r="T122" s="805">
        <f t="shared" si="51"/>
        <v>0.14577752318051879</v>
      </c>
      <c r="U122" s="805">
        <f t="shared" si="51"/>
        <v>0.12446834919321474</v>
      </c>
      <c r="V122" s="805">
        <f t="shared" si="51"/>
        <v>0.12219170632222978</v>
      </c>
      <c r="W122" s="805">
        <f t="shared" si="51"/>
        <v>0.12134111319265888</v>
      </c>
      <c r="X122" s="805">
        <f t="shared" si="51"/>
        <v>0.1208907628905298</v>
      </c>
      <c r="Y122" s="805">
        <f t="shared" si="51"/>
        <v>0.12253611957686264</v>
      </c>
      <c r="Z122" s="805">
        <f t="shared" si="51"/>
        <v>0.12263673629539379</v>
      </c>
      <c r="AA122" s="805">
        <f t="shared" si="51"/>
        <v>0.12343372904991996</v>
      </c>
      <c r="AB122" s="805">
        <f t="shared" si="51"/>
        <v>0.12426245823558683</v>
      </c>
      <c r="AC122" s="805">
        <f t="shared" si="51"/>
        <v>0.12610950083745373</v>
      </c>
      <c r="AD122" s="805">
        <f t="shared" si="51"/>
        <v>0.12696999686690305</v>
      </c>
      <c r="AE122" s="806">
        <f t="shared" ref="AE122:AF122" si="52">AD122+AE123</f>
        <v>0.12696999686690305</v>
      </c>
      <c r="AF122" s="806">
        <f t="shared" si="52"/>
        <v>0.12696999686690305</v>
      </c>
      <c r="AG122" s="806">
        <f>AF122+AG123</f>
        <v>0.12696999686690305</v>
      </c>
      <c r="AH122" s="806">
        <f t="shared" ref="AH122:AN122" si="53">AG122+AH123</f>
        <v>0.12696999686690305</v>
      </c>
      <c r="AI122" s="806">
        <f t="shared" si="53"/>
        <v>0.12696999686690305</v>
      </c>
      <c r="AJ122" s="806">
        <f t="shared" si="53"/>
        <v>0.12696999686690305</v>
      </c>
      <c r="AK122" s="806">
        <f t="shared" si="53"/>
        <v>0.12696999686690305</v>
      </c>
      <c r="AL122" s="806">
        <f t="shared" si="53"/>
        <v>0.12696999686690305</v>
      </c>
      <c r="AM122" s="806">
        <f t="shared" si="53"/>
        <v>0.12696999686690305</v>
      </c>
      <c r="AN122" s="806">
        <f t="shared" si="53"/>
        <v>0.12696999686690305</v>
      </c>
    </row>
    <row r="123" spans="4:72" x14ac:dyDescent="0.35">
      <c r="D123" s="535" t="s">
        <v>887</v>
      </c>
      <c r="F123" s="784"/>
      <c r="G123" s="807"/>
      <c r="H123" s="807"/>
      <c r="I123" s="807"/>
      <c r="J123" s="807"/>
      <c r="K123" s="807"/>
      <c r="L123" s="807"/>
      <c r="M123" s="807"/>
      <c r="N123" s="807"/>
      <c r="O123" s="807"/>
      <c r="P123" s="807"/>
      <c r="Q123" s="807"/>
      <c r="R123" s="807"/>
      <c r="S123" s="805"/>
      <c r="T123" s="805"/>
      <c r="U123" s="805"/>
      <c r="V123" s="805"/>
      <c r="W123" s="807"/>
      <c r="X123" s="807"/>
      <c r="Y123" s="806"/>
      <c r="Z123" s="806"/>
      <c r="AA123" s="806"/>
      <c r="AB123" s="806"/>
      <c r="AC123" s="806"/>
      <c r="AD123" s="806"/>
      <c r="AE123" s="806"/>
      <c r="AF123" s="806"/>
      <c r="AG123" s="806"/>
      <c r="AH123" s="806"/>
      <c r="AI123" s="806"/>
      <c r="AJ123" s="806"/>
      <c r="AK123" s="806"/>
      <c r="AL123" s="806"/>
      <c r="AM123" s="806"/>
      <c r="AN123" s="806"/>
    </row>
    <row r="124" spans="4:72" x14ac:dyDescent="0.35">
      <c r="D124" s="535" t="s">
        <v>481</v>
      </c>
      <c r="F124" s="784"/>
      <c r="G124" s="807"/>
      <c r="H124" s="807">
        <f t="shared" ref="H124:AD124" si="54">H13/H134</f>
        <v>0.15051429053199564</v>
      </c>
      <c r="I124" s="807">
        <f t="shared" si="54"/>
        <v>0.15080163959943962</v>
      </c>
      <c r="J124" s="807">
        <f t="shared" si="54"/>
        <v>0.15365395933505827</v>
      </c>
      <c r="K124" s="807">
        <f t="shared" si="54"/>
        <v>0.15177190789891759</v>
      </c>
      <c r="L124" s="807">
        <f t="shared" si="54"/>
        <v>0.14987512105611908</v>
      </c>
      <c r="M124" s="807">
        <f t="shared" si="54"/>
        <v>0.15037715626200734</v>
      </c>
      <c r="N124" s="807">
        <f t="shared" si="54"/>
        <v>0.14952123741713724</v>
      </c>
      <c r="O124" s="807">
        <f t="shared" si="54"/>
        <v>0.14900409068318232</v>
      </c>
      <c r="P124" s="807">
        <f t="shared" si="54"/>
        <v>0.14885815076123282</v>
      </c>
      <c r="Q124" s="807">
        <f t="shared" si="54"/>
        <v>0.15059075868264021</v>
      </c>
      <c r="R124" s="807">
        <f t="shared" si="54"/>
        <v>0.15126805836791402</v>
      </c>
      <c r="S124" s="805">
        <f t="shared" si="54"/>
        <v>0.1516602781441711</v>
      </c>
      <c r="T124" s="805">
        <f t="shared" si="54"/>
        <v>0.15250681030758786</v>
      </c>
      <c r="U124" s="805">
        <f t="shared" si="54"/>
        <v>0.15315714869600761</v>
      </c>
      <c r="V124" s="805">
        <f t="shared" si="54"/>
        <v>0.15350245274604646</v>
      </c>
      <c r="W124" s="805">
        <f t="shared" si="54"/>
        <v>0.15350192088487355</v>
      </c>
      <c r="X124" s="805">
        <f t="shared" si="54"/>
        <v>0.15333099520684071</v>
      </c>
      <c r="Y124" s="805">
        <f t="shared" si="54"/>
        <v>0.15191472369139494</v>
      </c>
      <c r="Z124" s="805">
        <f t="shared" si="54"/>
        <v>0.15120313826990739</v>
      </c>
      <c r="AA124" s="805">
        <f t="shared" si="54"/>
        <v>0.15101689322419939</v>
      </c>
      <c r="AB124" s="805">
        <f t="shared" si="54"/>
        <v>0.15071508893077179</v>
      </c>
      <c r="AC124" s="805">
        <f t="shared" si="54"/>
        <v>0.15127417172973015</v>
      </c>
      <c r="AD124" s="805">
        <f t="shared" si="54"/>
        <v>0.15104589254391049</v>
      </c>
      <c r="AE124" s="806">
        <f t="shared" ref="AE124:AJ125" si="55">AD124</f>
        <v>0.15104589254391049</v>
      </c>
      <c r="AF124" s="806">
        <f t="shared" si="55"/>
        <v>0.15104589254391049</v>
      </c>
      <c r="AG124" s="806">
        <f t="shared" si="55"/>
        <v>0.15104589254391049</v>
      </c>
      <c r="AH124" s="806">
        <f t="shared" si="55"/>
        <v>0.15104589254391049</v>
      </c>
      <c r="AI124" s="806">
        <f t="shared" si="55"/>
        <v>0.15104589254391049</v>
      </c>
      <c r="AJ124" s="806">
        <f>AI124</f>
        <v>0.15104589254391049</v>
      </c>
      <c r="AK124" s="806">
        <f t="shared" ref="AK124:AN125" si="56">AJ124</f>
        <v>0.15104589254391049</v>
      </c>
      <c r="AL124" s="806">
        <f t="shared" si="56"/>
        <v>0.15104589254391049</v>
      </c>
      <c r="AM124" s="806">
        <f t="shared" si="56"/>
        <v>0.15104589254391049</v>
      </c>
      <c r="AN124" s="806">
        <f t="shared" si="56"/>
        <v>0.15104589254391049</v>
      </c>
    </row>
    <row r="125" spans="4:72" x14ac:dyDescent="0.35">
      <c r="D125" s="535" t="s">
        <v>482</v>
      </c>
      <c r="F125" s="784"/>
      <c r="G125" s="807"/>
      <c r="H125" s="807">
        <f t="shared" ref="H125:AD125" si="57">H15/H135</f>
        <v>1.2169240187742332E-2</v>
      </c>
      <c r="I125" s="807">
        <f t="shared" si="57"/>
        <v>1.2699879968543479E-2</v>
      </c>
      <c r="J125" s="807">
        <f t="shared" si="57"/>
        <v>9.8135948268010566E-3</v>
      </c>
      <c r="K125" s="807">
        <f t="shared" si="57"/>
        <v>1.0312197817378091E-2</v>
      </c>
      <c r="L125" s="807">
        <f t="shared" si="57"/>
        <v>1.0757352891335144E-2</v>
      </c>
      <c r="M125" s="807">
        <f t="shared" si="57"/>
        <v>1.0629513611282226E-2</v>
      </c>
      <c r="N125" s="807">
        <f t="shared" si="57"/>
        <v>1.1269768922909786E-2</v>
      </c>
      <c r="O125" s="807">
        <f t="shared" si="57"/>
        <v>1.1232041261557454E-2</v>
      </c>
      <c r="P125" s="807">
        <f t="shared" si="57"/>
        <v>1.1643603451454263E-2</v>
      </c>
      <c r="Q125" s="807">
        <f t="shared" si="57"/>
        <v>1.2058153955435488E-2</v>
      </c>
      <c r="R125" s="807">
        <f t="shared" si="57"/>
        <v>1.1872436632999694E-2</v>
      </c>
      <c r="S125" s="805">
        <f t="shared" si="57"/>
        <v>1.1204842192412258E-2</v>
      </c>
      <c r="T125" s="805">
        <f t="shared" si="57"/>
        <v>1.0492426125036586E-2</v>
      </c>
      <c r="U125" s="805">
        <f t="shared" si="57"/>
        <v>9.7048556699916785E-3</v>
      </c>
      <c r="V125" s="805">
        <f t="shared" si="57"/>
        <v>9.4029123875476964E-3</v>
      </c>
      <c r="W125" s="805">
        <f t="shared" si="57"/>
        <v>9.097152517301494E-3</v>
      </c>
      <c r="X125" s="805">
        <f t="shared" si="57"/>
        <v>8.8261989963589315E-3</v>
      </c>
      <c r="Y125" s="805">
        <f t="shared" si="57"/>
        <v>9.1172109880153229E-3</v>
      </c>
      <c r="Z125" s="805">
        <f t="shared" si="57"/>
        <v>8.7589609149151277E-3</v>
      </c>
      <c r="AA125" s="805">
        <f t="shared" si="57"/>
        <v>9.093006459896481E-3</v>
      </c>
      <c r="AB125" s="805">
        <f t="shared" si="57"/>
        <v>9.0098985460739054E-3</v>
      </c>
      <c r="AC125" s="805">
        <f t="shared" si="57"/>
        <v>9.349220002345858E-3</v>
      </c>
      <c r="AD125" s="805">
        <f t="shared" si="57"/>
        <v>1.760582145158399E-2</v>
      </c>
      <c r="AE125" s="806">
        <f t="shared" si="55"/>
        <v>1.760582145158399E-2</v>
      </c>
      <c r="AF125" s="806">
        <f t="shared" si="55"/>
        <v>1.760582145158399E-2</v>
      </c>
      <c r="AG125" s="806">
        <f t="shared" si="55"/>
        <v>1.760582145158399E-2</v>
      </c>
      <c r="AH125" s="806">
        <f t="shared" si="55"/>
        <v>1.760582145158399E-2</v>
      </c>
      <c r="AI125" s="806">
        <f t="shared" si="55"/>
        <v>1.760582145158399E-2</v>
      </c>
      <c r="AJ125" s="806">
        <f t="shared" si="55"/>
        <v>1.760582145158399E-2</v>
      </c>
      <c r="AK125" s="806">
        <f t="shared" si="56"/>
        <v>1.760582145158399E-2</v>
      </c>
      <c r="AL125" s="806">
        <f t="shared" si="56"/>
        <v>1.760582145158399E-2</v>
      </c>
      <c r="AM125" s="806">
        <f t="shared" si="56"/>
        <v>1.760582145158399E-2</v>
      </c>
      <c r="AN125" s="806">
        <f t="shared" si="56"/>
        <v>1.760582145158399E-2</v>
      </c>
    </row>
    <row r="126" spans="4:72" x14ac:dyDescent="0.35">
      <c r="D126" s="431" t="s">
        <v>483</v>
      </c>
      <c r="F126" s="784"/>
      <c r="G126" s="807"/>
      <c r="H126" s="807">
        <f t="shared" ref="H126:AD126" si="58">H19/H136</f>
        <v>0.11576477635782748</v>
      </c>
      <c r="I126" s="807">
        <f t="shared" si="58"/>
        <v>0.10926623302521968</v>
      </c>
      <c r="J126" s="807">
        <f t="shared" si="58"/>
        <v>0.11837969278216001</v>
      </c>
      <c r="K126" s="807">
        <f t="shared" si="58"/>
        <v>0.11127845432247516</v>
      </c>
      <c r="L126" s="807">
        <f t="shared" si="58"/>
        <v>0.11953366642874137</v>
      </c>
      <c r="M126" s="807">
        <f t="shared" si="58"/>
        <v>0.11887481034977652</v>
      </c>
      <c r="N126" s="807">
        <f t="shared" si="58"/>
        <v>0.12443013242636948</v>
      </c>
      <c r="O126" s="807">
        <f t="shared" si="58"/>
        <v>0.12539127902744412</v>
      </c>
      <c r="P126" s="807">
        <f t="shared" si="58"/>
        <v>0.13006032415146448</v>
      </c>
      <c r="Q126" s="807">
        <f t="shared" si="58"/>
        <v>0.13860590791251326</v>
      </c>
      <c r="R126" s="805">
        <f t="shared" si="58"/>
        <v>0.14498244638325977</v>
      </c>
      <c r="S126" s="805">
        <f t="shared" si="58"/>
        <v>0.13630663910258584</v>
      </c>
      <c r="T126" s="805">
        <f t="shared" si="58"/>
        <v>0.13929684023141967</v>
      </c>
      <c r="U126" s="805">
        <f t="shared" si="58"/>
        <v>0.1476608187134503</v>
      </c>
      <c r="V126" s="805">
        <f t="shared" si="58"/>
        <v>0.14539175187919007</v>
      </c>
      <c r="W126" s="805">
        <f t="shared" si="58"/>
        <v>0.1467350715978829</v>
      </c>
      <c r="X126" s="805">
        <f t="shared" si="58"/>
        <v>0.14285714285714288</v>
      </c>
      <c r="Y126" s="805">
        <f t="shared" si="58"/>
        <v>0.14434122151779549</v>
      </c>
      <c r="Z126" s="805">
        <f t="shared" si="58"/>
        <v>0.14783963564451369</v>
      </c>
      <c r="AA126" s="805">
        <f t="shared" si="58"/>
        <v>0.14652482690993374</v>
      </c>
      <c r="AB126" s="805">
        <f t="shared" si="58"/>
        <v>0.14682607947703424</v>
      </c>
      <c r="AC126" s="805">
        <f t="shared" si="58"/>
        <v>0.15131578947368421</v>
      </c>
      <c r="AD126" s="805" t="e">
        <f t="shared" si="58"/>
        <v>#DIV/0!</v>
      </c>
      <c r="AE126" s="806" t="e">
        <f t="shared" ref="AE126:AN126" si="59">AD126+AE127</f>
        <v>#DIV/0!</v>
      </c>
      <c r="AF126" s="806" t="e">
        <f t="shared" si="59"/>
        <v>#DIV/0!</v>
      </c>
      <c r="AG126" s="806" t="e">
        <f t="shared" si="59"/>
        <v>#DIV/0!</v>
      </c>
      <c r="AH126" s="806" t="e">
        <f t="shared" si="59"/>
        <v>#DIV/0!</v>
      </c>
      <c r="AI126" s="806" t="e">
        <f t="shared" si="59"/>
        <v>#DIV/0!</v>
      </c>
      <c r="AJ126" s="806" t="e">
        <f t="shared" si="59"/>
        <v>#DIV/0!</v>
      </c>
      <c r="AK126" s="806" t="e">
        <f t="shared" si="59"/>
        <v>#DIV/0!</v>
      </c>
      <c r="AL126" s="806" t="e">
        <f t="shared" si="59"/>
        <v>#DIV/0!</v>
      </c>
      <c r="AM126" s="806" t="e">
        <f t="shared" si="59"/>
        <v>#DIV/0!</v>
      </c>
      <c r="AN126" s="806" t="e">
        <f t="shared" si="59"/>
        <v>#DIV/0!</v>
      </c>
    </row>
    <row r="127" spans="4:72" x14ac:dyDescent="0.35">
      <c r="D127" s="431" t="s">
        <v>1743</v>
      </c>
      <c r="F127" s="784"/>
      <c r="G127" s="807"/>
      <c r="H127" s="807"/>
      <c r="I127" s="807"/>
      <c r="J127" s="807"/>
      <c r="K127" s="807"/>
      <c r="L127" s="807"/>
      <c r="M127" s="807"/>
      <c r="N127" s="807"/>
      <c r="O127" s="807"/>
      <c r="P127" s="807"/>
      <c r="Q127" s="807"/>
      <c r="R127" s="807"/>
      <c r="S127" s="807"/>
      <c r="T127" s="807"/>
      <c r="U127" s="807">
        <v>-1.2E-2</v>
      </c>
      <c r="V127" s="807"/>
      <c r="W127" s="807"/>
      <c r="X127" s="807"/>
      <c r="Y127" s="806"/>
      <c r="Z127" s="806"/>
      <c r="AA127" s="806"/>
      <c r="AB127" s="806"/>
      <c r="AC127" s="806"/>
      <c r="AD127" s="806"/>
      <c r="AE127" s="806"/>
      <c r="AF127" s="806"/>
      <c r="AG127" s="806"/>
      <c r="AH127" s="806"/>
      <c r="AI127" s="806"/>
      <c r="AJ127" s="806"/>
      <c r="AK127" s="806"/>
      <c r="AL127" s="806"/>
      <c r="AM127" s="806"/>
      <c r="AN127" s="806"/>
    </row>
    <row r="128" spans="4:72" x14ac:dyDescent="0.35">
      <c r="D128" s="289" t="s">
        <v>508</v>
      </c>
      <c r="F128" s="276"/>
      <c r="G128" s="233"/>
      <c r="H128" s="233"/>
      <c r="I128" s="233"/>
      <c r="J128" s="233"/>
      <c r="K128" s="233"/>
      <c r="L128" s="233"/>
      <c r="M128" s="233"/>
      <c r="N128" s="233"/>
      <c r="O128" s="233"/>
      <c r="P128" s="233"/>
      <c r="Q128" s="233"/>
      <c r="R128" s="233"/>
      <c r="S128" s="233"/>
      <c r="T128" s="233"/>
      <c r="U128" s="233"/>
      <c r="V128" s="233"/>
      <c r="W128" s="233"/>
      <c r="X128" s="233"/>
      <c r="Y128" s="233"/>
      <c r="Z128" s="233"/>
      <c r="AA128" s="233"/>
      <c r="AB128" s="233"/>
      <c r="AC128" s="233"/>
    </row>
    <row r="129" spans="4:40" ht="14.9" customHeight="1" x14ac:dyDescent="0.35">
      <c r="D129" s="683" t="s">
        <v>509</v>
      </c>
      <c r="F129" s="778">
        <f>SUM(F130:F133)</f>
        <v>14464.9</v>
      </c>
      <c r="G129" s="441">
        <f t="shared" ref="G129:Z129" si="60">SUM(G130:G133)</f>
        <v>14564.8</v>
      </c>
      <c r="H129" s="441">
        <f t="shared" si="60"/>
        <v>14733.199999999999</v>
      </c>
      <c r="I129" s="441">
        <f t="shared" si="60"/>
        <v>14875.9</v>
      </c>
      <c r="J129" s="441">
        <f t="shared" si="60"/>
        <v>14034.9</v>
      </c>
      <c r="K129" s="441">
        <f t="shared" si="60"/>
        <v>14755.099999999999</v>
      </c>
      <c r="L129" s="441">
        <f t="shared" si="60"/>
        <v>15205.3</v>
      </c>
      <c r="M129" s="441">
        <f t="shared" si="60"/>
        <v>15380.9</v>
      </c>
      <c r="N129" s="441">
        <f t="shared" si="60"/>
        <v>15947.7</v>
      </c>
      <c r="O129" s="441">
        <f t="shared" si="60"/>
        <v>16336.5</v>
      </c>
      <c r="P129" s="441">
        <f t="shared" si="60"/>
        <v>16714.8</v>
      </c>
      <c r="Q129" s="441">
        <f t="shared" si="60"/>
        <v>16890.899999999998</v>
      </c>
      <c r="R129" s="441">
        <f t="shared" si="60"/>
        <v>17146.100000000002</v>
      </c>
      <c r="S129" s="354">
        <f t="shared" si="60"/>
        <v>17590.599999999999</v>
      </c>
      <c r="T129" s="354">
        <f t="shared" si="60"/>
        <v>17805.900000000001</v>
      </c>
      <c r="U129" s="354">
        <f t="shared" si="60"/>
        <v>18127.5</v>
      </c>
      <c r="V129" s="354">
        <f t="shared" si="60"/>
        <v>18387.5</v>
      </c>
      <c r="W129" s="354">
        <f t="shared" si="60"/>
        <v>18629.3</v>
      </c>
      <c r="X129" s="354">
        <f t="shared" si="60"/>
        <v>18878.2</v>
      </c>
      <c r="Y129" s="354">
        <f t="shared" si="60"/>
        <v>19227.800000000003</v>
      </c>
      <c r="Z129" s="354">
        <f t="shared" si="60"/>
        <v>19369.399999999998</v>
      </c>
      <c r="AA129" s="354">
        <f>SUM(AA130:AA133)</f>
        <v>19433.100000000002</v>
      </c>
      <c r="AB129" s="354">
        <f>SUM(AB130:AB133)</f>
        <v>19693.8</v>
      </c>
      <c r="AC129" s="354">
        <f>SUM(AC130:AC133)</f>
        <v>19941.400000000001</v>
      </c>
      <c r="AD129" s="354">
        <f>SUM(AD130:AD133)</f>
        <v>20107.900000000001</v>
      </c>
      <c r="AE129" s="329"/>
      <c r="AF129" s="329"/>
      <c r="AG129" s="329"/>
      <c r="AH129" s="329"/>
      <c r="AI129" s="329"/>
      <c r="AJ129" s="329"/>
      <c r="AK129" s="329"/>
      <c r="AL129" s="329"/>
      <c r="AM129" s="329"/>
      <c r="AN129" s="329"/>
    </row>
    <row r="130" spans="4:40" x14ac:dyDescent="0.35">
      <c r="D130" s="862" t="s">
        <v>783</v>
      </c>
      <c r="E130" s="249" t="s">
        <v>779</v>
      </c>
      <c r="F130" s="778">
        <f>'Haver Pivoted'!GQ81</f>
        <v>9285</v>
      </c>
      <c r="G130" s="441">
        <f>'Haver Pivoted'!GR81</f>
        <v>9341</v>
      </c>
      <c r="H130" s="441">
        <f>'Haver Pivoted'!GS81</f>
        <v>9488.7999999999993</v>
      </c>
      <c r="I130" s="441">
        <f>'Haver Pivoted'!GT81</f>
        <v>9636.5</v>
      </c>
      <c r="J130" s="441">
        <f>'Haver Pivoted'!GU81</f>
        <v>9005.2999999999993</v>
      </c>
      <c r="K130" s="441">
        <f>'Haver Pivoted'!GV81</f>
        <v>9441.7999999999993</v>
      </c>
      <c r="L130" s="441">
        <f>'Haver Pivoted'!GW81</f>
        <v>9809.5</v>
      </c>
      <c r="M130" s="441">
        <f>'Haver Pivoted'!GX81</f>
        <v>9889.7999999999993</v>
      </c>
      <c r="N130" s="441">
        <f>'Haver Pivoted'!GY81</f>
        <v>10182.5</v>
      </c>
      <c r="O130" s="441">
        <f>'Haver Pivoted'!GZ81</f>
        <v>10462.799999999999</v>
      </c>
      <c r="P130" s="441">
        <f>'Haver Pivoted'!HA81</f>
        <v>10772</v>
      </c>
      <c r="Q130" s="441">
        <f>'Haver Pivoted'!HB81</f>
        <v>10909.7</v>
      </c>
      <c r="R130" s="441">
        <f>'Haver Pivoted'!HC81</f>
        <v>11012.9</v>
      </c>
      <c r="S130" s="354">
        <f>'Haver Pivoted'!HD81</f>
        <v>11296.3</v>
      </c>
      <c r="T130" s="354">
        <f>'Haver Pivoted'!HE81</f>
        <v>11343.1</v>
      </c>
      <c r="U130" s="354">
        <f>'Haver Pivoted'!HF81</f>
        <v>11499.3</v>
      </c>
      <c r="V130" s="354">
        <f>'Haver Pivoted'!HG81</f>
        <v>11660.4</v>
      </c>
      <c r="W130" s="354">
        <f>'Haver Pivoted'!HH81</f>
        <v>11843.5</v>
      </c>
      <c r="X130" s="354">
        <f>'Haver Pivoted'!HI81</f>
        <v>11975.4</v>
      </c>
      <c r="Y130" s="354">
        <f>'Haver Pivoted'!HJ81</f>
        <v>12270.7</v>
      </c>
      <c r="Z130" s="354">
        <f>'Haver Pivoted'!HK81</f>
        <v>12363.5</v>
      </c>
      <c r="AA130" s="354">
        <f>'Haver Pivoted'!HL81</f>
        <v>12425.1</v>
      </c>
      <c r="AB130" s="354">
        <f>'Haver Pivoted'!HM81</f>
        <v>12627.8</v>
      </c>
      <c r="AC130" s="354">
        <f>'Haver Pivoted'!HN81</f>
        <v>12788.7</v>
      </c>
      <c r="AD130" s="354">
        <f>'Haver Pivoted'!HO81</f>
        <v>12941.1</v>
      </c>
      <c r="AE130" s="329"/>
      <c r="AF130" s="329"/>
      <c r="AG130" s="329"/>
      <c r="AH130" s="329"/>
      <c r="AI130" s="329"/>
      <c r="AJ130" s="329"/>
      <c r="AK130" s="329"/>
      <c r="AL130" s="329"/>
      <c r="AM130" s="329"/>
      <c r="AN130" s="329"/>
    </row>
    <row r="131" spans="4:40" x14ac:dyDescent="0.35">
      <c r="D131" s="862" t="s">
        <v>510</v>
      </c>
      <c r="E131" s="249" t="s">
        <v>780</v>
      </c>
      <c r="F131" s="778">
        <f>'Haver Pivoted'!GQ82</f>
        <v>1535.6</v>
      </c>
      <c r="G131" s="441">
        <f>'Haver Pivoted'!GR82</f>
        <v>1570.9</v>
      </c>
      <c r="H131" s="441">
        <f>'Haver Pivoted'!GS82</f>
        <v>1582.7</v>
      </c>
      <c r="I131" s="441">
        <f>'Haver Pivoted'!GT82</f>
        <v>1577.7</v>
      </c>
      <c r="J131" s="441">
        <f>'Haver Pivoted'!GU82</f>
        <v>1424.4</v>
      </c>
      <c r="K131" s="441">
        <f>'Haver Pivoted'!GV82</f>
        <v>1705.8</v>
      </c>
      <c r="L131" s="441">
        <f>'Haver Pivoted'!GW82</f>
        <v>1668.1</v>
      </c>
      <c r="M131" s="441">
        <f>'Haver Pivoted'!GX82</f>
        <v>1697.5</v>
      </c>
      <c r="N131" s="441">
        <f>'Haver Pivoted'!GY82</f>
        <v>1845.5</v>
      </c>
      <c r="O131" s="441">
        <f>'Haver Pivoted'!GZ82</f>
        <v>1867.1</v>
      </c>
      <c r="P131" s="441">
        <f>'Haver Pivoted'!HA82</f>
        <v>1850.8</v>
      </c>
      <c r="Q131" s="441">
        <f>'Haver Pivoted'!HB82</f>
        <v>1833.3</v>
      </c>
      <c r="R131" s="441">
        <f>'Haver Pivoted'!HC82</f>
        <v>1850.1</v>
      </c>
      <c r="S131" s="354">
        <f>'Haver Pivoted'!HD82</f>
        <v>1895.3</v>
      </c>
      <c r="T131" s="354">
        <f>'Haver Pivoted'!HE82</f>
        <v>1915.5</v>
      </c>
      <c r="U131" s="354">
        <f>'Haver Pivoted'!HF82</f>
        <v>1934.7</v>
      </c>
      <c r="V131" s="354">
        <f>'Haver Pivoted'!HG82</f>
        <v>1936.6</v>
      </c>
      <c r="W131" s="354">
        <f>'Haver Pivoted'!HH82</f>
        <v>1954.6</v>
      </c>
      <c r="X131" s="354">
        <f>'Haver Pivoted'!HI82</f>
        <v>1970.1</v>
      </c>
      <c r="Y131" s="354">
        <f>'Haver Pivoted'!HJ82</f>
        <v>1972.1</v>
      </c>
      <c r="Z131" s="354">
        <f>'Haver Pivoted'!HK82</f>
        <v>2002.3</v>
      </c>
      <c r="AA131" s="354">
        <f>'Haver Pivoted'!HL82</f>
        <v>2013.5</v>
      </c>
      <c r="AB131" s="354">
        <f>'Haver Pivoted'!HM82</f>
        <v>2035.5</v>
      </c>
      <c r="AC131" s="354">
        <f>'Haver Pivoted'!HN82</f>
        <v>2053.1999999999998</v>
      </c>
      <c r="AD131" s="354">
        <f>'Haver Pivoted'!HO82</f>
        <v>2070.5</v>
      </c>
      <c r="AE131" s="329"/>
      <c r="AF131" s="329"/>
      <c r="AG131" s="329"/>
      <c r="AH131" s="329"/>
      <c r="AI131" s="329"/>
      <c r="AJ131" s="329"/>
      <c r="AK131" s="329"/>
      <c r="AL131" s="329"/>
      <c r="AM131" s="329"/>
      <c r="AN131" s="329"/>
    </row>
    <row r="132" spans="4:40" x14ac:dyDescent="0.35">
      <c r="D132" s="862" t="s">
        <v>511</v>
      </c>
      <c r="E132" s="249" t="s">
        <v>786</v>
      </c>
      <c r="F132" s="778">
        <f>'Haver Pivoted'!GQ83</f>
        <v>682.8</v>
      </c>
      <c r="G132" s="441">
        <f>'Haver Pivoted'!GR83</f>
        <v>690.2</v>
      </c>
      <c r="H132" s="441">
        <f>'Haver Pivoted'!GS83</f>
        <v>706.3</v>
      </c>
      <c r="I132" s="441">
        <f>'Haver Pivoted'!GT83</f>
        <v>729.3</v>
      </c>
      <c r="J132" s="441">
        <f>'Haver Pivoted'!GU83</f>
        <v>731.2</v>
      </c>
      <c r="K132" s="441">
        <f>'Haver Pivoted'!GV83</f>
        <v>744.6</v>
      </c>
      <c r="L132" s="441">
        <f>'Haver Pivoted'!GW83</f>
        <v>747.4</v>
      </c>
      <c r="M132" s="441">
        <f>'Haver Pivoted'!GX83</f>
        <v>745.6</v>
      </c>
      <c r="N132" s="441">
        <f>'Haver Pivoted'!GY83</f>
        <v>761.6</v>
      </c>
      <c r="O132" s="441">
        <f>'Haver Pivoted'!GZ83</f>
        <v>781.2</v>
      </c>
      <c r="P132" s="441">
        <f>'Haver Pivoted'!HA83</f>
        <v>800.7</v>
      </c>
      <c r="Q132" s="441">
        <f>'Haver Pivoted'!HB83</f>
        <v>814.3</v>
      </c>
      <c r="R132" s="441">
        <f>'Haver Pivoted'!HC83</f>
        <v>858.2</v>
      </c>
      <c r="S132" s="354">
        <f>'Haver Pivoted'!HD83</f>
        <v>889.5</v>
      </c>
      <c r="T132" s="354">
        <f>'Haver Pivoted'!HE83</f>
        <v>919.1</v>
      </c>
      <c r="U132" s="354">
        <f>'Haver Pivoted'!HF83</f>
        <v>963.6</v>
      </c>
      <c r="V132" s="354">
        <f>'Haver Pivoted'!HG83</f>
        <v>984.1</v>
      </c>
      <c r="W132" s="354">
        <f>'Haver Pivoted'!HH83</f>
        <v>995</v>
      </c>
      <c r="X132" s="354">
        <f>'Haver Pivoted'!HI83</f>
        <v>1013.6</v>
      </c>
      <c r="Y132" s="354">
        <f>'Haver Pivoted'!HJ83</f>
        <v>1046.0999999999999</v>
      </c>
      <c r="Z132" s="354">
        <f>'Haver Pivoted'!HK83</f>
        <v>1053.4000000000001</v>
      </c>
      <c r="AA132" s="354">
        <f>'Haver Pivoted'!HL83</f>
        <v>1055.7</v>
      </c>
      <c r="AB132" s="354">
        <f>'Haver Pivoted'!HM83</f>
        <v>1072.2</v>
      </c>
      <c r="AC132" s="354">
        <f>'Haver Pivoted'!HN83</f>
        <v>1091.8</v>
      </c>
      <c r="AD132" s="354">
        <f>'Haver Pivoted'!HO83</f>
        <v>1090.7</v>
      </c>
      <c r="AE132" s="329"/>
      <c r="AF132" s="329"/>
      <c r="AG132" s="329"/>
      <c r="AH132" s="329"/>
      <c r="AI132" s="329"/>
      <c r="AJ132" s="329"/>
      <c r="AK132" s="329"/>
      <c r="AL132" s="329"/>
      <c r="AM132" s="329"/>
      <c r="AN132" s="329"/>
    </row>
    <row r="133" spans="4:40" x14ac:dyDescent="0.35">
      <c r="D133" s="862" t="s">
        <v>512</v>
      </c>
      <c r="E133" s="249" t="s">
        <v>782</v>
      </c>
      <c r="F133" s="778">
        <f>'Haver Pivoted'!GQ84</f>
        <v>2961.5</v>
      </c>
      <c r="G133" s="441">
        <f>'Haver Pivoted'!GR84</f>
        <v>2962.7</v>
      </c>
      <c r="H133" s="441">
        <f>'Haver Pivoted'!GS84</f>
        <v>2955.4</v>
      </c>
      <c r="I133" s="441">
        <f>'Haver Pivoted'!GT84</f>
        <v>2932.4</v>
      </c>
      <c r="J133" s="441">
        <f>'Haver Pivoted'!GU84</f>
        <v>2874</v>
      </c>
      <c r="K133" s="441">
        <f>'Haver Pivoted'!GV84</f>
        <v>2862.9</v>
      </c>
      <c r="L133" s="441">
        <f>'Haver Pivoted'!GW84</f>
        <v>2980.3</v>
      </c>
      <c r="M133" s="441">
        <f>'Haver Pivoted'!GX84</f>
        <v>3048</v>
      </c>
      <c r="N133" s="441">
        <f>'Haver Pivoted'!GY84</f>
        <v>3158.1</v>
      </c>
      <c r="O133" s="441">
        <f>'Haver Pivoted'!GZ84</f>
        <v>3225.4</v>
      </c>
      <c r="P133" s="441">
        <f>'Haver Pivoted'!HA84</f>
        <v>3291.3</v>
      </c>
      <c r="Q133" s="441">
        <f>'Haver Pivoted'!HB84</f>
        <v>3333.6</v>
      </c>
      <c r="R133" s="441">
        <f>'Haver Pivoted'!HC84</f>
        <v>3424.9</v>
      </c>
      <c r="S133" s="354">
        <f>'Haver Pivoted'!HD84</f>
        <v>3509.5</v>
      </c>
      <c r="T133" s="354">
        <f>'Haver Pivoted'!HE84</f>
        <v>3628.2</v>
      </c>
      <c r="U133" s="354">
        <f>'Haver Pivoted'!HF84</f>
        <v>3729.9</v>
      </c>
      <c r="V133" s="354">
        <f>'Haver Pivoted'!HG84</f>
        <v>3806.4</v>
      </c>
      <c r="W133" s="354">
        <f>'Haver Pivoted'!HH84</f>
        <v>3836.2</v>
      </c>
      <c r="X133" s="354">
        <f>'Haver Pivoted'!HI84</f>
        <v>3919.1</v>
      </c>
      <c r="Y133" s="354">
        <f>'Haver Pivoted'!HJ84</f>
        <v>3938.9</v>
      </c>
      <c r="Z133" s="354">
        <f>'Haver Pivoted'!HK84</f>
        <v>3950.2</v>
      </c>
      <c r="AA133" s="354">
        <f>'Haver Pivoted'!HL84</f>
        <v>3938.8</v>
      </c>
      <c r="AB133" s="354">
        <f>'Haver Pivoted'!HM84</f>
        <v>3958.3</v>
      </c>
      <c r="AC133" s="354">
        <f>'Haver Pivoted'!HN84</f>
        <v>4007.7</v>
      </c>
      <c r="AD133" s="354">
        <f>'Haver Pivoted'!HO84</f>
        <v>4005.6</v>
      </c>
      <c r="AE133" s="329"/>
      <c r="AF133" s="329"/>
      <c r="AG133" s="329"/>
      <c r="AH133" s="329"/>
      <c r="AI133" s="329"/>
      <c r="AJ133" s="329"/>
      <c r="AK133" s="329"/>
      <c r="AL133" s="329"/>
      <c r="AM133" s="329"/>
      <c r="AN133" s="329"/>
    </row>
    <row r="134" spans="4:40" x14ac:dyDescent="0.35">
      <c r="D134" s="683" t="s">
        <v>499</v>
      </c>
      <c r="F134" s="778">
        <f>F130</f>
        <v>9285</v>
      </c>
      <c r="G134" s="441">
        <f t="shared" ref="G134:AB134" si="61">G130</f>
        <v>9341</v>
      </c>
      <c r="H134" s="441">
        <f t="shared" si="61"/>
        <v>9488.7999999999993</v>
      </c>
      <c r="I134" s="441">
        <f t="shared" si="61"/>
        <v>9636.5</v>
      </c>
      <c r="J134" s="441">
        <f t="shared" si="61"/>
        <v>9005.2999999999993</v>
      </c>
      <c r="K134" s="441">
        <f t="shared" si="61"/>
        <v>9441.7999999999993</v>
      </c>
      <c r="L134" s="441">
        <f t="shared" si="61"/>
        <v>9809.5</v>
      </c>
      <c r="M134" s="441">
        <f t="shared" si="61"/>
        <v>9889.7999999999993</v>
      </c>
      <c r="N134" s="441">
        <f t="shared" si="61"/>
        <v>10182.5</v>
      </c>
      <c r="O134" s="441">
        <f t="shared" si="61"/>
        <v>10462.799999999999</v>
      </c>
      <c r="P134" s="441">
        <f t="shared" si="61"/>
        <v>10772</v>
      </c>
      <c r="Q134" s="441">
        <f t="shared" si="61"/>
        <v>10909.7</v>
      </c>
      <c r="R134" s="441">
        <f t="shared" si="61"/>
        <v>11012.9</v>
      </c>
      <c r="S134" s="354">
        <f t="shared" si="61"/>
        <v>11296.3</v>
      </c>
      <c r="T134" s="354">
        <f t="shared" si="61"/>
        <v>11343.1</v>
      </c>
      <c r="U134" s="354">
        <f t="shared" si="61"/>
        <v>11499.3</v>
      </c>
      <c r="V134" s="354">
        <f t="shared" si="61"/>
        <v>11660.4</v>
      </c>
      <c r="W134" s="354">
        <f t="shared" si="61"/>
        <v>11843.5</v>
      </c>
      <c r="X134" s="354">
        <f t="shared" si="61"/>
        <v>11975.4</v>
      </c>
      <c r="Y134" s="354">
        <f t="shared" si="61"/>
        <v>12270.7</v>
      </c>
      <c r="Z134" s="354">
        <f t="shared" si="61"/>
        <v>12363.5</v>
      </c>
      <c r="AA134" s="354">
        <f t="shared" si="61"/>
        <v>12425.1</v>
      </c>
      <c r="AB134" s="354">
        <f t="shared" si="61"/>
        <v>12627.8</v>
      </c>
      <c r="AC134" s="354">
        <f>AC130</f>
        <v>12788.7</v>
      </c>
      <c r="AD134" s="354">
        <f>AD130</f>
        <v>12941.1</v>
      </c>
      <c r="AE134" s="329"/>
      <c r="AF134" s="329"/>
      <c r="AG134" s="329"/>
      <c r="AH134" s="329"/>
      <c r="AI134" s="329"/>
      <c r="AJ134" s="329"/>
      <c r="AK134" s="329"/>
      <c r="AL134" s="329"/>
      <c r="AM134" s="329"/>
      <c r="AN134" s="329"/>
    </row>
    <row r="135" spans="4:40" x14ac:dyDescent="0.35">
      <c r="D135" s="683" t="s">
        <v>500</v>
      </c>
      <c r="E135" s="249" t="s">
        <v>516</v>
      </c>
      <c r="F135" s="778">
        <f>'Haver Pivoted'!GQ5</f>
        <v>14350.7</v>
      </c>
      <c r="G135" s="441">
        <f>'Haver Pivoted'!GR5</f>
        <v>14548.3</v>
      </c>
      <c r="H135" s="441">
        <f>'Haver Pivoted'!GS5</f>
        <v>14701</v>
      </c>
      <c r="I135" s="441">
        <f>'Haver Pivoted'!GT5</f>
        <v>14496.2</v>
      </c>
      <c r="J135" s="441">
        <f>'Haver Pivoted'!GU5</f>
        <v>13175.6</v>
      </c>
      <c r="K135" s="441">
        <f>'Haver Pivoted'!GV5</f>
        <v>14478</v>
      </c>
      <c r="L135" s="441">
        <f>'Haver Pivoted'!GW5</f>
        <v>14752.7</v>
      </c>
      <c r="M135" s="441">
        <f>'Haver Pivoted'!GX5</f>
        <v>15259.4</v>
      </c>
      <c r="N135" s="441">
        <f>'Haver Pivoted'!GY5</f>
        <v>16016.3</v>
      </c>
      <c r="O135" s="441">
        <f>'Haver Pivoted'!GZ5</f>
        <v>16363.9</v>
      </c>
      <c r="P135" s="441">
        <f>'Haver Pivoted'!HA5</f>
        <v>16816.099999999999</v>
      </c>
      <c r="Q135" s="441">
        <f>'Haver Pivoted'!HB5</f>
        <v>17175.099999999999</v>
      </c>
      <c r="R135" s="441">
        <f>'Haver Pivoted'!HC5</f>
        <v>17603.8</v>
      </c>
      <c r="S135" s="354">
        <f>'Haver Pivoted'!HD5</f>
        <v>17876.2</v>
      </c>
      <c r="T135" s="354">
        <f>'Haver Pivoted'!HE5</f>
        <v>18108.3</v>
      </c>
      <c r="U135" s="354">
        <f>'Haver Pivoted'!HF5</f>
        <v>18506.2</v>
      </c>
      <c r="V135" s="354">
        <f>'Haver Pivoted'!HG5</f>
        <v>18685.7</v>
      </c>
      <c r="W135" s="354">
        <f>'Haver Pivoted'!HH5</f>
        <v>18929</v>
      </c>
      <c r="X135" s="354">
        <f>'Haver Pivoted'!HI5</f>
        <v>19170.2</v>
      </c>
      <c r="Y135" s="354">
        <f>'Haver Pivoted'!HJ5</f>
        <v>19424.8</v>
      </c>
      <c r="Z135" s="354">
        <f>'Haver Pivoted'!HK5</f>
        <v>19682.7</v>
      </c>
      <c r="AA135" s="354">
        <f>'Haver Pivoted'!HL5</f>
        <v>19938.400000000001</v>
      </c>
      <c r="AB135" s="354">
        <f>'Haver Pivoted'!HM5</f>
        <v>20255.5</v>
      </c>
      <c r="AC135" s="354">
        <f>'Haver Pivoted'!HN5</f>
        <v>20461.599999999999</v>
      </c>
      <c r="AD135" s="354">
        <f>'Haver Pivoted'!HO5</f>
        <v>20640.900000000001</v>
      </c>
      <c r="AE135" s="329"/>
      <c r="AF135" s="329"/>
      <c r="AG135" s="329"/>
      <c r="AH135" s="329"/>
      <c r="AI135" s="329"/>
      <c r="AJ135" s="329"/>
      <c r="AK135" s="329"/>
      <c r="AL135" s="329"/>
      <c r="AM135" s="329"/>
      <c r="AN135" s="329"/>
    </row>
    <row r="136" spans="4:40" x14ac:dyDescent="0.35">
      <c r="D136" s="683" t="s">
        <v>513</v>
      </c>
      <c r="E136" s="249" t="s">
        <v>781</v>
      </c>
      <c r="F136" s="778">
        <f>'Haver Pivoted'!GQ85</f>
        <v>1906.5</v>
      </c>
      <c r="G136" s="441">
        <f>'Haver Pivoted'!GR85</f>
        <v>1968.1</v>
      </c>
      <c r="H136" s="441">
        <f>'Haver Pivoted'!GS85</f>
        <v>2003.2</v>
      </c>
      <c r="I136" s="441">
        <f>'Haver Pivoted'!GT85</f>
        <v>1752.6</v>
      </c>
      <c r="J136" s="441">
        <f>'Haver Pivoted'!GU85</f>
        <v>1686.1</v>
      </c>
      <c r="K136" s="441">
        <f>'Haver Pivoted'!GV85</f>
        <v>2323.9</v>
      </c>
      <c r="L136" s="441">
        <f>'Haver Pivoted'!GW85</f>
        <v>2101.5</v>
      </c>
      <c r="M136" s="441">
        <f>'Haver Pivoted'!GX85</f>
        <v>2438.6999999999998</v>
      </c>
      <c r="N136" s="441">
        <f>'Haver Pivoted'!GY85</f>
        <v>2763.8</v>
      </c>
      <c r="O136" s="441">
        <f>'Haver Pivoted'!GZ85</f>
        <v>2747.4</v>
      </c>
      <c r="P136" s="441">
        <f>'Haver Pivoted'!HA85</f>
        <v>2751.8</v>
      </c>
      <c r="Q136" s="441">
        <f>'Haver Pivoted'!HB85</f>
        <v>2738.7</v>
      </c>
      <c r="R136" s="354">
        <f>'Haver Pivoted'!HC85</f>
        <v>2876.9</v>
      </c>
      <c r="S136" s="354">
        <f>'Haver Pivoted'!HD85</f>
        <v>2950.7</v>
      </c>
      <c r="T136" s="354">
        <f>'Haver Pivoted'!HE85</f>
        <v>2921.1</v>
      </c>
      <c r="U136" s="354">
        <f>'Haver Pivoted'!HF85</f>
        <v>2941.2</v>
      </c>
      <c r="V136" s="354">
        <f>'Haver Pivoted'!HG85</f>
        <v>2953.4</v>
      </c>
      <c r="W136" s="354">
        <f>'Haver Pivoted'!HH85</f>
        <v>3079.7</v>
      </c>
      <c r="X136" s="354">
        <f>'Haver Pivoted'!HI85</f>
        <v>3253.6</v>
      </c>
      <c r="Y136" s="354">
        <f>'Haver Pivoted'!HJ85</f>
        <v>3186.2</v>
      </c>
      <c r="Z136" s="354">
        <f>'Haver Pivoted'!HK85</f>
        <v>3337.4</v>
      </c>
      <c r="AA136" s="354">
        <f>'Haver Pivoted'!HL85</f>
        <v>3365.3</v>
      </c>
      <c r="AB136" s="354">
        <f>'Haver Pivoted'!HM85</f>
        <v>3487.8</v>
      </c>
      <c r="AC136" s="354">
        <f>'Haver Pivoted'!HN85</f>
        <v>3435.2</v>
      </c>
      <c r="AD136" s="354">
        <f>'Haver Pivoted'!HO85</f>
        <v>0</v>
      </c>
      <c r="AE136" s="329"/>
      <c r="AF136" s="329"/>
      <c r="AG136" s="329"/>
      <c r="AH136" s="329"/>
      <c r="AI136" s="329"/>
      <c r="AJ136" s="329"/>
      <c r="AK136" s="329"/>
      <c r="AL136" s="329"/>
      <c r="AM136" s="329"/>
      <c r="AN136" s="329"/>
    </row>
    <row r="137" spans="4:40" x14ac:dyDescent="0.35">
      <c r="D137" s="289" t="s">
        <v>514</v>
      </c>
      <c r="F137" s="276"/>
      <c r="G137" s="233"/>
      <c r="H137" s="233"/>
      <c r="I137" s="233"/>
      <c r="J137" s="233"/>
      <c r="K137" s="233"/>
      <c r="L137" s="233"/>
      <c r="M137" s="233"/>
      <c r="N137" s="233"/>
      <c r="O137" s="233"/>
      <c r="P137" s="233"/>
      <c r="Q137" s="233"/>
      <c r="R137" s="233"/>
      <c r="S137" s="233"/>
      <c r="T137" s="233"/>
      <c r="U137" s="233"/>
      <c r="V137" s="233"/>
      <c r="W137" s="233"/>
      <c r="X137" s="233"/>
      <c r="Y137" s="233"/>
      <c r="Z137" s="233"/>
      <c r="AA137" s="233"/>
      <c r="AB137" s="233"/>
      <c r="AC137" s="233"/>
      <c r="AD137" s="233"/>
      <c r="AE137" s="233"/>
      <c r="AF137" s="233"/>
      <c r="AG137" s="233"/>
      <c r="AH137" s="233"/>
      <c r="AI137" s="233"/>
      <c r="AJ137" s="233"/>
      <c r="AK137" s="233"/>
      <c r="AL137" s="233"/>
      <c r="AM137" s="233"/>
      <c r="AN137" s="233"/>
    </row>
    <row r="138" spans="4:40" x14ac:dyDescent="0.35">
      <c r="D138" s="811" t="s">
        <v>484</v>
      </c>
      <c r="F138" s="784">
        <f t="shared" ref="F138:AB138" si="62">F25/F129</f>
        <v>3.670955208815823E-2</v>
      </c>
      <c r="G138" s="807">
        <f t="shared" si="62"/>
        <v>3.4027243765791498E-2</v>
      </c>
      <c r="H138" s="807">
        <f t="shared" si="62"/>
        <v>3.3265006923139578E-2</v>
      </c>
      <c r="I138" s="807">
        <f t="shared" si="62"/>
        <v>3.3107240570318434E-2</v>
      </c>
      <c r="J138" s="807">
        <f t="shared" si="62"/>
        <v>3.4570962386621919E-2</v>
      </c>
      <c r="K138" s="807">
        <f t="shared" si="62"/>
        <v>3.4672757216149E-2</v>
      </c>
      <c r="L138" s="807">
        <f t="shared" si="62"/>
        <v>3.4751040755526034E-2</v>
      </c>
      <c r="M138" s="807">
        <f t="shared" si="62"/>
        <v>3.6343777022150851E-2</v>
      </c>
      <c r="N138" s="807">
        <f t="shared" si="62"/>
        <v>3.6751381076895101E-2</v>
      </c>
      <c r="O138" s="807">
        <f t="shared" si="62"/>
        <v>3.528295534539222E-2</v>
      </c>
      <c r="P138" s="807">
        <f t="shared" si="62"/>
        <v>3.5842486897839046E-2</v>
      </c>
      <c r="Q138" s="807">
        <f t="shared" si="62"/>
        <v>3.8878922970356826E-2</v>
      </c>
      <c r="R138" s="807">
        <f t="shared" si="62"/>
        <v>4.0423186613865542E-2</v>
      </c>
      <c r="S138" s="805">
        <f t="shared" si="62"/>
        <v>3.3915841415301358E-2</v>
      </c>
      <c r="T138" s="805">
        <f t="shared" si="62"/>
        <v>3.4123520855446787E-2</v>
      </c>
      <c r="U138" s="781">
        <f t="shared" si="62"/>
        <v>3.1885257205902635E-2</v>
      </c>
      <c r="V138" s="781">
        <f t="shared" si="62"/>
        <v>3.1630183548606389E-2</v>
      </c>
      <c r="W138" s="781">
        <f t="shared" si="62"/>
        <v>3.2502563166624622E-2</v>
      </c>
      <c r="X138" s="781">
        <f t="shared" si="62"/>
        <v>3.2423642084520768E-2</v>
      </c>
      <c r="Y138" s="781">
        <f t="shared" si="62"/>
        <v>3.1698894309281349E-2</v>
      </c>
      <c r="Z138" s="781">
        <f t="shared" si="62"/>
        <v>3.2525529959627042E-2</v>
      </c>
      <c r="AA138" s="781">
        <f t="shared" si="62"/>
        <v>3.3731108263735585E-2</v>
      </c>
      <c r="AB138" s="781">
        <f t="shared" si="62"/>
        <v>3.4046248057764371E-2</v>
      </c>
      <c r="AC138" s="781">
        <f>AC25/AC129</f>
        <v>3.3979560111125594E-2</v>
      </c>
      <c r="AD138" s="781">
        <f>AD25/AD129</f>
        <v>3.4369576136742276E-2</v>
      </c>
      <c r="AE138" s="806">
        <f t="shared" ref="AE138:AG141" si="63">AD138</f>
        <v>3.4369576136742276E-2</v>
      </c>
      <c r="AF138" s="806">
        <f t="shared" si="63"/>
        <v>3.4369576136742276E-2</v>
      </c>
      <c r="AG138" s="806">
        <f>AF138</f>
        <v>3.4369576136742276E-2</v>
      </c>
      <c r="AH138" s="806">
        <f t="shared" ref="AH138:AN141" si="64">AG138</f>
        <v>3.4369576136742276E-2</v>
      </c>
      <c r="AI138" s="806">
        <f t="shared" si="64"/>
        <v>3.4369576136742276E-2</v>
      </c>
      <c r="AJ138" s="806">
        <f t="shared" si="64"/>
        <v>3.4369576136742276E-2</v>
      </c>
      <c r="AK138" s="806">
        <f t="shared" si="64"/>
        <v>3.4369576136742276E-2</v>
      </c>
      <c r="AL138" s="806">
        <f t="shared" si="64"/>
        <v>3.4369576136742276E-2</v>
      </c>
      <c r="AM138" s="806">
        <f t="shared" si="64"/>
        <v>3.4369576136742276E-2</v>
      </c>
      <c r="AN138" s="806">
        <f t="shared" si="64"/>
        <v>3.4369576136742276E-2</v>
      </c>
    </row>
    <row r="139" spans="4:40" x14ac:dyDescent="0.35">
      <c r="D139" s="811" t="s">
        <v>481</v>
      </c>
      <c r="F139" s="784">
        <f t="shared" ref="F139:AB141" si="65">F27/F134</f>
        <v>2.2401723209477652E-3</v>
      </c>
      <c r="G139" s="807">
        <f t="shared" si="65"/>
        <v>2.2053313349748422E-3</v>
      </c>
      <c r="H139" s="807">
        <f t="shared" si="65"/>
        <v>2.1604417839979767E-3</v>
      </c>
      <c r="I139" s="807">
        <f t="shared" si="65"/>
        <v>2.1065739635759873E-3</v>
      </c>
      <c r="J139" s="807">
        <f t="shared" si="65"/>
        <v>2.1431823481727428E-3</v>
      </c>
      <c r="K139" s="807">
        <f t="shared" si="65"/>
        <v>2.1076489652396787E-3</v>
      </c>
      <c r="L139" s="807">
        <f t="shared" si="65"/>
        <v>2.1000050970997504E-3</v>
      </c>
      <c r="M139" s="807">
        <f t="shared" si="65"/>
        <v>2.153734150336711E-3</v>
      </c>
      <c r="N139" s="807">
        <f t="shared" si="65"/>
        <v>2.1605696047139701E-3</v>
      </c>
      <c r="O139" s="807">
        <f t="shared" si="65"/>
        <v>2.1600336430018735E-3</v>
      </c>
      <c r="P139" s="807">
        <f t="shared" si="65"/>
        <v>2.1444485703676201E-3</v>
      </c>
      <c r="Q139" s="807">
        <f t="shared" si="65"/>
        <v>2.1448802441863661E-3</v>
      </c>
      <c r="R139" s="807">
        <f t="shared" si="65"/>
        <v>2.0975401574517159E-3</v>
      </c>
      <c r="S139" s="805">
        <f t="shared" si="65"/>
        <v>2.009507537866381E-3</v>
      </c>
      <c r="T139" s="805">
        <f t="shared" si="65"/>
        <v>1.9218732092637816E-3</v>
      </c>
      <c r="U139" s="781">
        <f t="shared" si="65"/>
        <v>1.808805753393685E-3</v>
      </c>
      <c r="V139" s="781">
        <f t="shared" si="65"/>
        <v>1.7580872011251759E-3</v>
      </c>
      <c r="W139" s="781">
        <f t="shared" si="65"/>
        <v>1.7900113986574913E-3</v>
      </c>
      <c r="X139" s="781">
        <f t="shared" si="65"/>
        <v>1.9039030011523625E-3</v>
      </c>
      <c r="Y139" s="781">
        <f t="shared" si="65"/>
        <v>2.0373735809693008E-3</v>
      </c>
      <c r="Z139" s="781">
        <f t="shared" si="65"/>
        <v>2.1595826424556154E-3</v>
      </c>
      <c r="AA139" s="781">
        <f t="shared" si="65"/>
        <v>2.2132618650956529E-3</v>
      </c>
      <c r="AB139" s="781">
        <f t="shared" si="65"/>
        <v>2.1856538747842065E-3</v>
      </c>
      <c r="AC139" s="781">
        <f>AC27/AC134</f>
        <v>2.1112388280278682E-3</v>
      </c>
      <c r="AD139" s="781">
        <f>AD27/AD134</f>
        <v>2.0941032833375834E-3</v>
      </c>
      <c r="AE139" s="806">
        <f t="shared" si="63"/>
        <v>2.0941032833375834E-3</v>
      </c>
      <c r="AF139" s="806">
        <f t="shared" si="63"/>
        <v>2.0941032833375834E-3</v>
      </c>
      <c r="AG139" s="806">
        <f>AF139</f>
        <v>2.0941032833375834E-3</v>
      </c>
      <c r="AH139" s="806">
        <f t="shared" si="64"/>
        <v>2.0941032833375834E-3</v>
      </c>
      <c r="AI139" s="806">
        <f t="shared" si="64"/>
        <v>2.0941032833375834E-3</v>
      </c>
      <c r="AJ139" s="806">
        <f t="shared" si="64"/>
        <v>2.0941032833375834E-3</v>
      </c>
      <c r="AK139" s="806">
        <f t="shared" si="64"/>
        <v>2.0941032833375834E-3</v>
      </c>
      <c r="AL139" s="806">
        <f t="shared" si="64"/>
        <v>2.0941032833375834E-3</v>
      </c>
      <c r="AM139" s="806">
        <f t="shared" si="64"/>
        <v>2.0941032833375834E-3</v>
      </c>
      <c r="AN139" s="806">
        <f t="shared" si="64"/>
        <v>2.0941032833375834E-3</v>
      </c>
    </row>
    <row r="140" spans="4:40" x14ac:dyDescent="0.35">
      <c r="D140" s="811" t="s">
        <v>482</v>
      </c>
      <c r="F140" s="784">
        <f t="shared" si="65"/>
        <v>9.414174918296668E-2</v>
      </c>
      <c r="G140" s="807">
        <f t="shared" si="65"/>
        <v>9.4636486737282019E-2</v>
      </c>
      <c r="H140" s="807">
        <f t="shared" si="65"/>
        <v>9.343582069246989E-2</v>
      </c>
      <c r="I140" s="807">
        <f t="shared" si="65"/>
        <v>9.4721375256963877E-2</v>
      </c>
      <c r="J140" s="807">
        <f t="shared" si="65"/>
        <v>9.7809587419168773E-2</v>
      </c>
      <c r="K140" s="807">
        <f t="shared" si="65"/>
        <v>9.6021549937836723E-2</v>
      </c>
      <c r="L140" s="807">
        <f t="shared" si="65"/>
        <v>9.569095826526669E-2</v>
      </c>
      <c r="M140" s="807">
        <f t="shared" si="65"/>
        <v>9.4119034824436093E-2</v>
      </c>
      <c r="N140" s="807">
        <f t="shared" si="65"/>
        <v>9.5171793735132335E-2</v>
      </c>
      <c r="O140" s="807">
        <f t="shared" si="65"/>
        <v>9.4005707685820616E-2</v>
      </c>
      <c r="P140" s="807">
        <f t="shared" si="65"/>
        <v>9.3915949595922962E-2</v>
      </c>
      <c r="Q140" s="807">
        <f t="shared" si="65"/>
        <v>9.3466704706231696E-2</v>
      </c>
      <c r="R140" s="807">
        <f t="shared" si="65"/>
        <v>9.3400288574057883E-2</v>
      </c>
      <c r="S140" s="805">
        <f t="shared" si="65"/>
        <v>9.3319609312941226E-2</v>
      </c>
      <c r="T140" s="805">
        <f t="shared" si="65"/>
        <v>9.2603944047757111E-2</v>
      </c>
      <c r="U140" s="781">
        <f t="shared" si="65"/>
        <v>9.1742226929353396E-2</v>
      </c>
      <c r="V140" s="781">
        <f t="shared" si="65"/>
        <v>9.1481721316300696E-2</v>
      </c>
      <c r="W140" s="781">
        <f t="shared" si="65"/>
        <v>9.1077183158117178E-2</v>
      </c>
      <c r="X140" s="781">
        <f t="shared" si="65"/>
        <v>9.0990182679366927E-2</v>
      </c>
      <c r="Y140" s="781">
        <f t="shared" si="65"/>
        <v>9.0647007948601782E-2</v>
      </c>
      <c r="Z140" s="781">
        <f t="shared" si="65"/>
        <v>9.0551601152280933E-2</v>
      </c>
      <c r="AA140" s="781">
        <f t="shared" si="65"/>
        <v>9.0002206796934547E-2</v>
      </c>
      <c r="AB140" s="781">
        <f t="shared" si="65"/>
        <v>8.99360667473032E-2</v>
      </c>
      <c r="AC140" s="781">
        <f>AC28/AC135</f>
        <v>9.0212886577784743E-2</v>
      </c>
      <c r="AD140" s="781">
        <f>AD28/AD135</f>
        <v>9.0427258501325034E-2</v>
      </c>
      <c r="AE140" s="806">
        <f t="shared" si="63"/>
        <v>9.0427258501325034E-2</v>
      </c>
      <c r="AF140" s="806">
        <f t="shared" si="63"/>
        <v>9.0427258501325034E-2</v>
      </c>
      <c r="AG140" s="806">
        <f t="shared" si="63"/>
        <v>9.0427258501325034E-2</v>
      </c>
      <c r="AH140" s="806">
        <f t="shared" si="64"/>
        <v>9.0427258501325034E-2</v>
      </c>
      <c r="AI140" s="806">
        <f t="shared" si="64"/>
        <v>9.0427258501325034E-2</v>
      </c>
      <c r="AJ140" s="806">
        <f t="shared" si="64"/>
        <v>9.0427258501325034E-2</v>
      </c>
      <c r="AK140" s="806">
        <f t="shared" si="64"/>
        <v>9.0427258501325034E-2</v>
      </c>
      <c r="AL140" s="806">
        <f t="shared" si="64"/>
        <v>9.0427258501325034E-2</v>
      </c>
      <c r="AM140" s="806">
        <f t="shared" si="64"/>
        <v>9.0427258501325034E-2</v>
      </c>
      <c r="AN140" s="806">
        <f t="shared" si="64"/>
        <v>9.0427258501325034E-2</v>
      </c>
    </row>
    <row r="141" spans="4:40" x14ac:dyDescent="0.35">
      <c r="D141" s="773" t="s">
        <v>515</v>
      </c>
      <c r="E141" s="370"/>
      <c r="F141" s="776">
        <f t="shared" si="65"/>
        <v>4.028324154209284E-2</v>
      </c>
      <c r="G141" s="777">
        <f t="shared" si="65"/>
        <v>3.7650525887912199E-2</v>
      </c>
      <c r="H141" s="777">
        <f t="shared" si="65"/>
        <v>3.5093849840255591E-2</v>
      </c>
      <c r="I141" s="777">
        <f t="shared" si="65"/>
        <v>3.6802464909277646E-2</v>
      </c>
      <c r="J141" s="777">
        <f t="shared" si="65"/>
        <v>3.9380819642963055E-2</v>
      </c>
      <c r="K141" s="777">
        <f t="shared" si="65"/>
        <v>3.5070355867292048E-2</v>
      </c>
      <c r="L141" s="777">
        <f t="shared" si="65"/>
        <v>3.9210088032357843E-2</v>
      </c>
      <c r="M141" s="777">
        <f t="shared" si="65"/>
        <v>3.4075532045762087E-2</v>
      </c>
      <c r="N141" s="777">
        <f t="shared" si="65"/>
        <v>3.3902597872494389E-2</v>
      </c>
      <c r="O141" s="777">
        <f t="shared" si="65"/>
        <v>4.3422872534032174E-2</v>
      </c>
      <c r="P141" s="777">
        <f t="shared" si="65"/>
        <v>6.1087288320372114E-2</v>
      </c>
      <c r="Q141" s="777">
        <f t="shared" si="65"/>
        <v>6.2365355825756752E-2</v>
      </c>
      <c r="R141" s="782">
        <f t="shared" si="65"/>
        <v>5.4781188084396394E-2</v>
      </c>
      <c r="S141" s="782">
        <f t="shared" si="65"/>
        <v>5.391940895380757E-2</v>
      </c>
      <c r="T141" s="884">
        <f t="shared" si="65"/>
        <v>5.5527027489644311E-2</v>
      </c>
      <c r="U141" s="808">
        <f t="shared" si="65"/>
        <v>5.3957568339453282E-2</v>
      </c>
      <c r="V141" s="808">
        <f t="shared" si="65"/>
        <v>5.4987472066093314E-2</v>
      </c>
      <c r="W141" s="808">
        <f t="shared" si="65"/>
        <v>5.3868883332792161E-2</v>
      </c>
      <c r="X141" s="808">
        <f t="shared" si="65"/>
        <v>5.1297024834030001E-2</v>
      </c>
      <c r="Y141" s="808">
        <f t="shared" si="65"/>
        <v>5.348063523947022E-2</v>
      </c>
      <c r="Z141" s="808">
        <f t="shared" si="65"/>
        <v>4.9140049140049137E-2</v>
      </c>
      <c r="AA141" s="808">
        <f t="shared" si="65"/>
        <v>4.8316643389890938E-2</v>
      </c>
      <c r="AB141" s="808">
        <f t="shared" si="65"/>
        <v>4.7078387522220308E-2</v>
      </c>
      <c r="AC141" s="808">
        <f>AC29/AC136</f>
        <v>5.0855845365626456E-2</v>
      </c>
      <c r="AD141" s="806">
        <f t="shared" ref="AD141" si="66">AC141</f>
        <v>5.0855845365626456E-2</v>
      </c>
      <c r="AE141" s="806">
        <f t="shared" si="63"/>
        <v>5.0855845365626456E-2</v>
      </c>
      <c r="AF141" s="806">
        <f>AE141</f>
        <v>5.0855845365626456E-2</v>
      </c>
      <c r="AG141" s="806">
        <f>AF141</f>
        <v>5.0855845365626456E-2</v>
      </c>
      <c r="AH141" s="806">
        <f t="shared" si="64"/>
        <v>5.0855845365626456E-2</v>
      </c>
      <c r="AI141" s="806">
        <f t="shared" si="64"/>
        <v>5.0855845365626456E-2</v>
      </c>
      <c r="AJ141" s="806">
        <f t="shared" si="64"/>
        <v>5.0855845365626456E-2</v>
      </c>
      <c r="AK141" s="806">
        <f t="shared" si="64"/>
        <v>5.0855845365626456E-2</v>
      </c>
      <c r="AL141" s="806">
        <f t="shared" si="64"/>
        <v>5.0855845365626456E-2</v>
      </c>
      <c r="AM141" s="806">
        <f t="shared" si="64"/>
        <v>5.0855845365626456E-2</v>
      </c>
      <c r="AN141" s="806">
        <f t="shared" si="64"/>
        <v>5.0855845365626456E-2</v>
      </c>
    </row>
    <row r="145" spans="4:29" x14ac:dyDescent="0.35">
      <c r="D145" s="1432" t="s">
        <v>1698</v>
      </c>
      <c r="E145" s="1432"/>
      <c r="F145" s="1432"/>
      <c r="G145" s="1432"/>
      <c r="H145" s="1432"/>
      <c r="I145" s="1432"/>
      <c r="J145" s="1432"/>
      <c r="K145" s="1432"/>
      <c r="L145" s="1432"/>
      <c r="M145" s="1432"/>
      <c r="N145" s="1432"/>
      <c r="O145" s="1432"/>
      <c r="P145" s="1432"/>
      <c r="Q145" s="1432"/>
      <c r="R145" s="1432"/>
      <c r="S145" s="1432"/>
      <c r="T145" s="1432"/>
      <c r="U145" s="1432"/>
      <c r="V145" s="1432"/>
      <c r="W145" s="1432"/>
      <c r="X145" s="1432"/>
      <c r="Y145" s="1432"/>
      <c r="Z145" s="1432"/>
      <c r="AA145" s="1432"/>
      <c r="AB145" s="1432"/>
      <c r="AC145" s="1432"/>
    </row>
    <row r="146" spans="4:29" x14ac:dyDescent="0.35">
      <c r="D146" s="751" t="s">
        <v>1691</v>
      </c>
      <c r="E146" s="746"/>
      <c r="F146" s="288"/>
      <c r="G146" s="288"/>
      <c r="H146" s="288"/>
      <c r="I146" s="288"/>
      <c r="J146" s="288"/>
      <c r="K146" s="288"/>
      <c r="L146" s="288"/>
      <c r="M146" s="288"/>
      <c r="N146" s="288"/>
      <c r="O146" s="288"/>
      <c r="P146" s="288"/>
      <c r="Q146" s="288"/>
      <c r="R146" s="288"/>
      <c r="S146" s="779"/>
      <c r="T146" s="288"/>
      <c r="U146" s="295"/>
      <c r="V146" s="295"/>
      <c r="W146" s="295"/>
      <c r="X146" s="295"/>
      <c r="Y146" s="295"/>
      <c r="Z146" s="295"/>
      <c r="AA146" s="295"/>
      <c r="AB146" s="295"/>
      <c r="AC146" s="228"/>
    </row>
    <row r="147" spans="4:29" x14ac:dyDescent="0.35">
      <c r="D147" s="885" t="s">
        <v>509</v>
      </c>
      <c r="E147" s="886"/>
      <c r="F147" s="887"/>
      <c r="G147" s="887">
        <f>(G129/F129)^4-1</f>
        <v>2.7913001349364253E-2</v>
      </c>
      <c r="H147" s="887">
        <f t="shared" ref="H147:S147" si="67">(H129/G129)^4-1</f>
        <v>4.7056786044947341E-2</v>
      </c>
      <c r="I147" s="887">
        <f t="shared" si="67"/>
        <v>3.9308941340777448E-2</v>
      </c>
      <c r="J147" s="887">
        <f t="shared" si="67"/>
        <v>-0.20767330318048161</v>
      </c>
      <c r="K147" s="887">
        <f t="shared" si="67"/>
        <v>0.22160650997768916</v>
      </c>
      <c r="L147" s="887">
        <f t="shared" si="67"/>
        <v>0.12774612606997193</v>
      </c>
      <c r="M147" s="887">
        <f t="shared" si="67"/>
        <v>4.7000819432919894E-2</v>
      </c>
      <c r="N147" s="887">
        <f t="shared" si="67"/>
        <v>0.15575354729693691</v>
      </c>
      <c r="O147" s="887">
        <f t="shared" si="67"/>
        <v>0.10114329593307891</v>
      </c>
      <c r="P147" s="887">
        <f t="shared" si="67"/>
        <v>9.5894303203679421E-2</v>
      </c>
      <c r="Q147" s="887">
        <f t="shared" si="67"/>
        <v>4.2812972925388104E-2</v>
      </c>
      <c r="R147" s="887">
        <f t="shared" si="67"/>
        <v>6.1818398365929728E-2</v>
      </c>
      <c r="S147" s="887">
        <f t="shared" si="67"/>
        <v>0.10779959808936046</v>
      </c>
      <c r="T147" s="888"/>
      <c r="U147" s="329"/>
      <c r="V147" s="329"/>
      <c r="W147" s="329"/>
      <c r="X147" s="329"/>
      <c r="Y147" s="329"/>
      <c r="Z147" s="329"/>
      <c r="AA147" s="329"/>
      <c r="AB147" s="329"/>
      <c r="AC147" s="438"/>
    </row>
    <row r="148" spans="4:29" x14ac:dyDescent="0.35">
      <c r="D148" s="889" t="s">
        <v>783</v>
      </c>
      <c r="E148" s="890"/>
      <c r="F148" s="887"/>
      <c r="G148" s="887">
        <f t="shared" ref="G148:S154" si="68">(G130/F130)^4-1</f>
        <v>2.4344066214849969E-2</v>
      </c>
      <c r="H148" s="887">
        <f t="shared" si="68"/>
        <v>6.4808926543423739E-2</v>
      </c>
      <c r="I148" s="887">
        <f t="shared" si="68"/>
        <v>6.3731772577288348E-2</v>
      </c>
      <c r="J148" s="887">
        <f t="shared" si="68"/>
        <v>-0.23736727268240676</v>
      </c>
      <c r="K148" s="887">
        <f t="shared" si="68"/>
        <v>0.20844376621817839</v>
      </c>
      <c r="L148" s="887">
        <f t="shared" si="68"/>
        <v>0.16511367309277247</v>
      </c>
      <c r="M148" s="887">
        <f t="shared" si="68"/>
        <v>3.314802533242589E-2</v>
      </c>
      <c r="N148" s="887">
        <f t="shared" si="68"/>
        <v>0.12374465481168762</v>
      </c>
      <c r="O148" s="887">
        <f t="shared" si="68"/>
        <v>0.11474111578039969</v>
      </c>
      <c r="P148" s="887">
        <f t="shared" si="68"/>
        <v>0.12355331155960547</v>
      </c>
      <c r="Q148" s="887">
        <f t="shared" si="68"/>
        <v>5.2121400356726078E-2</v>
      </c>
      <c r="R148" s="887">
        <f t="shared" si="68"/>
        <v>3.8378170832219727E-2</v>
      </c>
      <c r="S148" s="887">
        <f t="shared" si="68"/>
        <v>0.10697569974210452</v>
      </c>
      <c r="T148" s="888"/>
      <c r="U148" s="329"/>
      <c r="V148" s="329"/>
      <c r="W148" s="329"/>
      <c r="X148" s="329"/>
      <c r="Y148" s="329"/>
      <c r="Z148" s="329"/>
      <c r="AA148" s="329"/>
      <c r="AB148" s="329"/>
      <c r="AC148" s="438"/>
    </row>
    <row r="149" spans="4:29" x14ac:dyDescent="0.35">
      <c r="D149" s="889" t="s">
        <v>510</v>
      </c>
      <c r="E149" s="890"/>
      <c r="F149" s="887"/>
      <c r="G149" s="887">
        <f t="shared" si="68"/>
        <v>9.5170520378034862E-2</v>
      </c>
      <c r="H149" s="887">
        <f t="shared" si="68"/>
        <v>3.0386715102811657E-2</v>
      </c>
      <c r="I149" s="887">
        <f t="shared" si="68"/>
        <v>-1.2576877927581664E-2</v>
      </c>
      <c r="J149" s="887">
        <f t="shared" si="68"/>
        <v>-0.33559918291781621</v>
      </c>
      <c r="K149" s="887">
        <f t="shared" si="68"/>
        <v>1.0567645594940451</v>
      </c>
      <c r="L149" s="887">
        <f t="shared" si="68"/>
        <v>-8.5516467937984397E-2</v>
      </c>
      <c r="M149" s="887">
        <f t="shared" si="68"/>
        <v>7.2385177080469099E-2</v>
      </c>
      <c r="N149" s="887">
        <f t="shared" si="68"/>
        <v>0.39706645948874297</v>
      </c>
      <c r="O149" s="887">
        <f t="shared" si="68"/>
        <v>4.7644934993231525E-2</v>
      </c>
      <c r="P149" s="887">
        <f t="shared" si="68"/>
        <v>-3.4465830968520295E-2</v>
      </c>
      <c r="Q149" s="887">
        <f t="shared" si="68"/>
        <v>-3.7288431797324884E-2</v>
      </c>
      <c r="R149" s="887">
        <f t="shared" si="68"/>
        <v>3.7162148806803685E-2</v>
      </c>
      <c r="S149" s="887">
        <f t="shared" si="68"/>
        <v>0.10136440863642315</v>
      </c>
      <c r="T149" s="888"/>
      <c r="U149" s="329"/>
      <c r="V149" s="329"/>
      <c r="W149" s="329"/>
      <c r="X149" s="329"/>
      <c r="Y149" s="329"/>
      <c r="Z149" s="329"/>
      <c r="AA149" s="329"/>
      <c r="AB149" s="329"/>
      <c r="AC149" s="438"/>
    </row>
    <row r="150" spans="4:29" x14ac:dyDescent="0.35">
      <c r="D150" s="889" t="s">
        <v>511</v>
      </c>
      <c r="E150" s="890"/>
      <c r="F150" s="887"/>
      <c r="G150" s="887">
        <f t="shared" si="68"/>
        <v>4.4060751620176752E-2</v>
      </c>
      <c r="H150" s="887">
        <f t="shared" si="68"/>
        <v>9.6622128532301677E-2</v>
      </c>
      <c r="I150" s="887">
        <f t="shared" si="68"/>
        <v>0.13675802614067245</v>
      </c>
      <c r="J150" s="887">
        <f t="shared" si="68"/>
        <v>1.0461745960318236E-2</v>
      </c>
      <c r="K150" s="887">
        <f t="shared" si="68"/>
        <v>7.5343951398924913E-2</v>
      </c>
      <c r="L150" s="887">
        <f t="shared" si="68"/>
        <v>1.5126690012599919E-2</v>
      </c>
      <c r="M150" s="887">
        <f t="shared" si="68"/>
        <v>-9.5986507456689019E-3</v>
      </c>
      <c r="N150" s="887">
        <f t="shared" si="68"/>
        <v>8.8639640354544413E-2</v>
      </c>
      <c r="O150" s="887">
        <f t="shared" si="68"/>
        <v>0.10698362579219722</v>
      </c>
      <c r="P150" s="887">
        <f t="shared" si="68"/>
        <v>0.10364747893427251</v>
      </c>
      <c r="Q150" s="887">
        <f t="shared" si="68"/>
        <v>6.9691205228084696E-2</v>
      </c>
      <c r="R150" s="887">
        <f t="shared" si="68"/>
        <v>0.23371913760147933</v>
      </c>
      <c r="S150" s="887">
        <f t="shared" si="68"/>
        <v>0.15406366806084937</v>
      </c>
      <c r="T150" s="888"/>
      <c r="U150" s="329"/>
      <c r="V150" s="329"/>
      <c r="W150" s="329"/>
      <c r="X150" s="329"/>
      <c r="Y150" s="329"/>
      <c r="Z150" s="329"/>
      <c r="AA150" s="329"/>
      <c r="AB150" s="329"/>
      <c r="AC150" s="438"/>
    </row>
    <row r="151" spans="4:29" x14ac:dyDescent="0.35">
      <c r="D151" s="889" t="s">
        <v>512</v>
      </c>
      <c r="E151" s="890"/>
      <c r="F151" s="887"/>
      <c r="G151" s="887">
        <f t="shared" si="68"/>
        <v>1.6217856588427448E-3</v>
      </c>
      <c r="H151" s="887">
        <f t="shared" si="68"/>
        <v>-9.8195076585786412E-3</v>
      </c>
      <c r="I151" s="887">
        <f t="shared" si="68"/>
        <v>-3.0767948453107596E-2</v>
      </c>
      <c r="J151" s="887">
        <f t="shared" si="68"/>
        <v>-7.7313403452727636E-2</v>
      </c>
      <c r="K151" s="887">
        <f t="shared" si="68"/>
        <v>-1.5359581864805461E-2</v>
      </c>
      <c r="L151" s="887">
        <f t="shared" si="68"/>
        <v>0.17439776752664971</v>
      </c>
      <c r="M151" s="887">
        <f t="shared" si="68"/>
        <v>9.4006543160045863E-2</v>
      </c>
      <c r="N151" s="887">
        <f t="shared" si="68"/>
        <v>0.15250723378892039</v>
      </c>
      <c r="O151" s="887">
        <f t="shared" si="68"/>
        <v>8.8004811201423561E-2</v>
      </c>
      <c r="P151" s="887">
        <f t="shared" si="68"/>
        <v>8.4265283746917774E-2</v>
      </c>
      <c r="Q151" s="887">
        <f t="shared" si="68"/>
        <v>5.2407830182700454E-2</v>
      </c>
      <c r="R151" s="887">
        <f t="shared" si="68"/>
        <v>0.11413452453651107</v>
      </c>
      <c r="S151" s="887">
        <f t="shared" si="68"/>
        <v>0.10252743449255797</v>
      </c>
      <c r="T151" s="888"/>
      <c r="U151" s="329"/>
      <c r="V151" s="329"/>
      <c r="W151" s="329"/>
      <c r="X151" s="329"/>
      <c r="Y151" s="329"/>
      <c r="Z151" s="329"/>
      <c r="AA151" s="329"/>
      <c r="AB151" s="329"/>
      <c r="AC151" s="438"/>
    </row>
    <row r="152" spans="4:29" x14ac:dyDescent="0.35">
      <c r="D152" s="885" t="s">
        <v>499</v>
      </c>
      <c r="E152" s="886"/>
      <c r="F152" s="887"/>
      <c r="G152" s="887">
        <f t="shared" si="68"/>
        <v>2.4344066214849969E-2</v>
      </c>
      <c r="H152" s="887">
        <f t="shared" si="68"/>
        <v>6.4808926543423739E-2</v>
      </c>
      <c r="I152" s="887">
        <f t="shared" si="68"/>
        <v>6.3731772577288348E-2</v>
      </c>
      <c r="J152" s="887">
        <f t="shared" si="68"/>
        <v>-0.23736727268240676</v>
      </c>
      <c r="K152" s="887">
        <f t="shared" si="68"/>
        <v>0.20844376621817839</v>
      </c>
      <c r="L152" s="887">
        <f t="shared" si="68"/>
        <v>0.16511367309277247</v>
      </c>
      <c r="M152" s="887">
        <f t="shared" si="68"/>
        <v>3.314802533242589E-2</v>
      </c>
      <c r="N152" s="887">
        <f t="shared" si="68"/>
        <v>0.12374465481168762</v>
      </c>
      <c r="O152" s="887">
        <f t="shared" si="68"/>
        <v>0.11474111578039969</v>
      </c>
      <c r="P152" s="887">
        <f t="shared" si="68"/>
        <v>0.12355331155960547</v>
      </c>
      <c r="Q152" s="887">
        <f t="shared" si="68"/>
        <v>5.2121400356726078E-2</v>
      </c>
      <c r="R152" s="887">
        <f t="shared" si="68"/>
        <v>3.8378170832219727E-2</v>
      </c>
      <c r="S152" s="887">
        <f t="shared" si="68"/>
        <v>0.10697569974210452</v>
      </c>
      <c r="T152" s="888"/>
      <c r="U152" s="329"/>
      <c r="V152" s="329"/>
      <c r="W152" s="329"/>
      <c r="X152" s="329"/>
      <c r="Y152" s="329"/>
      <c r="Z152" s="329"/>
      <c r="AA152" s="329"/>
      <c r="AB152" s="329"/>
      <c r="AC152" s="438"/>
    </row>
    <row r="153" spans="4:29" x14ac:dyDescent="0.35">
      <c r="D153" s="885" t="s">
        <v>500</v>
      </c>
      <c r="E153" s="890"/>
      <c r="F153" s="887"/>
      <c r="G153" s="887">
        <f t="shared" si="68"/>
        <v>5.6225503215933115E-2</v>
      </c>
      <c r="H153" s="887">
        <f t="shared" si="68"/>
        <v>4.2649929393125507E-2</v>
      </c>
      <c r="I153" s="887">
        <f t="shared" si="68"/>
        <v>-5.4570436543737832E-2</v>
      </c>
      <c r="J153" s="887">
        <f t="shared" si="68"/>
        <v>-0.31755930379794983</v>
      </c>
      <c r="K153" s="887">
        <f t="shared" si="68"/>
        <v>0.45798374797974395</v>
      </c>
      <c r="L153" s="887">
        <f t="shared" si="68"/>
        <v>7.8081900447835251E-2</v>
      </c>
      <c r="M153" s="887">
        <f t="shared" si="68"/>
        <v>0.14462647249539784</v>
      </c>
      <c r="N153" s="887">
        <f t="shared" si="68"/>
        <v>0.21366534100957191</v>
      </c>
      <c r="O153" s="887">
        <f t="shared" si="68"/>
        <v>8.9678764816876422E-2</v>
      </c>
      <c r="P153" s="887">
        <f t="shared" si="68"/>
        <v>0.1152028170216266</v>
      </c>
      <c r="Q153" s="887">
        <f t="shared" si="68"/>
        <v>8.8168054860614076E-2</v>
      </c>
      <c r="R153" s="887">
        <f t="shared" si="68"/>
        <v>0.10364298156306018</v>
      </c>
      <c r="S153" s="887">
        <f t="shared" si="68"/>
        <v>6.3347260248833859E-2</v>
      </c>
      <c r="T153" s="888"/>
      <c r="U153" s="329"/>
      <c r="V153" s="329"/>
      <c r="W153" s="329"/>
      <c r="X153" s="329"/>
      <c r="Y153" s="329"/>
      <c r="Z153" s="329"/>
      <c r="AA153" s="329"/>
      <c r="AB153" s="329"/>
      <c r="AC153" s="438"/>
    </row>
    <row r="154" spans="4:29" x14ac:dyDescent="0.35">
      <c r="D154" s="891" t="s">
        <v>513</v>
      </c>
      <c r="E154" s="748"/>
      <c r="F154" s="749"/>
      <c r="G154" s="749">
        <f t="shared" si="68"/>
        <v>0.13564189817892713</v>
      </c>
      <c r="H154" s="749">
        <f t="shared" si="68"/>
        <v>7.3269037673770798E-2</v>
      </c>
      <c r="I154" s="749">
        <f t="shared" si="68"/>
        <v>-0.41408585427253519</v>
      </c>
      <c r="J154" s="749">
        <f t="shared" si="68"/>
        <v>-0.1433526334649271</v>
      </c>
      <c r="K154" s="749">
        <f t="shared" si="68"/>
        <v>2.6085807680777386</v>
      </c>
      <c r="L154" s="749">
        <f t="shared" si="68"/>
        <v>-0.33127457784416303</v>
      </c>
      <c r="M154" s="749">
        <f t="shared" si="68"/>
        <v>0.81349321781472628</v>
      </c>
      <c r="N154" s="749">
        <f t="shared" si="68"/>
        <v>0.64965427523107366</v>
      </c>
      <c r="O154" s="749">
        <f t="shared" si="68"/>
        <v>-2.3525007110185348E-2</v>
      </c>
      <c r="P154" s="749">
        <f t="shared" si="68"/>
        <v>6.4214621581073494E-3</v>
      </c>
      <c r="Q154" s="749">
        <f t="shared" si="68"/>
        <v>-1.8906537249130384E-2</v>
      </c>
      <c r="R154" s="749">
        <f t="shared" si="68"/>
        <v>0.2176464803225644</v>
      </c>
      <c r="S154" s="749">
        <f t="shared" si="68"/>
        <v>0.10662674433130115</v>
      </c>
      <c r="T154" s="750"/>
      <c r="U154" s="273"/>
      <c r="V154" s="273"/>
      <c r="W154" s="273"/>
      <c r="X154" s="273"/>
      <c r="Y154" s="273"/>
      <c r="Z154" s="273"/>
      <c r="AA154" s="273"/>
      <c r="AB154" s="273"/>
      <c r="AC154" s="301"/>
    </row>
    <row r="157" spans="4:29" ht="14.9" customHeight="1" x14ac:dyDescent="0.35"/>
  </sheetData>
  <mergeCells count="44">
    <mergeCell ref="D121:E121"/>
    <mergeCell ref="D145:AC145"/>
    <mergeCell ref="AK109:AN109"/>
    <mergeCell ref="D119:E120"/>
    <mergeCell ref="F119:H119"/>
    <mergeCell ref="I119:L119"/>
    <mergeCell ref="M119:P119"/>
    <mergeCell ref="Q119:T119"/>
    <mergeCell ref="Y119:AB119"/>
    <mergeCell ref="AC119:AF119"/>
    <mergeCell ref="AG119:AJ119"/>
    <mergeCell ref="AK119:AN119"/>
    <mergeCell ref="AC109:AF109"/>
    <mergeCell ref="AG109:AJ109"/>
    <mergeCell ref="P77:S77"/>
    <mergeCell ref="D109:E110"/>
    <mergeCell ref="F109:H109"/>
    <mergeCell ref="I109:L109"/>
    <mergeCell ref="M109:P109"/>
    <mergeCell ref="Q109:T109"/>
    <mergeCell ref="D35:F35"/>
    <mergeCell ref="F47:V47"/>
    <mergeCell ref="W47:AH47"/>
    <mergeCell ref="AG48:AJ48"/>
    <mergeCell ref="O76:V76"/>
    <mergeCell ref="AC48:AF48"/>
    <mergeCell ref="F48:H48"/>
    <mergeCell ref="I48:L48"/>
    <mergeCell ref="M48:P48"/>
    <mergeCell ref="Q48:T48"/>
    <mergeCell ref="Y48:AB48"/>
    <mergeCell ref="D1:AC1"/>
    <mergeCell ref="D2:AC3"/>
    <mergeCell ref="D5:E7"/>
    <mergeCell ref="F5:AB5"/>
    <mergeCell ref="AC5:AN5"/>
    <mergeCell ref="F6:H6"/>
    <mergeCell ref="I6:L6"/>
    <mergeCell ref="M6:P6"/>
    <mergeCell ref="Q6:T6"/>
    <mergeCell ref="U6:X6"/>
    <mergeCell ref="AC6:AF6"/>
    <mergeCell ref="AG6:AJ6"/>
    <mergeCell ref="AK6:AN6"/>
  </mergeCells>
  <pageMargins left="0.7" right="0.7" top="0.75" bottom="0.75" header="0.3" footer="0.3"/>
  <pageSetup orientation="portrait"/>
  <drawing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BT87"/>
  <sheetViews>
    <sheetView zoomScale="115" zoomScaleNormal="115" workbookViewId="0">
      <pane xSplit="3" ySplit="4" topLeftCell="Y35" activePane="bottomRight" state="frozen"/>
      <selection pane="topRight" activeCell="D1" sqref="D1"/>
      <selection pane="bottomLeft" activeCell="A5" sqref="A5"/>
      <selection pane="bottomRight" activeCell="AD48" sqref="AD48"/>
    </sheetView>
  </sheetViews>
  <sheetFormatPr defaultColWidth="10.90625" defaultRowHeight="14.5" x14ac:dyDescent="0.35"/>
  <cols>
    <col min="1" max="1" width="19.1796875" customWidth="1"/>
    <col min="2" max="2" width="37" customWidth="1"/>
    <col min="3" max="3" width="13.1796875" customWidth="1"/>
    <col min="20" max="29" width="11.54296875" customWidth="1"/>
    <col min="30" max="32" width="12.1796875" customWidth="1"/>
  </cols>
  <sheetData>
    <row r="1" spans="2:40" x14ac:dyDescent="0.35">
      <c r="B1" s="1318" t="s">
        <v>1699</v>
      </c>
      <c r="C1" s="1318"/>
      <c r="D1" s="1318"/>
      <c r="E1" s="1318"/>
      <c r="F1" s="1318"/>
      <c r="G1" s="1318"/>
      <c r="H1" s="1318"/>
      <c r="I1" s="1318"/>
      <c r="J1" s="1318"/>
      <c r="K1" s="1318"/>
      <c r="L1" s="1318"/>
      <c r="M1" s="1318"/>
      <c r="N1" s="1318"/>
      <c r="O1" s="1318"/>
      <c r="P1" s="1318"/>
      <c r="Q1" s="1318"/>
      <c r="R1" s="1318"/>
      <c r="S1" s="1318"/>
      <c r="T1" s="1318"/>
      <c r="U1" s="1318"/>
      <c r="V1" s="1318"/>
      <c r="W1" s="1318"/>
      <c r="X1" s="1318"/>
      <c r="Y1" s="1318"/>
      <c r="Z1" s="1318"/>
      <c r="AA1" s="1318"/>
      <c r="AB1" s="1318"/>
      <c r="AC1" s="1318"/>
    </row>
    <row r="2" spans="2:40" x14ac:dyDescent="0.35">
      <c r="B2" s="1360" t="s">
        <v>1954</v>
      </c>
      <c r="C2" s="1360"/>
      <c r="D2" s="1360"/>
      <c r="E2" s="1360"/>
      <c r="F2" s="1360"/>
      <c r="G2" s="1360"/>
      <c r="H2" s="1360"/>
      <c r="I2" s="1360"/>
      <c r="J2" s="1360"/>
      <c r="K2" s="1360"/>
      <c r="L2" s="1360"/>
      <c r="M2" s="1360"/>
      <c r="N2" s="1360"/>
      <c r="O2" s="1360"/>
      <c r="P2" s="1360"/>
      <c r="Q2" s="1360"/>
      <c r="R2" s="1360"/>
      <c r="S2" s="1360"/>
      <c r="T2" s="1360"/>
      <c r="U2" s="1360"/>
      <c r="V2" s="1360"/>
      <c r="W2" s="1360"/>
      <c r="X2" s="1360"/>
      <c r="Y2" s="1360"/>
      <c r="Z2" s="1360"/>
      <c r="AA2" s="1360"/>
      <c r="AB2" s="1360"/>
      <c r="AC2" s="1360"/>
    </row>
    <row r="3" spans="2:40" x14ac:dyDescent="0.35">
      <c r="B3" s="1360"/>
      <c r="C3" s="1360"/>
      <c r="D3" s="1360"/>
      <c r="E3" s="1360"/>
      <c r="F3" s="1360"/>
      <c r="G3" s="1360"/>
      <c r="H3" s="1360"/>
      <c r="I3" s="1360"/>
      <c r="J3" s="1360"/>
      <c r="K3" s="1360"/>
      <c r="L3" s="1360"/>
      <c r="M3" s="1360"/>
      <c r="N3" s="1360"/>
      <c r="O3" s="1360"/>
      <c r="P3" s="1360"/>
      <c r="Q3" s="1360"/>
      <c r="R3" s="1360"/>
      <c r="S3" s="1360"/>
      <c r="T3" s="1360"/>
      <c r="U3" s="1360"/>
      <c r="V3" s="1360"/>
      <c r="W3" s="1360"/>
      <c r="X3" s="1360"/>
      <c r="Y3" s="1360"/>
      <c r="Z3" s="1360"/>
      <c r="AA3" s="1360"/>
      <c r="AB3" s="1360"/>
      <c r="AC3" s="1360"/>
    </row>
    <row r="4" spans="2:40" x14ac:dyDescent="0.35">
      <c r="B4" s="1360"/>
      <c r="C4" s="1360"/>
      <c r="D4" s="1360"/>
      <c r="E4" s="1360"/>
      <c r="F4" s="1360"/>
      <c r="G4" s="1360"/>
      <c r="H4" s="1360"/>
      <c r="I4" s="1360"/>
      <c r="J4" s="1360"/>
      <c r="K4" s="1360"/>
      <c r="L4" s="1360"/>
      <c r="M4" s="1360"/>
      <c r="N4" s="1360"/>
      <c r="O4" s="1360"/>
      <c r="P4" s="1360"/>
      <c r="Q4" s="1360"/>
      <c r="R4" s="1360"/>
      <c r="S4" s="1360"/>
      <c r="T4" s="1360"/>
      <c r="U4" s="1360"/>
      <c r="V4" s="1360"/>
      <c r="W4" s="1360"/>
      <c r="X4" s="1360"/>
      <c r="Y4" s="1360"/>
      <c r="Z4" s="1360"/>
      <c r="AA4" s="1360"/>
      <c r="AB4" s="1360"/>
      <c r="AC4" s="1360"/>
    </row>
    <row r="5" spans="2:40" x14ac:dyDescent="0.35">
      <c r="B5" s="255"/>
      <c r="C5" s="255"/>
      <c r="D5" s="255"/>
      <c r="E5" s="255"/>
      <c r="F5" s="255"/>
      <c r="G5" s="255"/>
      <c r="H5" s="255"/>
      <c r="I5" s="255"/>
      <c r="J5" s="255"/>
      <c r="K5" s="255"/>
      <c r="L5" s="255"/>
      <c r="M5" s="255"/>
      <c r="N5" s="255"/>
      <c r="O5" s="255"/>
      <c r="P5" s="255"/>
      <c r="Q5" s="255"/>
      <c r="R5" s="255"/>
      <c r="S5" s="255"/>
      <c r="T5" s="255"/>
      <c r="U5" s="255"/>
      <c r="V5" s="255"/>
      <c r="W5" s="255"/>
      <c r="X5" s="255"/>
      <c r="Y5" s="255"/>
      <c r="Z5" s="255"/>
      <c r="AA5" s="255"/>
      <c r="AB5" s="255"/>
      <c r="AC5" s="255"/>
    </row>
    <row r="6" spans="2:40" x14ac:dyDescent="0.35">
      <c r="B6" s="56"/>
      <c r="C6" s="924"/>
      <c r="D6" s="905"/>
      <c r="E6" s="905"/>
      <c r="F6" s="905"/>
      <c r="G6" s="905"/>
      <c r="H6" s="905"/>
      <c r="I6" s="905"/>
      <c r="J6" s="905"/>
      <c r="K6" s="905"/>
      <c r="L6" s="905"/>
      <c r="M6" s="905"/>
      <c r="N6" s="905"/>
      <c r="O6" s="905"/>
      <c r="P6" s="905"/>
      <c r="Q6" s="905"/>
      <c r="R6" s="905"/>
      <c r="S6" s="905"/>
      <c r="T6" s="905"/>
      <c r="U6" s="905"/>
      <c r="V6" s="905"/>
      <c r="W6" s="905"/>
      <c r="X6" s="905"/>
      <c r="Y6" s="905"/>
      <c r="Z6" s="905"/>
      <c r="AA6" s="905"/>
      <c r="AB6" s="905"/>
      <c r="AC6" s="905"/>
      <c r="AD6" s="905"/>
      <c r="AE6" s="905"/>
      <c r="AF6" s="905"/>
    </row>
    <row r="7" spans="2:40" ht="14.5" customHeight="1" x14ac:dyDescent="0.35">
      <c r="B7" s="1433" t="s">
        <v>1724</v>
      </c>
      <c r="C7" s="1433"/>
      <c r="D7" s="1434"/>
      <c r="E7" s="1434"/>
      <c r="F7" s="1434"/>
      <c r="G7" s="255"/>
      <c r="H7" s="255"/>
      <c r="I7" s="255"/>
      <c r="J7" s="255"/>
      <c r="K7" s="255"/>
      <c r="L7" s="255"/>
      <c r="M7" s="255"/>
      <c r="N7" s="255"/>
      <c r="O7" s="255"/>
      <c r="P7" s="255"/>
      <c r="Q7" s="255"/>
      <c r="R7" s="255"/>
      <c r="S7" s="255"/>
      <c r="T7" s="255"/>
      <c r="U7" s="255"/>
      <c r="V7" s="255"/>
      <c r="W7" s="255"/>
      <c r="X7" s="255"/>
      <c r="Y7" s="255"/>
      <c r="Z7" s="255"/>
      <c r="AA7" s="255"/>
      <c r="AB7" s="255"/>
      <c r="AC7" s="255"/>
    </row>
    <row r="8" spans="2:40" x14ac:dyDescent="0.35">
      <c r="B8" s="1323" t="s">
        <v>1713</v>
      </c>
      <c r="C8" s="1324"/>
      <c r="D8" s="1347" t="s">
        <v>279</v>
      </c>
      <c r="E8" s="1348"/>
      <c r="F8" s="1348"/>
      <c r="G8" s="1348"/>
      <c r="H8" s="1348"/>
      <c r="I8" s="1348"/>
      <c r="J8" s="1348"/>
      <c r="K8" s="1348"/>
      <c r="L8" s="1348"/>
      <c r="M8" s="1348"/>
      <c r="N8" s="1348"/>
      <c r="O8" s="1348"/>
      <c r="P8" s="1348"/>
      <c r="Q8" s="1348"/>
      <c r="R8" s="1348"/>
      <c r="S8" s="1348"/>
      <c r="T8" s="1348"/>
      <c r="U8" s="1348"/>
      <c r="V8" s="1349"/>
      <c r="W8" s="899"/>
      <c r="X8" s="894"/>
      <c r="Y8" s="894"/>
      <c r="Z8" s="894"/>
      <c r="AA8" s="894"/>
      <c r="AB8" s="1350" t="s">
        <v>1739</v>
      </c>
      <c r="AC8" s="1331"/>
      <c r="AD8" s="1331"/>
      <c r="AE8" s="1331"/>
      <c r="AF8" s="1331"/>
      <c r="AG8" s="1331"/>
      <c r="AH8" s="1331"/>
      <c r="AI8" s="1331"/>
      <c r="AJ8" s="1331"/>
      <c r="AK8" s="1331"/>
      <c r="AL8" s="1331"/>
      <c r="AM8" s="1331"/>
      <c r="AN8" s="1332"/>
    </row>
    <row r="9" spans="2:40" x14ac:dyDescent="0.35">
      <c r="B9" s="1325"/>
      <c r="C9" s="1326"/>
      <c r="D9" s="896">
        <v>2018</v>
      </c>
      <c r="E9" s="1342">
        <v>2019</v>
      </c>
      <c r="F9" s="1354"/>
      <c r="G9" s="1354"/>
      <c r="H9" s="1344"/>
      <c r="I9" s="1342">
        <v>2020</v>
      </c>
      <c r="J9" s="1354"/>
      <c r="K9" s="1354"/>
      <c r="L9" s="1344"/>
      <c r="M9" s="1342">
        <v>2021</v>
      </c>
      <c r="N9" s="1354"/>
      <c r="O9" s="1354"/>
      <c r="P9" s="1344"/>
      <c r="Q9" s="1345">
        <v>2022</v>
      </c>
      <c r="R9" s="1346"/>
      <c r="S9" s="302"/>
      <c r="T9" s="309"/>
      <c r="U9" s="460"/>
      <c r="V9" s="302">
        <v>2023</v>
      </c>
      <c r="W9" s="302"/>
      <c r="X9" s="309"/>
      <c r="Y9" s="460"/>
      <c r="Z9" s="302">
        <v>2024</v>
      </c>
      <c r="AA9" s="302"/>
      <c r="AB9" s="309"/>
      <c r="AC9" s="1352">
        <v>2025</v>
      </c>
      <c r="AD9" s="1353"/>
      <c r="AE9" s="1353"/>
      <c r="AF9" s="1426"/>
      <c r="AG9" s="1353">
        <v>2026</v>
      </c>
      <c r="AH9" s="1353"/>
      <c r="AI9" s="1353"/>
      <c r="AJ9" s="1426"/>
      <c r="AK9" s="1329">
        <v>2027</v>
      </c>
      <c r="AL9" s="1330"/>
      <c r="AM9" s="1330"/>
      <c r="AN9" s="1334"/>
    </row>
    <row r="10" spans="2:40" x14ac:dyDescent="0.35">
      <c r="B10" s="1327"/>
      <c r="C10" s="1328"/>
      <c r="D10" s="897" t="s">
        <v>281</v>
      </c>
      <c r="E10" s="286" t="s">
        <v>282</v>
      </c>
      <c r="F10" s="287" t="s">
        <v>283</v>
      </c>
      <c r="G10" s="287" t="s">
        <v>238</v>
      </c>
      <c r="H10" s="285" t="s">
        <v>281</v>
      </c>
      <c r="I10" s="286" t="s">
        <v>282</v>
      </c>
      <c r="J10" s="287" t="s">
        <v>283</v>
      </c>
      <c r="K10" s="287" t="s">
        <v>238</v>
      </c>
      <c r="L10" s="285" t="s">
        <v>281</v>
      </c>
      <c r="M10" s="286" t="s">
        <v>282</v>
      </c>
      <c r="N10" s="287" t="s">
        <v>283</v>
      </c>
      <c r="O10" s="287" t="s">
        <v>238</v>
      </c>
      <c r="P10" s="285" t="s">
        <v>281</v>
      </c>
      <c r="Q10" s="286" t="s">
        <v>282</v>
      </c>
      <c r="R10" s="287" t="s">
        <v>283</v>
      </c>
      <c r="S10" s="287" t="s">
        <v>238</v>
      </c>
      <c r="T10" s="285" t="s">
        <v>281</v>
      </c>
      <c r="U10" s="286" t="s">
        <v>282</v>
      </c>
      <c r="V10" s="287" t="s">
        <v>283</v>
      </c>
      <c r="W10" s="287" t="s">
        <v>238</v>
      </c>
      <c r="X10" s="285" t="s">
        <v>281</v>
      </c>
      <c r="Y10" s="286" t="s">
        <v>282</v>
      </c>
      <c r="Z10" s="292" t="s">
        <v>283</v>
      </c>
      <c r="AA10" s="287" t="s">
        <v>238</v>
      </c>
      <c r="AB10" s="285" t="s">
        <v>281</v>
      </c>
      <c r="AC10" s="299" t="s">
        <v>282</v>
      </c>
      <c r="AD10" s="273" t="s">
        <v>283</v>
      </c>
      <c r="AE10" s="273" t="s">
        <v>238</v>
      </c>
      <c r="AF10" s="438" t="s">
        <v>281</v>
      </c>
      <c r="AG10" s="273" t="s">
        <v>282</v>
      </c>
      <c r="AH10" s="271" t="s">
        <v>283</v>
      </c>
      <c r="AI10" s="273" t="s">
        <v>238</v>
      </c>
      <c r="AJ10" s="301" t="s">
        <v>281</v>
      </c>
      <c r="AK10" s="299" t="s">
        <v>282</v>
      </c>
      <c r="AL10" s="271" t="s">
        <v>283</v>
      </c>
      <c r="AM10" s="273" t="s">
        <v>238</v>
      </c>
      <c r="AN10" s="301" t="s">
        <v>281</v>
      </c>
    </row>
    <row r="11" spans="2:40" x14ac:dyDescent="0.35">
      <c r="B11" s="1438" t="s">
        <v>1723</v>
      </c>
      <c r="C11" s="1439"/>
      <c r="D11" s="1439"/>
      <c r="E11" s="1439"/>
      <c r="F11" s="1439"/>
      <c r="G11" s="1439"/>
      <c r="H11" s="1439"/>
      <c r="I11" s="1439"/>
      <c r="J11" s="1439"/>
      <c r="K11" s="1439"/>
      <c r="L11" s="1439"/>
      <c r="M11" s="1439"/>
      <c r="N11" s="1439"/>
      <c r="O11" s="1439"/>
      <c r="P11" s="1439"/>
      <c r="Q11" s="1439"/>
      <c r="R11" s="1439"/>
      <c r="S11" s="1439"/>
      <c r="T11" s="1439"/>
      <c r="U11" s="1439"/>
      <c r="V11" s="1439"/>
      <c r="W11" s="1439"/>
      <c r="X11" s="1439"/>
      <c r="Y11" s="1439"/>
      <c r="Z11" s="1439"/>
      <c r="AA11" s="1439"/>
      <c r="AB11" s="1439"/>
      <c r="AC11" s="1439"/>
      <c r="AD11" s="1439"/>
      <c r="AE11" s="1439"/>
      <c r="AF11" s="1439"/>
      <c r="AG11" s="1439"/>
      <c r="AH11" s="1439"/>
      <c r="AI11" s="1439"/>
      <c r="AJ11" s="1439"/>
      <c r="AK11" s="1439"/>
      <c r="AL11" s="1439"/>
      <c r="AM11" s="1439"/>
      <c r="AN11" s="1440"/>
    </row>
    <row r="12" spans="2:40" x14ac:dyDescent="0.35">
      <c r="B12" s="934" t="s">
        <v>1702</v>
      </c>
      <c r="C12" s="935"/>
      <c r="D12" s="929">
        <f t="shared" ref="D12:T12" si="0">D45</f>
        <v>1.5264497223703488E-2</v>
      </c>
      <c r="E12" s="929">
        <f t="shared" si="0"/>
        <v>8.1697245486058723E-3</v>
      </c>
      <c r="F12" s="929">
        <f t="shared" si="0"/>
        <v>2.2550676192391039E-2</v>
      </c>
      <c r="G12" s="929">
        <f t="shared" si="0"/>
        <v>9.6649063963889503E-3</v>
      </c>
      <c r="H12" s="929">
        <f t="shared" si="0"/>
        <v>1.5834666967584843E-2</v>
      </c>
      <c r="I12" s="929">
        <f t="shared" si="0"/>
        <v>1.239349514115573E-2</v>
      </c>
      <c r="J12" s="929">
        <f t="shared" si="0"/>
        <v>-1.5843080973497181E-2</v>
      </c>
      <c r="K12" s="929">
        <f t="shared" si="0"/>
        <v>3.2862675445769929E-2</v>
      </c>
      <c r="L12" s="929">
        <f t="shared" si="0"/>
        <v>1.9524743592179927E-2</v>
      </c>
      <c r="M12" s="929">
        <f t="shared" si="0"/>
        <v>4.5919222990944863E-2</v>
      </c>
      <c r="N12" s="929">
        <f t="shared" si="0"/>
        <v>6.3763215063124212E-2</v>
      </c>
      <c r="O12" s="929">
        <f t="shared" si="0"/>
        <v>5.6353404292981857E-2</v>
      </c>
      <c r="P12" s="929">
        <f t="shared" si="0"/>
        <v>6.7661635913466744E-2</v>
      </c>
      <c r="Q12" s="929">
        <f t="shared" si="0"/>
        <v>7.7270298955965933E-2</v>
      </c>
      <c r="R12" s="929">
        <f t="shared" si="0"/>
        <v>7.554614845470442E-2</v>
      </c>
      <c r="S12" s="929">
        <f t="shared" si="0"/>
        <v>4.7220953130670873E-2</v>
      </c>
      <c r="T12" s="950">
        <f t="shared" si="0"/>
        <v>4.0176508092810925E-2</v>
      </c>
      <c r="U12" s="929">
        <f t="shared" ref="U12:AF12" si="1">U45+U13</f>
        <v>3.9428535960380762E-2</v>
      </c>
      <c r="V12" s="929">
        <f t="shared" si="1"/>
        <v>2.9211734875661532E-2</v>
      </c>
      <c r="W12" s="929">
        <f t="shared" si="1"/>
        <v>2.6927277215065937E-2</v>
      </c>
      <c r="X12" s="929">
        <f t="shared" si="1"/>
        <v>1.6533593023621451E-2</v>
      </c>
      <c r="Y12" s="929">
        <f t="shared" si="1"/>
        <v>3.4247515494288061E-2</v>
      </c>
      <c r="Z12" s="929">
        <f t="shared" si="1"/>
        <v>2.5312909540798456E-2</v>
      </c>
      <c r="AA12" s="929">
        <f t="shared" si="1"/>
        <v>1.5403536594506217E-2</v>
      </c>
      <c r="AB12" s="929">
        <f>AB45+AB13</f>
        <v>2.3839052457011789E-2</v>
      </c>
      <c r="AC12" s="929">
        <f t="shared" si="1"/>
        <v>3.6577985459982365E-2</v>
      </c>
      <c r="AD12" s="929">
        <f>AD45+AD13</f>
        <v>2.0797032106222968E-2</v>
      </c>
      <c r="AE12" s="929">
        <f>AE45+AE13</f>
        <v>2.3874932014508632E-2</v>
      </c>
      <c r="AF12" s="929">
        <f t="shared" si="1"/>
        <v>2.4011392938697362E-2</v>
      </c>
      <c r="AG12" s="905">
        <f>AG45+AG13</f>
        <v>2.1469131944638509E-2</v>
      </c>
      <c r="AH12" s="905">
        <f>AH45+AH13</f>
        <v>2.037795778240481E-2</v>
      </c>
      <c r="AI12" s="929">
        <f t="shared" ref="AI12" si="2">AI45+AI13</f>
        <v>2.031319568771961E-2</v>
      </c>
      <c r="AJ12" s="929">
        <f>AJ45+AJ13</f>
        <v>2.0411174157790368E-2</v>
      </c>
      <c r="AK12" s="905">
        <f t="shared" ref="AK12:AN12" si="3">AK45+AK13</f>
        <v>2.0278651758323107E-2</v>
      </c>
      <c r="AL12" s="905">
        <f t="shared" si="3"/>
        <v>2.0181831515000193E-2</v>
      </c>
      <c r="AM12" s="905">
        <f t="shared" si="3"/>
        <v>2.008748904793789E-2</v>
      </c>
      <c r="AN12" s="905">
        <f t="shared" si="3"/>
        <v>2.0063466029726529E-2</v>
      </c>
    </row>
    <row r="13" spans="2:40" x14ac:dyDescent="0.35">
      <c r="B13" s="939" t="s">
        <v>1734</v>
      </c>
      <c r="C13" s="936"/>
      <c r="D13" s="937"/>
      <c r="E13" s="938"/>
      <c r="F13" s="938"/>
      <c r="G13" s="938"/>
      <c r="H13" s="938"/>
      <c r="I13" s="938"/>
      <c r="J13" s="938"/>
      <c r="K13" s="938"/>
      <c r="L13" s="938"/>
      <c r="M13" s="938"/>
      <c r="N13" s="938"/>
      <c r="O13" s="938"/>
      <c r="P13" s="938"/>
      <c r="Q13" s="938"/>
      <c r="R13" s="938"/>
      <c r="S13" s="938"/>
      <c r="T13" s="938"/>
      <c r="U13" s="938"/>
      <c r="V13" s="938"/>
      <c r="W13" s="938"/>
      <c r="X13" s="938"/>
      <c r="Y13" s="938"/>
      <c r="Z13" s="938"/>
      <c r="AA13" s="938"/>
      <c r="AB13" s="938"/>
      <c r="AC13" s="938"/>
      <c r="AD13" s="938"/>
      <c r="AE13" s="938"/>
      <c r="AF13" s="938">
        <v>2E-3</v>
      </c>
      <c r="AG13" s="905"/>
      <c r="AH13" s="905"/>
      <c r="AI13" s="938"/>
      <c r="AJ13" s="905"/>
    </row>
    <row r="14" spans="2:40" x14ac:dyDescent="0.35">
      <c r="B14" s="892" t="s">
        <v>1703</v>
      </c>
      <c r="C14" s="935"/>
      <c r="D14" s="905">
        <f t="shared" ref="D14:S14" si="4">D48</f>
        <v>2.9477765289275926E-2</v>
      </c>
      <c r="E14" s="905">
        <f t="shared" si="4"/>
        <v>3.7241332054374521E-2</v>
      </c>
      <c r="F14" s="905">
        <f t="shared" si="4"/>
        <v>-2.6356011696502479E-2</v>
      </c>
      <c r="G14" s="905">
        <f t="shared" si="4"/>
        <v>3.7347692764231333E-3</v>
      </c>
      <c r="H14" s="905">
        <f t="shared" si="4"/>
        <v>1.463826004028701E-2</v>
      </c>
      <c r="I14" s="905">
        <f t="shared" si="4"/>
        <v>1.2149501243322813E-2</v>
      </c>
      <c r="J14" s="905">
        <f t="shared" si="4"/>
        <v>2.5590697877679869E-3</v>
      </c>
      <c r="K14" s="905">
        <f t="shared" si="4"/>
        <v>2.2030538597398897E-2</v>
      </c>
      <c r="L14" s="905">
        <f t="shared" si="4"/>
        <v>3.0184246589695318E-2</v>
      </c>
      <c r="M14" s="905">
        <f t="shared" si="4"/>
        <v>3.1074822316861761E-2</v>
      </c>
      <c r="N14" s="905">
        <f t="shared" si="4"/>
        <v>4.3814411385844076E-2</v>
      </c>
      <c r="O14" s="905">
        <f t="shared" si="4"/>
        <v>4.8079114499886888E-2</v>
      </c>
      <c r="P14" s="905">
        <f t="shared" si="4"/>
        <v>5.0423609727379137E-2</v>
      </c>
      <c r="Q14" s="905">
        <f t="shared" si="4"/>
        <v>6.5677487260019429E-2</v>
      </c>
      <c r="R14" s="905">
        <f t="shared" si="4"/>
        <v>7.488961890096113E-2</v>
      </c>
      <c r="S14" s="905">
        <f t="shared" si="4"/>
        <v>5.3316340788000627E-2</v>
      </c>
      <c r="T14" s="905">
        <f>T48</f>
        <v>4.1496756379381328E-2</v>
      </c>
      <c r="U14" s="905">
        <f>U48+U15</f>
        <v>4.2898407970302532E-2</v>
      </c>
      <c r="V14" s="905">
        <f t="shared" ref="V14:AF14" si="5">V48+V15</f>
        <v>3.5017736429978852E-2</v>
      </c>
      <c r="W14" s="905">
        <f t="shared" si="5"/>
        <v>3.8113924198168725E-2</v>
      </c>
      <c r="X14" s="905">
        <f t="shared" si="5"/>
        <v>3.8299248311242984E-2</v>
      </c>
      <c r="Y14" s="905">
        <f t="shared" si="5"/>
        <v>3.5508670157945676E-2</v>
      </c>
      <c r="Z14" s="905">
        <f t="shared" si="5"/>
        <v>2.8203399736230539E-2</v>
      </c>
      <c r="AA14" s="905">
        <f t="shared" si="5"/>
        <v>2.4481644318991469E-2</v>
      </c>
      <c r="AB14" s="905">
        <f t="shared" si="5"/>
        <v>2.665590972416565E-2</v>
      </c>
      <c r="AC14" s="905">
        <f t="shared" si="5"/>
        <v>5.6768969247473322E-2</v>
      </c>
      <c r="AD14" s="905">
        <f t="shared" si="5"/>
        <v>6.1030824179235887E-2</v>
      </c>
      <c r="AE14" s="905">
        <f>AE48+AE15</f>
        <v>2.4729668703095779E-2</v>
      </c>
      <c r="AF14" s="905">
        <f t="shared" si="5"/>
        <v>2.4119603614899725E-2</v>
      </c>
      <c r="AG14" s="898">
        <f t="shared" ref="AG14:AH14" si="6">AG48+AG15</f>
        <v>2.1515602617293128E-2</v>
      </c>
      <c r="AH14" s="898">
        <f t="shared" si="6"/>
        <v>2.2790850007197161E-2</v>
      </c>
      <c r="AI14" s="905">
        <f t="shared" ref="AI14:AN14" si="7">AI48+AI15</f>
        <v>2.3263295207157642E-2</v>
      </c>
      <c r="AJ14" s="898">
        <f t="shared" si="7"/>
        <v>2.3889685874715294E-2</v>
      </c>
      <c r="AK14" s="898">
        <f t="shared" si="7"/>
        <v>2.2412555601408091E-2</v>
      </c>
      <c r="AL14" s="898">
        <f t="shared" si="7"/>
        <v>2.2147320108405477E-2</v>
      </c>
      <c r="AM14" s="898">
        <f t="shared" si="7"/>
        <v>2.2772302614111117E-2</v>
      </c>
      <c r="AN14" s="898">
        <f t="shared" si="7"/>
        <v>2.3247045836330082E-2</v>
      </c>
    </row>
    <row r="15" spans="2:40" x14ac:dyDescent="0.35">
      <c r="B15" s="344" t="s">
        <v>1735</v>
      </c>
      <c r="C15" s="936"/>
      <c r="D15" s="937"/>
      <c r="E15" s="938"/>
      <c r="F15" s="938"/>
      <c r="G15" s="938"/>
      <c r="H15" s="938"/>
      <c r="I15" s="938"/>
      <c r="J15" s="938"/>
      <c r="K15" s="938"/>
      <c r="L15" s="938"/>
      <c r="M15" s="938"/>
      <c r="N15" s="938"/>
      <c r="O15" s="938"/>
      <c r="P15" s="938"/>
      <c r="Q15" s="938"/>
      <c r="R15" s="938"/>
      <c r="S15" s="938"/>
      <c r="T15" s="938"/>
      <c r="U15" s="938"/>
      <c r="V15" s="938"/>
      <c r="W15" s="938"/>
      <c r="X15" s="938"/>
      <c r="Y15" s="938"/>
      <c r="Z15" s="938"/>
      <c r="AA15" s="938"/>
      <c r="AB15" s="938"/>
      <c r="AC15" s="938"/>
      <c r="AD15" s="938"/>
      <c r="AE15" s="938"/>
      <c r="AF15" s="938"/>
      <c r="AG15" s="905"/>
      <c r="AH15" s="905"/>
      <c r="AI15" s="905"/>
      <c r="AJ15" s="905"/>
    </row>
    <row r="16" spans="2:40" x14ac:dyDescent="0.35">
      <c r="B16" s="892" t="s">
        <v>1704</v>
      </c>
      <c r="C16" s="935"/>
      <c r="D16" s="905">
        <f t="shared" ref="D16:T16" si="8">D49</f>
        <v>1.7606158659444704E-2</v>
      </c>
      <c r="E16" s="905">
        <f t="shared" si="8"/>
        <v>-1.9289094877951052E-2</v>
      </c>
      <c r="F16" s="905">
        <f t="shared" si="8"/>
        <v>3.0411677963670725E-2</v>
      </c>
      <c r="G16" s="905">
        <f t="shared" si="8"/>
        <v>1.5793384791695786E-2</v>
      </c>
      <c r="H16" s="905">
        <f t="shared" si="8"/>
        <v>2.3589262537388134E-2</v>
      </c>
      <c r="I16" s="905">
        <f t="shared" si="8"/>
        <v>5.264893740513088E-2</v>
      </c>
      <c r="J16" s="905">
        <f t="shared" si="8"/>
        <v>-5.217742186237273E-3</v>
      </c>
      <c r="K16" s="905">
        <f t="shared" si="8"/>
        <v>4.8875550231923137E-2</v>
      </c>
      <c r="L16" s="905">
        <f t="shared" si="8"/>
        <v>4.9958958569866319E-2</v>
      </c>
      <c r="M16" s="905">
        <f t="shared" si="8"/>
        <v>9.1754054615137415E-2</v>
      </c>
      <c r="N16" s="905">
        <f t="shared" si="8"/>
        <v>8.1251965588764241E-2</v>
      </c>
      <c r="O16" s="905">
        <f t="shared" si="8"/>
        <v>6.5854996027893797E-2</v>
      </c>
      <c r="P16" s="905">
        <f t="shared" si="8"/>
        <v>8.1420811365759738E-2</v>
      </c>
      <c r="Q16" s="905">
        <f t="shared" si="8"/>
        <v>9.5809760841454095E-2</v>
      </c>
      <c r="R16" s="905">
        <f t="shared" si="8"/>
        <v>0.14288883985037359</v>
      </c>
      <c r="S16" s="905">
        <f t="shared" si="8"/>
        <v>5.753757100426693E-3</v>
      </c>
      <c r="T16" s="905">
        <f t="shared" si="8"/>
        <v>1.1355976812321922E-2</v>
      </c>
      <c r="U16" s="923">
        <f>U49+U17</f>
        <v>-2.087064600501487E-2</v>
      </c>
      <c r="V16" s="905">
        <f t="shared" ref="V16:AF16" si="9">V49+V17</f>
        <v>-3.6759658065968148E-2</v>
      </c>
      <c r="W16" s="905">
        <f t="shared" si="9"/>
        <v>4.0372871979416969E-2</v>
      </c>
      <c r="X16" s="905">
        <f t="shared" si="9"/>
        <v>-1.1102871005200798E-3</v>
      </c>
      <c r="Y16" s="905">
        <f t="shared" si="9"/>
        <v>3.8608393322818291E-2</v>
      </c>
      <c r="Z16" s="905">
        <f t="shared" si="9"/>
        <v>1.6292943839810503E-2</v>
      </c>
      <c r="AA16" s="905">
        <f t="shared" si="9"/>
        <v>2.3887845221117976E-2</v>
      </c>
      <c r="AB16" s="905">
        <f t="shared" si="9"/>
        <v>1.7801857364531548E-2</v>
      </c>
      <c r="AC16" s="905">
        <f t="shared" si="9"/>
        <v>3.9281195609842667E-2</v>
      </c>
      <c r="AD16" s="905">
        <f t="shared" si="9"/>
        <v>6.6477162008220514E-3</v>
      </c>
      <c r="AE16" s="905">
        <f t="shared" si="9"/>
        <v>3.1343868352262882E-2</v>
      </c>
      <c r="AF16" s="905">
        <f t="shared" si="9"/>
        <v>3.2394354805230341E-2</v>
      </c>
      <c r="AG16" s="898">
        <f t="shared" ref="AG16:AH16" si="10">AG49+AG17</f>
        <v>3.3164637629816696E-2</v>
      </c>
      <c r="AH16" s="898">
        <f t="shared" si="10"/>
        <v>3.1425713898589613E-2</v>
      </c>
      <c r="AI16" s="898">
        <f t="shared" ref="AI16:AM16" si="11">AI49+AI17</f>
        <v>3.1013053419121528E-2</v>
      </c>
      <c r="AJ16" s="898">
        <f t="shared" si="11"/>
        <v>3.1015398756455648E-2</v>
      </c>
      <c r="AK16" s="898">
        <f t="shared" si="11"/>
        <v>3.0542269425562596E-2</v>
      </c>
      <c r="AL16" s="898">
        <f t="shared" si="11"/>
        <v>3.0334679878840642E-2</v>
      </c>
      <c r="AM16" s="898">
        <f t="shared" si="11"/>
        <v>2.9994558057691467E-2</v>
      </c>
      <c r="AN16" s="898">
        <f>AN49+AN17</f>
        <v>2.9803649988641601E-2</v>
      </c>
    </row>
    <row r="17" spans="2:40" x14ac:dyDescent="0.35">
      <c r="B17" s="344" t="s">
        <v>1736</v>
      </c>
      <c r="C17" s="936"/>
      <c r="D17" s="937"/>
      <c r="E17" s="938"/>
      <c r="F17" s="938"/>
      <c r="G17" s="938"/>
      <c r="H17" s="938"/>
      <c r="I17" s="938"/>
      <c r="J17" s="938"/>
      <c r="K17" s="938"/>
      <c r="L17" s="938"/>
      <c r="M17" s="938"/>
      <c r="N17" s="938"/>
      <c r="O17" s="938"/>
      <c r="P17" s="938"/>
      <c r="Q17" s="938"/>
      <c r="R17" s="938"/>
      <c r="S17" s="938"/>
      <c r="T17" s="938"/>
      <c r="U17" s="938"/>
      <c r="V17" s="938"/>
      <c r="W17" s="938"/>
      <c r="X17" s="938"/>
      <c r="Y17" s="938"/>
      <c r="Z17" s="938"/>
      <c r="AA17" s="938"/>
      <c r="AB17" s="938"/>
      <c r="AC17" s="938"/>
      <c r="AD17" s="938"/>
      <c r="AE17" s="938"/>
      <c r="AF17" s="938"/>
      <c r="AG17" s="905"/>
      <c r="AH17" s="905"/>
      <c r="AI17" s="905"/>
      <c r="AJ17" s="938"/>
    </row>
    <row r="18" spans="2:40" x14ac:dyDescent="0.35">
      <c r="B18" s="892" t="s">
        <v>1705</v>
      </c>
      <c r="C18" s="935"/>
      <c r="D18" s="905">
        <f t="shared" ref="D18:T18" si="12">D51</f>
        <v>1.2331231439726587E-2</v>
      </c>
      <c r="E18" s="905">
        <f t="shared" si="12"/>
        <v>-2.700843667145636E-2</v>
      </c>
      <c r="F18" s="905">
        <f t="shared" si="12"/>
        <v>2.7562863533678428E-2</v>
      </c>
      <c r="G18" s="905">
        <f t="shared" si="12"/>
        <v>1.5442696812244527E-2</v>
      </c>
      <c r="H18" s="905">
        <f t="shared" si="12"/>
        <v>2.7307145143274258E-2</v>
      </c>
      <c r="I18" s="905">
        <f t="shared" si="12"/>
        <v>6.2563226282339235E-2</v>
      </c>
      <c r="J18" s="905">
        <f t="shared" si="12"/>
        <v>-3.1076845521187391E-3</v>
      </c>
      <c r="K18" s="905">
        <f t="shared" si="12"/>
        <v>5.0835204325521355E-2</v>
      </c>
      <c r="L18" s="905">
        <f t="shared" si="12"/>
        <v>5.6516511024412575E-2</v>
      </c>
      <c r="M18" s="905">
        <f t="shared" si="12"/>
        <v>9.8643019696944334E-2</v>
      </c>
      <c r="N18" s="905">
        <f t="shared" si="12"/>
        <v>7.7982454628441111E-2</v>
      </c>
      <c r="O18" s="905">
        <f t="shared" si="12"/>
        <v>6.0955299775054206E-2</v>
      </c>
      <c r="P18" s="905">
        <f t="shared" si="12"/>
        <v>7.2782919540383961E-2</v>
      </c>
      <c r="Q18" s="905">
        <f t="shared" si="12"/>
        <v>9.0061872181369962E-2</v>
      </c>
      <c r="R18" s="905">
        <f t="shared" si="12"/>
        <v>0.1436965164831121</v>
      </c>
      <c r="S18" s="905">
        <f t="shared" si="12"/>
        <v>-1.1746560973159292E-2</v>
      </c>
      <c r="T18" s="905">
        <f t="shared" si="12"/>
        <v>2.1967430570584145E-3</v>
      </c>
      <c r="U18" s="923">
        <f>U51+U19</f>
        <v>-3.5599925493891349E-2</v>
      </c>
      <c r="V18" s="905">
        <f t="shared" ref="V18:AF18" si="13">V51+V19</f>
        <v>-4.5280831786954745E-2</v>
      </c>
      <c r="W18" s="905">
        <f t="shared" si="13"/>
        <v>4.8134298648978557E-2</v>
      </c>
      <c r="X18" s="905">
        <f t="shared" si="13"/>
        <v>-4.2594526301267255E-3</v>
      </c>
      <c r="Y18" s="905">
        <f t="shared" si="13"/>
        <v>4.217111451589628E-2</v>
      </c>
      <c r="Z18" s="905">
        <f t="shared" si="13"/>
        <v>1.9463682308167529E-2</v>
      </c>
      <c r="AA18" s="905">
        <f t="shared" si="13"/>
        <v>2.1874539845902152E-2</v>
      </c>
      <c r="AB18" s="905">
        <f t="shared" si="13"/>
        <v>1.9072730382637015E-2</v>
      </c>
      <c r="AC18" s="905">
        <f t="shared" si="13"/>
        <v>4.161891556378583E-2</v>
      </c>
      <c r="AD18" s="905">
        <f t="shared" si="13"/>
        <v>7.0538517269098655E-3</v>
      </c>
      <c r="AE18" s="905">
        <f t="shared" si="13"/>
        <v>3.1343868352262882E-2</v>
      </c>
      <c r="AF18" s="905">
        <f t="shared" si="13"/>
        <v>3.2394354805230341E-2</v>
      </c>
      <c r="AG18" s="898">
        <f t="shared" ref="AG18:AH18" si="14">AG51+AG19</f>
        <v>3.3164637629816696E-2</v>
      </c>
      <c r="AH18" s="898">
        <f t="shared" si="14"/>
        <v>3.1425713898589613E-2</v>
      </c>
      <c r="AI18" s="898">
        <f t="shared" ref="AI18:AN18" si="15">AI51+AI19</f>
        <v>3.1013053419121528E-2</v>
      </c>
      <c r="AJ18" s="898">
        <f t="shared" si="15"/>
        <v>3.1015398756455648E-2</v>
      </c>
      <c r="AK18" s="898">
        <f t="shared" si="15"/>
        <v>3.0542269425562596E-2</v>
      </c>
      <c r="AL18" s="898">
        <f t="shared" si="15"/>
        <v>3.0334679878840642E-2</v>
      </c>
      <c r="AM18" s="898">
        <f t="shared" si="15"/>
        <v>2.9994558057691467E-2</v>
      </c>
      <c r="AN18" s="898">
        <f t="shared" si="15"/>
        <v>2.9803649988641601E-2</v>
      </c>
    </row>
    <row r="19" spans="2:40" x14ac:dyDescent="0.35">
      <c r="B19" s="344" t="s">
        <v>1737</v>
      </c>
      <c r="C19" s="936"/>
      <c r="D19" s="937"/>
      <c r="E19" s="938"/>
      <c r="F19" s="938"/>
      <c r="G19" s="938"/>
      <c r="H19" s="938"/>
      <c r="I19" s="938"/>
      <c r="J19" s="938"/>
      <c r="K19" s="938"/>
      <c r="L19" s="938"/>
      <c r="M19" s="938"/>
      <c r="N19" s="938"/>
      <c r="O19" s="938"/>
      <c r="P19" s="938"/>
      <c r="Q19" s="938"/>
      <c r="R19" s="938"/>
      <c r="S19" s="938"/>
      <c r="T19" s="938"/>
      <c r="U19" s="938"/>
      <c r="V19" s="938"/>
      <c r="W19" s="938"/>
      <c r="X19" s="938"/>
      <c r="Y19" s="938"/>
      <c r="Z19" s="938"/>
      <c r="AA19" s="938"/>
      <c r="AB19" s="938"/>
      <c r="AC19" s="938"/>
      <c r="AD19" s="938"/>
      <c r="AE19" s="938"/>
      <c r="AF19" s="938"/>
      <c r="AG19" s="905"/>
      <c r="AH19" s="905"/>
      <c r="AI19" s="905"/>
      <c r="AJ19" s="905"/>
    </row>
    <row r="20" spans="2:40" x14ac:dyDescent="0.35">
      <c r="B20" s="892" t="s">
        <v>1706</v>
      </c>
      <c r="C20" s="935"/>
      <c r="D20" s="905">
        <f t="shared" ref="D20:T20" si="16">D52</f>
        <v>4.0962242441666019E-2</v>
      </c>
      <c r="E20" s="905">
        <f t="shared" si="16"/>
        <v>1.51792670994777E-2</v>
      </c>
      <c r="F20" s="905">
        <f t="shared" si="16"/>
        <v>4.2702169718882965E-2</v>
      </c>
      <c r="G20" s="905">
        <f t="shared" si="16"/>
        <v>1.755007684826615E-2</v>
      </c>
      <c r="H20" s="905">
        <f t="shared" si="16"/>
        <v>7.6166905113348449E-3</v>
      </c>
      <c r="I20" s="905">
        <f t="shared" si="16"/>
        <v>1.0120807804920418E-2</v>
      </c>
      <c r="J20" s="905">
        <f t="shared" si="16"/>
        <v>-1.4337681566159555E-2</v>
      </c>
      <c r="K20" s="905">
        <f t="shared" si="16"/>
        <v>3.9796166071044636E-2</v>
      </c>
      <c r="L20" s="905">
        <f t="shared" si="16"/>
        <v>2.0329576447674524E-2</v>
      </c>
      <c r="M20" s="905">
        <f t="shared" si="16"/>
        <v>5.9674403216350091E-2</v>
      </c>
      <c r="N20" s="905">
        <f t="shared" si="16"/>
        <v>9.5803328528480503E-2</v>
      </c>
      <c r="O20" s="905">
        <f t="shared" si="16"/>
        <v>8.9244367976453631E-2</v>
      </c>
      <c r="P20" s="905">
        <f t="shared" si="16"/>
        <v>0.12456668920888303</v>
      </c>
      <c r="Q20" s="905">
        <f t="shared" si="16"/>
        <v>0.12433979312392585</v>
      </c>
      <c r="R20" s="905">
        <f t="shared" si="16"/>
        <v>0.13846732874655276</v>
      </c>
      <c r="S20" s="905">
        <f t="shared" si="16"/>
        <v>9.552027198699542E-2</v>
      </c>
      <c r="T20" s="905">
        <f t="shared" si="16"/>
        <v>5.5161829119105388E-2</v>
      </c>
      <c r="U20" s="905">
        <f>U52+U21</f>
        <v>5.0122233379745529E-2</v>
      </c>
      <c r="V20" s="905">
        <f t="shared" ref="V20:AF20" si="17">V52+V21</f>
        <v>2.1164173736800684E-3</v>
      </c>
      <c r="W20" s="905">
        <f t="shared" si="17"/>
        <v>5.8706332638096548E-3</v>
      </c>
      <c r="X20" s="905">
        <f t="shared" si="17"/>
        <v>1.2084409350409553E-2</v>
      </c>
      <c r="Y20" s="905">
        <f t="shared" si="17"/>
        <v>2.380676700323181E-2</v>
      </c>
      <c r="Z20" s="905">
        <f t="shared" si="17"/>
        <v>3.3212249496941126E-3</v>
      </c>
      <c r="AA20" s="905">
        <f t="shared" si="17"/>
        <v>3.2150473499066079E-2</v>
      </c>
      <c r="AB20" s="905">
        <f t="shared" si="17"/>
        <v>1.2769263183438628E-2</v>
      </c>
      <c r="AC20" s="905">
        <f t="shared" si="17"/>
        <v>2.9707566513271333E-2</v>
      </c>
      <c r="AD20" s="905">
        <f t="shared" si="17"/>
        <v>5.0810704617254565E-3</v>
      </c>
      <c r="AE20" s="905">
        <f t="shared" si="17"/>
        <v>3.1343868352262882E-2</v>
      </c>
      <c r="AF20" s="905">
        <f t="shared" si="17"/>
        <v>3.2394354805230341E-2</v>
      </c>
      <c r="AG20" s="898">
        <f t="shared" ref="AG20:AH20" si="18">AG52+AG21</f>
        <v>3.3164637629816696E-2</v>
      </c>
      <c r="AH20" s="898">
        <f t="shared" si="18"/>
        <v>3.1425713898589613E-2</v>
      </c>
      <c r="AI20" s="898">
        <f t="shared" ref="AI20:AN20" si="19">AI52+AI21</f>
        <v>3.1013053419121528E-2</v>
      </c>
      <c r="AJ20" s="898">
        <f t="shared" si="19"/>
        <v>3.1015398756455648E-2</v>
      </c>
      <c r="AK20" s="898">
        <f t="shared" si="19"/>
        <v>3.0542269425562596E-2</v>
      </c>
      <c r="AL20" s="898">
        <f t="shared" si="19"/>
        <v>3.0334679878840642E-2</v>
      </c>
      <c r="AM20" s="898">
        <f t="shared" si="19"/>
        <v>2.9994558057691467E-2</v>
      </c>
      <c r="AN20" s="898">
        <f t="shared" si="19"/>
        <v>2.9803649988641601E-2</v>
      </c>
    </row>
    <row r="21" spans="2:40" x14ac:dyDescent="0.35">
      <c r="B21" s="344" t="s">
        <v>1738</v>
      </c>
      <c r="C21" s="936"/>
      <c r="D21" s="909"/>
      <c r="E21" s="909"/>
      <c r="F21" s="909"/>
      <c r="G21" s="909"/>
      <c r="H21" s="909"/>
      <c r="I21" s="909"/>
      <c r="J21" s="909"/>
      <c r="K21" s="909"/>
      <c r="L21" s="909"/>
      <c r="M21" s="909"/>
      <c r="N21" s="909"/>
      <c r="O21" s="909"/>
      <c r="P21" s="909"/>
      <c r="Q21" s="909"/>
      <c r="R21" s="909"/>
      <c r="S21" s="909"/>
      <c r="T21" s="909"/>
      <c r="U21" s="909"/>
      <c r="V21" s="909"/>
      <c r="W21" s="909"/>
      <c r="X21" s="909"/>
      <c r="Y21" s="909"/>
      <c r="Z21" s="909"/>
      <c r="AA21" s="909"/>
      <c r="AB21" s="909"/>
      <c r="AC21" s="909"/>
      <c r="AD21" s="909"/>
      <c r="AE21" s="909"/>
      <c r="AF21" s="909"/>
      <c r="AG21" s="35"/>
      <c r="AH21" s="35"/>
      <c r="AI21" s="35"/>
      <c r="AJ21" s="35"/>
      <c r="AK21" s="35"/>
      <c r="AL21" s="35"/>
      <c r="AM21" s="35"/>
      <c r="AN21" s="35"/>
    </row>
    <row r="22" spans="2:40" x14ac:dyDescent="0.35">
      <c r="B22" s="1435" t="s">
        <v>1727</v>
      </c>
      <c r="C22" s="1436"/>
      <c r="D22" s="1436"/>
      <c r="E22" s="1436"/>
      <c r="F22" s="1436"/>
      <c r="G22" s="1436"/>
      <c r="H22" s="1436"/>
      <c r="I22" s="1436"/>
      <c r="J22" s="1436"/>
      <c r="K22" s="1436"/>
      <c r="L22" s="1436"/>
      <c r="M22" s="1436"/>
      <c r="N22" s="1436"/>
      <c r="O22" s="1436"/>
      <c r="P22" s="1436"/>
      <c r="Q22" s="1436"/>
      <c r="R22" s="1436"/>
      <c r="S22" s="1436"/>
      <c r="T22" s="1436"/>
      <c r="U22" s="1436"/>
      <c r="V22" s="1436"/>
      <c r="W22" s="1436"/>
      <c r="X22" s="1436"/>
      <c r="Y22" s="1436"/>
      <c r="Z22" s="1436"/>
      <c r="AA22" s="1436"/>
      <c r="AB22" s="1436"/>
      <c r="AC22" s="1436"/>
      <c r="AD22" s="1436"/>
      <c r="AE22" s="1436"/>
      <c r="AF22" s="1436"/>
      <c r="AG22" s="1436"/>
      <c r="AH22" s="1436"/>
      <c r="AI22" s="1436"/>
      <c r="AJ22" s="1436"/>
      <c r="AK22" s="1436"/>
      <c r="AL22" s="1436"/>
      <c r="AM22" s="1436"/>
      <c r="AN22" s="1437"/>
    </row>
    <row r="23" spans="2:40" x14ac:dyDescent="0.35">
      <c r="B23" s="922" t="s">
        <v>1702</v>
      </c>
      <c r="C23" s="930"/>
      <c r="D23" s="920">
        <f t="shared" ref="D23:AF23" si="20">(D12+1)^0.25-1</f>
        <v>3.7944725878693575E-3</v>
      </c>
      <c r="E23" s="920">
        <f t="shared" si="20"/>
        <v>2.0362035034391379E-3</v>
      </c>
      <c r="F23" s="920">
        <f t="shared" si="20"/>
        <v>5.590611661529854E-3</v>
      </c>
      <c r="G23" s="920">
        <f t="shared" si="20"/>
        <v>2.407518418966248E-3</v>
      </c>
      <c r="H23" s="920">
        <f t="shared" si="20"/>
        <v>3.9353749698576301E-3</v>
      </c>
      <c r="I23" s="920">
        <f t="shared" si="20"/>
        <v>3.0840771307514281E-3</v>
      </c>
      <c r="J23" s="920">
        <f t="shared" si="20"/>
        <v>-3.9845216658365157E-3</v>
      </c>
      <c r="K23" s="920">
        <f t="shared" si="20"/>
        <v>8.1163211139745339E-3</v>
      </c>
      <c r="L23" s="920">
        <f t="shared" si="20"/>
        <v>4.8458485958486897E-3</v>
      </c>
      <c r="M23" s="920">
        <f t="shared" si="20"/>
        <v>1.128726029998095E-2</v>
      </c>
      <c r="N23" s="920">
        <f t="shared" si="20"/>
        <v>1.5573224192473534E-2</v>
      </c>
      <c r="O23" s="920">
        <f t="shared" si="20"/>
        <v>1.3800051761748033E-2</v>
      </c>
      <c r="P23" s="920">
        <f t="shared" si="20"/>
        <v>1.6502402421568085E-2</v>
      </c>
      <c r="Q23" s="920">
        <f t="shared" si="20"/>
        <v>1.8781785076822377E-2</v>
      </c>
      <c r="R23" s="920">
        <f t="shared" si="20"/>
        <v>1.8373905005062419E-2</v>
      </c>
      <c r="S23" s="921">
        <f t="shared" si="20"/>
        <v>1.1601770523549382E-2</v>
      </c>
      <c r="T23" s="920">
        <f t="shared" si="20"/>
        <v>9.8962517305620779E-3</v>
      </c>
      <c r="U23" s="920">
        <f t="shared" si="20"/>
        <v>9.7146532173442157E-3</v>
      </c>
      <c r="V23" s="920">
        <f t="shared" si="20"/>
        <v>7.2242708682535017E-3</v>
      </c>
      <c r="W23" s="920">
        <f t="shared" si="20"/>
        <v>6.6648915811020615E-3</v>
      </c>
      <c r="X23" s="920">
        <f t="shared" si="20"/>
        <v>4.1080151756858196E-3</v>
      </c>
      <c r="Y23" s="920">
        <f t="shared" si="20"/>
        <v>8.4540665130061754E-3</v>
      </c>
      <c r="Z23" s="920">
        <f t="shared" si="20"/>
        <v>6.269029524843539E-3</v>
      </c>
      <c r="AA23" s="920">
        <f t="shared" si="20"/>
        <v>3.8288379639017656E-3</v>
      </c>
      <c r="AB23" s="920">
        <f t="shared" si="20"/>
        <v>5.9072139122564593E-3</v>
      </c>
      <c r="AC23" s="920">
        <f t="shared" si="20"/>
        <v>9.0216745127653653E-3</v>
      </c>
      <c r="AD23" s="920">
        <f>(AD12+1)^0.25-1</f>
        <v>5.1591945923996629E-3</v>
      </c>
      <c r="AE23" s="920">
        <f t="shared" si="20"/>
        <v>5.9160265843611892E-3</v>
      </c>
      <c r="AF23" s="921">
        <f t="shared" si="20"/>
        <v>5.9495417545925022E-3</v>
      </c>
      <c r="AG23" s="921">
        <f t="shared" ref="AG23" si="21">(AG12+1)^0.25-1</f>
        <v>5.3246047022768028E-3</v>
      </c>
      <c r="AH23" s="921">
        <f>(AH12+1)^0.25-1</f>
        <v>5.0560151008076648E-3</v>
      </c>
      <c r="AI23" s="921">
        <f>(AI12+1)^0.25-1</f>
        <v>5.0400673136283825E-3</v>
      </c>
      <c r="AJ23" s="921">
        <f>(AJ12+1)^0.25-1</f>
        <v>5.0641944009628403E-3</v>
      </c>
      <c r="AK23" s="921">
        <f>(AK12+1)^0.25-1</f>
        <v>5.0315604958042215E-3</v>
      </c>
      <c r="AL23" s="921">
        <f t="shared" ref="AL23:AN23" si="22">(AL12+1)^0.25-1</f>
        <v>5.0077163079846887E-3</v>
      </c>
      <c r="AM23" s="921">
        <f t="shared" si="22"/>
        <v>4.9844806962866528E-3</v>
      </c>
      <c r="AN23" s="921">
        <f t="shared" si="22"/>
        <v>4.9785638082857631E-3</v>
      </c>
    </row>
    <row r="24" spans="2:40" x14ac:dyDescent="0.35">
      <c r="B24" s="906" t="s">
        <v>1703</v>
      </c>
      <c r="C24" s="930"/>
      <c r="D24" s="920">
        <f t="shared" ref="D24:AF24" si="23">(D14+1)^0.25-1</f>
        <v>7.2893513350869021E-3</v>
      </c>
      <c r="E24" s="920">
        <f t="shared" si="23"/>
        <v>9.183063847828965E-3</v>
      </c>
      <c r="F24" s="920">
        <f t="shared" si="23"/>
        <v>-6.6551450859820838E-3</v>
      </c>
      <c r="G24" s="920">
        <f t="shared" si="23"/>
        <v>9.3238748870549948E-4</v>
      </c>
      <c r="H24" s="920">
        <f t="shared" si="23"/>
        <v>3.6396462148640119E-3</v>
      </c>
      <c r="I24" s="920">
        <f t="shared" si="23"/>
        <v>3.0236341019997948E-3</v>
      </c>
      <c r="J24" s="920">
        <f t="shared" si="23"/>
        <v>6.3915440825756953E-4</v>
      </c>
      <c r="K24" s="920">
        <f t="shared" si="23"/>
        <v>5.4627096183730295E-3</v>
      </c>
      <c r="L24" s="920">
        <f t="shared" si="23"/>
        <v>7.4621204938085661E-3</v>
      </c>
      <c r="M24" s="920">
        <f t="shared" si="23"/>
        <v>7.6797831590638133E-3</v>
      </c>
      <c r="N24" s="920">
        <f t="shared" si="23"/>
        <v>1.0778096367762835E-2</v>
      </c>
      <c r="O24" s="920">
        <f t="shared" si="23"/>
        <v>1.1808950038346699E-2</v>
      </c>
      <c r="P24" s="920">
        <f t="shared" si="23"/>
        <v>1.2374316216290149E-2</v>
      </c>
      <c r="Q24" s="920">
        <f t="shared" si="23"/>
        <v>1.602980443097346E-2</v>
      </c>
      <c r="R24" s="920">
        <f t="shared" si="23"/>
        <v>1.8218461729688551E-2</v>
      </c>
      <c r="S24" s="921">
        <f t="shared" si="23"/>
        <v>1.3070584644896854E-2</v>
      </c>
      <c r="T24" s="920">
        <f t="shared" si="23"/>
        <v>1.0216553053776778E-2</v>
      </c>
      <c r="U24" s="920">
        <f t="shared" si="23"/>
        <v>1.0556270288231362E-2</v>
      </c>
      <c r="V24" s="920">
        <f t="shared" si="23"/>
        <v>8.6417671359919623E-3</v>
      </c>
      <c r="W24" s="920">
        <f t="shared" si="23"/>
        <v>9.3952438667612714E-3</v>
      </c>
      <c r="X24" s="920">
        <f t="shared" si="23"/>
        <v>9.4402901647081539E-3</v>
      </c>
      <c r="Y24" s="920">
        <f t="shared" si="23"/>
        <v>8.7613516107596379E-3</v>
      </c>
      <c r="Z24" s="920">
        <f t="shared" si="23"/>
        <v>6.977481763400073E-3</v>
      </c>
      <c r="AA24" s="920">
        <f t="shared" si="23"/>
        <v>6.0650111043811794E-3</v>
      </c>
      <c r="AB24" s="920">
        <f t="shared" si="23"/>
        <v>6.5983817107628795E-3</v>
      </c>
      <c r="AC24" s="920">
        <f t="shared" si="23"/>
        <v>1.3899743217595351E-2</v>
      </c>
      <c r="AD24" s="920">
        <f t="shared" si="23"/>
        <v>1.4920442658151289E-2</v>
      </c>
      <c r="AE24" s="920">
        <f t="shared" si="23"/>
        <v>6.1258970181228278E-3</v>
      </c>
      <c r="AF24" s="921">
        <f t="shared" si="23"/>
        <v>5.9761162066749307E-3</v>
      </c>
      <c r="AG24" s="921">
        <f t="shared" ref="AG24" si="24">(AG14+1)^0.25-1</f>
        <v>5.3360385557714718E-3</v>
      </c>
      <c r="AH24" s="921">
        <f>(AH14+1)^0.25-1</f>
        <v>5.6496540320822852E-3</v>
      </c>
      <c r="AI24" s="921">
        <f>(AI14+1)^0.25-1</f>
        <v>5.7657657657657069E-3</v>
      </c>
      <c r="AJ24" s="921">
        <f>(AJ14+1)^0.25-1</f>
        <v>5.9196503336531592E-3</v>
      </c>
      <c r="AK24" s="921">
        <f t="shared" ref="AK24:AN24" si="25">(AK14+1)^0.25-1</f>
        <v>5.5566525119521426E-3</v>
      </c>
      <c r="AL24" s="921">
        <f t="shared" si="25"/>
        <v>5.4914304880231413E-3</v>
      </c>
      <c r="AM24" s="921">
        <f t="shared" si="25"/>
        <v>5.6450948628539166E-3</v>
      </c>
      <c r="AN24" s="921">
        <f t="shared" si="25"/>
        <v>5.7617728642578303E-3</v>
      </c>
    </row>
    <row r="25" spans="2:40" x14ac:dyDescent="0.35">
      <c r="B25" s="906" t="s">
        <v>1704</v>
      </c>
      <c r="C25" s="930"/>
      <c r="D25" s="920">
        <f t="shared" ref="D25:AF25" si="26">(D16+1)^0.25-1</f>
        <v>4.372774229274734E-3</v>
      </c>
      <c r="E25" s="920">
        <f t="shared" si="26"/>
        <v>-4.8575529720429333E-3</v>
      </c>
      <c r="F25" s="920">
        <f t="shared" si="26"/>
        <v>7.5177196568785298E-3</v>
      </c>
      <c r="G25" s="920">
        <f t="shared" si="26"/>
        <v>3.9251751633120335E-3</v>
      </c>
      <c r="H25" s="920">
        <f t="shared" si="26"/>
        <v>5.8458545430506437E-3</v>
      </c>
      <c r="I25" s="920">
        <f t="shared" si="26"/>
        <v>1.2910070794133643E-2</v>
      </c>
      <c r="J25" s="920">
        <f t="shared" si="26"/>
        <v>-1.3069956711562192E-3</v>
      </c>
      <c r="K25" s="920">
        <f t="shared" si="26"/>
        <v>1.200111379246338E-2</v>
      </c>
      <c r="L25" s="920">
        <f t="shared" si="26"/>
        <v>1.2262342593526654E-2</v>
      </c>
      <c r="M25" s="920">
        <f t="shared" si="26"/>
        <v>2.2189000634230238E-2</v>
      </c>
      <c r="N25" s="920">
        <f t="shared" si="26"/>
        <v>1.972185536124238E-2</v>
      </c>
      <c r="O25" s="920">
        <f t="shared" si="26"/>
        <v>1.6072111539932488E-2</v>
      </c>
      <c r="P25" s="920">
        <f t="shared" si="26"/>
        <v>1.976166237499255E-2</v>
      </c>
      <c r="Q25" s="920">
        <f t="shared" si="26"/>
        <v>2.3137001585530559E-2</v>
      </c>
      <c r="R25" s="920">
        <f t="shared" si="26"/>
        <v>3.395347693115025E-2</v>
      </c>
      <c r="S25" s="921">
        <f t="shared" si="26"/>
        <v>1.4353459897542553E-3</v>
      </c>
      <c r="T25" s="920">
        <f t="shared" si="26"/>
        <v>2.8269838378878198E-3</v>
      </c>
      <c r="U25" s="920">
        <f t="shared" si="26"/>
        <v>-5.2590018951358397E-3</v>
      </c>
      <c r="V25" s="920">
        <f t="shared" si="26"/>
        <v>-9.3193833648214097E-3</v>
      </c>
      <c r="W25" s="920">
        <f t="shared" si="26"/>
        <v>9.9439102564102821E-3</v>
      </c>
      <c r="X25" s="920">
        <f t="shared" si="26"/>
        <v>-2.7768741917311157E-4</v>
      </c>
      <c r="Y25" s="920">
        <f t="shared" si="26"/>
        <v>9.5154199006395324E-3</v>
      </c>
      <c r="Z25" s="920">
        <f t="shared" si="26"/>
        <v>4.0485829959513442E-3</v>
      </c>
      <c r="AA25" s="920">
        <f t="shared" si="26"/>
        <v>5.9191982461634929E-3</v>
      </c>
      <c r="AB25" s="920">
        <f t="shared" si="26"/>
        <v>4.4210591861515436E-3</v>
      </c>
      <c r="AC25" s="920">
        <f t="shared" si="26"/>
        <v>9.6788692229006212E-3</v>
      </c>
      <c r="AD25" s="920">
        <f t="shared" si="26"/>
        <v>1.6578020308073427E-3</v>
      </c>
      <c r="AE25" s="920">
        <f t="shared" si="26"/>
        <v>7.7455120761196206E-3</v>
      </c>
      <c r="AF25" s="921">
        <f t="shared" si="26"/>
        <v>8.0020266414988495E-3</v>
      </c>
      <c r="AG25" s="921">
        <f t="shared" ref="AG25" si="27">(AG16+1)^0.25-1</f>
        <v>8.189994905591913E-3</v>
      </c>
      <c r="AH25" s="921">
        <f>(AH16+1)^0.25-1</f>
        <v>7.7655046872424638E-3</v>
      </c>
      <c r="AI25" s="921">
        <f>(AI16+1)^0.25-1</f>
        <v>7.6646909789201967E-3</v>
      </c>
      <c r="AJ25" s="921">
        <f>(AJ16+1)^0.25-1</f>
        <v>7.6652640346144274E-3</v>
      </c>
      <c r="AK25" s="921">
        <f t="shared" ref="AK25:AN25" si="28">(AK16+1)^0.25-1</f>
        <v>7.549640626419496E-3</v>
      </c>
      <c r="AL25" s="921">
        <f t="shared" si="28"/>
        <v>7.4988972991580916E-3</v>
      </c>
      <c r="AM25" s="921">
        <f t="shared" si="28"/>
        <v>7.4157411184010424E-3</v>
      </c>
      <c r="AN25" s="921">
        <f t="shared" si="28"/>
        <v>7.3690570943414357E-3</v>
      </c>
    </row>
    <row r="26" spans="2:40" x14ac:dyDescent="0.35">
      <c r="B26" s="906" t="s">
        <v>1705</v>
      </c>
      <c r="C26" s="930"/>
      <c r="D26" s="920">
        <f t="shared" ref="D26:AF26" si="29">(D18+1)^0.25-1</f>
        <v>3.0686539854383188E-3</v>
      </c>
      <c r="E26" s="920">
        <f t="shared" si="29"/>
        <v>-6.8215934786326482E-3</v>
      </c>
      <c r="F26" s="920">
        <f t="shared" si="29"/>
        <v>6.8206168209994367E-3</v>
      </c>
      <c r="G26" s="920">
        <f t="shared" si="29"/>
        <v>3.838516280439741E-3</v>
      </c>
      <c r="H26" s="920">
        <f t="shared" si="29"/>
        <v>6.757971851248934E-3</v>
      </c>
      <c r="I26" s="920">
        <f t="shared" si="29"/>
        <v>1.5286696061748373E-2</v>
      </c>
      <c r="J26" s="920">
        <f t="shared" si="29"/>
        <v>-7.7782819256788649E-4</v>
      </c>
      <c r="K26" s="920">
        <f t="shared" si="29"/>
        <v>1.2473473018932424E-2</v>
      </c>
      <c r="L26" s="920">
        <f t="shared" si="29"/>
        <v>1.3839183561393131E-2</v>
      </c>
      <c r="M26" s="920">
        <f t="shared" si="29"/>
        <v>2.3797701481488298E-2</v>
      </c>
      <c r="N26" s="920">
        <f t="shared" si="29"/>
        <v>1.8950115958131564E-2</v>
      </c>
      <c r="O26" s="920">
        <f t="shared" si="29"/>
        <v>1.4902381611741955E-2</v>
      </c>
      <c r="P26" s="920">
        <f t="shared" si="29"/>
        <v>1.7719187543701054E-2</v>
      </c>
      <c r="Q26" s="920">
        <f t="shared" si="29"/>
        <v>2.1792680474562731E-2</v>
      </c>
      <c r="R26" s="920">
        <f t="shared" si="29"/>
        <v>3.413610161291647E-2</v>
      </c>
      <c r="S26" s="921">
        <f t="shared" si="29"/>
        <v>-2.9496653874211409E-3</v>
      </c>
      <c r="T26" s="920">
        <f t="shared" si="29"/>
        <v>5.4873393561516437E-4</v>
      </c>
      <c r="U26" s="920">
        <f t="shared" si="29"/>
        <v>-9.0213253002472404E-3</v>
      </c>
      <c r="V26" s="920">
        <f t="shared" si="29"/>
        <v>-1.1517669516674878E-2</v>
      </c>
      <c r="W26" s="920">
        <f t="shared" si="29"/>
        <v>1.1822268382531975E-2</v>
      </c>
      <c r="X26" s="920">
        <f t="shared" si="29"/>
        <v>-1.0665682964577927E-3</v>
      </c>
      <c r="Y26" s="920">
        <f t="shared" si="29"/>
        <v>1.0380039497134064E-2</v>
      </c>
      <c r="Z26" s="920">
        <f t="shared" si="29"/>
        <v>4.8308027236829698E-3</v>
      </c>
      <c r="AA26" s="920">
        <f t="shared" si="29"/>
        <v>5.424339946389134E-3</v>
      </c>
      <c r="AB26" s="920">
        <f t="shared" si="29"/>
        <v>4.734453768294733E-3</v>
      </c>
      <c r="AC26" s="920">
        <f t="shared" si="29"/>
        <v>1.0246174318030654E-2</v>
      </c>
      <c r="AD26" s="920">
        <f t="shared" si="29"/>
        <v>1.7588173309366351E-3</v>
      </c>
      <c r="AE26" s="920">
        <f t="shared" si="29"/>
        <v>7.7455120761196206E-3</v>
      </c>
      <c r="AF26" s="921">
        <f t="shared" si="29"/>
        <v>8.0020266414988495E-3</v>
      </c>
      <c r="AG26" s="921">
        <f t="shared" ref="AG26" si="30">(AG18+1)^0.25-1</f>
        <v>8.189994905591913E-3</v>
      </c>
      <c r="AH26" s="921">
        <f>(AH18+1)^0.25-1</f>
        <v>7.7655046872424638E-3</v>
      </c>
      <c r="AI26" s="921">
        <f>(AI18+1)^0.25-1</f>
        <v>7.6646909789201967E-3</v>
      </c>
      <c r="AJ26" s="921">
        <f>(AJ18+1)^0.25-1</f>
        <v>7.6652640346144274E-3</v>
      </c>
      <c r="AK26" s="921">
        <f t="shared" ref="AK26:AN26" si="31">(AK18+1)^0.25-1</f>
        <v>7.549640626419496E-3</v>
      </c>
      <c r="AL26" s="921">
        <f t="shared" si="31"/>
        <v>7.4988972991580916E-3</v>
      </c>
      <c r="AM26" s="921">
        <f t="shared" si="31"/>
        <v>7.4157411184010424E-3</v>
      </c>
      <c r="AN26" s="921">
        <f t="shared" si="31"/>
        <v>7.3690570943414357E-3</v>
      </c>
    </row>
    <row r="27" spans="2:40" x14ac:dyDescent="0.35">
      <c r="B27" s="907" t="s">
        <v>1706</v>
      </c>
      <c r="C27" s="931"/>
      <c r="D27" s="932">
        <f t="shared" ref="D27:AF27" si="32">(D20+1)^0.25-1</f>
        <v>1.0086913000375342E-2</v>
      </c>
      <c r="E27" s="932">
        <f t="shared" si="32"/>
        <v>3.7734051169659999E-3</v>
      </c>
      <c r="F27" s="932">
        <f t="shared" si="32"/>
        <v>1.0508728795056044E-2</v>
      </c>
      <c r="G27" s="932">
        <f t="shared" si="32"/>
        <v>4.3589358184279448E-3</v>
      </c>
      <c r="H27" s="932">
        <f t="shared" si="32"/>
        <v>1.8987578569289454E-3</v>
      </c>
      <c r="I27" s="932">
        <f t="shared" si="32"/>
        <v>2.520655370396474E-3</v>
      </c>
      <c r="J27" s="932">
        <f t="shared" si="32"/>
        <v>-3.6038552870513163E-3</v>
      </c>
      <c r="K27" s="932">
        <f t="shared" si="32"/>
        <v>9.8039215686274161E-3</v>
      </c>
      <c r="L27" s="932">
        <f t="shared" si="32"/>
        <v>5.044101178190985E-3</v>
      </c>
      <c r="M27" s="932">
        <f t="shared" si="32"/>
        <v>1.4595918668041996E-2</v>
      </c>
      <c r="N27" s="932">
        <f t="shared" si="32"/>
        <v>2.3135500149758847E-2</v>
      </c>
      <c r="O27" s="932">
        <f t="shared" si="32"/>
        <v>2.1601050334439265E-2</v>
      </c>
      <c r="P27" s="932">
        <f t="shared" si="32"/>
        <v>2.9784388812184703E-2</v>
      </c>
      <c r="Q27" s="932">
        <f t="shared" si="32"/>
        <v>2.9732441753590244E-2</v>
      </c>
      <c r="R27" s="932">
        <f t="shared" si="32"/>
        <v>3.2952005044342814E-2</v>
      </c>
      <c r="S27" s="933">
        <f t="shared" si="32"/>
        <v>2.3069422313125587E-2</v>
      </c>
      <c r="T27" s="932">
        <f t="shared" si="32"/>
        <v>1.3514037086113317E-2</v>
      </c>
      <c r="U27" s="932">
        <f t="shared" si="32"/>
        <v>1.230169348981236E-2</v>
      </c>
      <c r="V27" s="932">
        <f t="shared" si="32"/>
        <v>5.2868493398983141E-4</v>
      </c>
      <c r="W27" s="932">
        <f t="shared" si="32"/>
        <v>1.464438304874971E-3</v>
      </c>
      <c r="X27" s="932">
        <f t="shared" si="32"/>
        <v>3.0075074622366582E-3</v>
      </c>
      <c r="Y27" s="932">
        <f t="shared" si="32"/>
        <v>5.8992838194293906E-3</v>
      </c>
      <c r="Z27" s="932">
        <f t="shared" si="32"/>
        <v>8.2927412365885189E-4</v>
      </c>
      <c r="AA27" s="932">
        <f t="shared" si="32"/>
        <v>7.9424915834969134E-3</v>
      </c>
      <c r="AB27" s="932">
        <f t="shared" si="32"/>
        <v>3.1771423493078821E-3</v>
      </c>
      <c r="AC27" s="932">
        <f t="shared" si="32"/>
        <v>7.3455587054098714E-3</v>
      </c>
      <c r="AD27" s="932">
        <f t="shared" si="32"/>
        <v>1.2678543946178511E-3</v>
      </c>
      <c r="AE27" s="932">
        <f t="shared" si="32"/>
        <v>7.7455120761196206E-3</v>
      </c>
      <c r="AF27" s="933">
        <f t="shared" si="32"/>
        <v>8.0020266414988495E-3</v>
      </c>
      <c r="AG27" s="933">
        <f t="shared" ref="AG27" si="33">(AG20+1)^0.25-1</f>
        <v>8.189994905591913E-3</v>
      </c>
      <c r="AH27" s="933">
        <f>(AH20+1)^0.25-1</f>
        <v>7.7655046872424638E-3</v>
      </c>
      <c r="AI27" s="933">
        <f>(AI20+1)^0.25-1</f>
        <v>7.6646909789201967E-3</v>
      </c>
      <c r="AJ27" s="933">
        <f>(AJ20+1)^0.25-1</f>
        <v>7.6652640346144274E-3</v>
      </c>
      <c r="AK27" s="933">
        <f t="shared" ref="AK27:AN27" si="34">(AK20+1)^0.25-1</f>
        <v>7.549640626419496E-3</v>
      </c>
      <c r="AL27" s="933">
        <f t="shared" si="34"/>
        <v>7.4988972991580916E-3</v>
      </c>
      <c r="AM27" s="933">
        <f t="shared" si="34"/>
        <v>7.4157411184010424E-3</v>
      </c>
      <c r="AN27" s="933">
        <f t="shared" si="34"/>
        <v>7.3690570943414357E-3</v>
      </c>
    </row>
    <row r="28" spans="2:40" x14ac:dyDescent="0.35">
      <c r="B28" s="56"/>
      <c r="C28" s="924"/>
      <c r="D28" s="905"/>
      <c r="E28" s="905"/>
      <c r="F28" s="905"/>
      <c r="G28" s="905"/>
      <c r="H28" s="905"/>
      <c r="I28" s="905"/>
      <c r="J28" s="905"/>
      <c r="K28" s="905"/>
      <c r="L28" s="905"/>
      <c r="M28" s="905"/>
      <c r="N28" s="905"/>
      <c r="O28" s="905"/>
      <c r="P28" s="905"/>
      <c r="Q28" s="905"/>
      <c r="R28" s="905"/>
      <c r="S28" s="905"/>
      <c r="T28" s="905"/>
      <c r="U28" s="905"/>
      <c r="V28" s="905"/>
      <c r="W28" s="905"/>
      <c r="X28" s="905"/>
      <c r="Y28" s="905"/>
      <c r="Z28" s="905"/>
      <c r="AA28" s="905"/>
      <c r="AB28" s="905"/>
      <c r="AC28" s="905"/>
      <c r="AD28" s="905"/>
      <c r="AE28" s="905"/>
      <c r="AF28" s="905"/>
    </row>
    <row r="29" spans="2:40" x14ac:dyDescent="0.35">
      <c r="B29" s="56"/>
      <c r="C29" s="924"/>
      <c r="D29" s="905"/>
      <c r="E29" s="905"/>
      <c r="F29" s="905"/>
      <c r="G29" s="905"/>
      <c r="H29" s="905"/>
      <c r="I29" s="905"/>
      <c r="J29" s="905"/>
      <c r="K29" s="905"/>
      <c r="L29" s="905"/>
      <c r="M29" s="905"/>
      <c r="N29" s="905"/>
      <c r="O29" s="905"/>
      <c r="P29" s="905"/>
      <c r="Q29" s="96"/>
      <c r="R29" s="905"/>
      <c r="S29" s="905"/>
      <c r="T29" s="905"/>
      <c r="U29" s="905"/>
      <c r="V29" s="905"/>
      <c r="W29" s="905"/>
      <c r="X29" s="905"/>
      <c r="Y29" s="905"/>
      <c r="Z29" s="905"/>
      <c r="AA29" s="905"/>
      <c r="AB29" s="905"/>
      <c r="AC29" s="905"/>
      <c r="AD29" s="905"/>
      <c r="AE29" s="905"/>
      <c r="AF29" s="905"/>
    </row>
    <row r="30" spans="2:40" x14ac:dyDescent="0.35">
      <c r="B30" s="56"/>
      <c r="C30" s="924"/>
      <c r="D30" s="905"/>
      <c r="E30" s="905"/>
      <c r="F30" s="905"/>
      <c r="G30" s="905"/>
      <c r="H30" s="905"/>
      <c r="I30" s="905"/>
      <c r="J30" s="905"/>
      <c r="K30" s="905"/>
      <c r="L30" s="905"/>
      <c r="M30" s="905"/>
      <c r="N30" s="905"/>
      <c r="O30" s="905"/>
      <c r="P30" s="905"/>
      <c r="Q30" s="96"/>
      <c r="R30" s="905"/>
      <c r="S30" s="905"/>
      <c r="T30" s="905"/>
      <c r="U30" s="905"/>
      <c r="V30" s="905"/>
      <c r="W30" s="905"/>
      <c r="X30" s="905"/>
      <c r="Y30" s="905"/>
      <c r="Z30" s="905"/>
      <c r="AA30" s="905"/>
      <c r="AB30" s="905"/>
      <c r="AC30" s="905"/>
      <c r="AD30" s="905"/>
      <c r="AE30" s="905"/>
      <c r="AF30" s="905"/>
    </row>
    <row r="31" spans="2:40" x14ac:dyDescent="0.35">
      <c r="B31" s="56"/>
      <c r="C31" s="924"/>
      <c r="D31" s="905"/>
      <c r="E31" s="905"/>
      <c r="F31" s="905"/>
      <c r="G31" s="905"/>
      <c r="H31" s="905"/>
      <c r="I31" s="905"/>
      <c r="J31" s="905"/>
      <c r="K31" s="905"/>
      <c r="L31" s="905"/>
      <c r="M31" s="905"/>
      <c r="N31" s="905"/>
      <c r="O31" s="905"/>
      <c r="P31" s="905"/>
      <c r="Q31" s="56"/>
      <c r="R31" s="905"/>
      <c r="S31" s="905"/>
      <c r="T31" s="905"/>
      <c r="U31" s="905"/>
      <c r="V31" s="905"/>
      <c r="W31" s="905"/>
      <c r="X31" s="905"/>
      <c r="Y31" s="905"/>
      <c r="Z31" s="905"/>
      <c r="AA31" s="905"/>
      <c r="AB31" s="905"/>
      <c r="AC31" s="905"/>
      <c r="AD31" s="905"/>
      <c r="AE31" s="905"/>
      <c r="AF31" s="905"/>
    </row>
    <row r="32" spans="2:40" x14ac:dyDescent="0.35">
      <c r="B32" s="56"/>
      <c r="C32" s="924"/>
      <c r="D32" s="905"/>
      <c r="E32" s="905"/>
      <c r="F32" s="905"/>
      <c r="G32" s="905"/>
      <c r="H32" s="905"/>
      <c r="I32" s="905"/>
      <c r="J32" s="905"/>
      <c r="K32" s="905"/>
      <c r="L32" s="905"/>
      <c r="M32" s="905"/>
      <c r="N32" s="905"/>
      <c r="O32" s="905"/>
      <c r="P32" s="905"/>
      <c r="Q32" s="56"/>
      <c r="R32" s="905"/>
      <c r="S32" s="905"/>
      <c r="T32" s="905"/>
      <c r="U32" s="905"/>
      <c r="V32" s="905"/>
      <c r="W32" s="905"/>
      <c r="X32" s="905"/>
      <c r="Y32" s="905"/>
      <c r="Z32" s="905"/>
      <c r="AA32" s="905"/>
      <c r="AB32" s="905"/>
      <c r="AC32" s="905"/>
      <c r="AD32" s="905"/>
      <c r="AE32" s="905"/>
      <c r="AF32" s="905"/>
    </row>
    <row r="33" spans="2:40" x14ac:dyDescent="0.35">
      <c r="B33" s="56"/>
      <c r="C33" s="924"/>
      <c r="D33" s="905"/>
      <c r="E33" s="905"/>
      <c r="F33" s="905"/>
      <c r="G33" s="905"/>
      <c r="H33" s="905"/>
      <c r="I33" s="905"/>
      <c r="J33" s="905"/>
      <c r="K33" s="905"/>
      <c r="L33" s="905"/>
      <c r="M33" s="905"/>
      <c r="N33" s="905"/>
      <c r="O33" s="905"/>
      <c r="P33" s="905"/>
      <c r="Q33" s="56"/>
      <c r="R33" s="905"/>
      <c r="S33" s="905"/>
      <c r="T33" s="905"/>
      <c r="U33" s="905"/>
      <c r="V33" s="905"/>
      <c r="W33" s="905"/>
      <c r="X33" s="905"/>
      <c r="Y33" s="905"/>
      <c r="Z33" s="905"/>
      <c r="AA33" s="905"/>
      <c r="AB33" s="905"/>
      <c r="AC33" s="905"/>
      <c r="AD33" s="905"/>
      <c r="AE33" s="905"/>
      <c r="AF33" s="905"/>
    </row>
    <row r="34" spans="2:40" x14ac:dyDescent="0.35">
      <c r="B34" s="56"/>
      <c r="C34" s="924"/>
      <c r="D34" s="905"/>
      <c r="E34" s="905"/>
      <c r="F34" s="905"/>
      <c r="G34" s="905"/>
      <c r="H34" s="905"/>
      <c r="I34" s="905"/>
      <c r="J34" s="905"/>
      <c r="K34" s="905"/>
      <c r="L34" s="905"/>
      <c r="M34" s="905"/>
      <c r="N34" s="905"/>
      <c r="O34" s="905"/>
      <c r="P34" s="905"/>
      <c r="Q34" s="56"/>
      <c r="R34" s="905"/>
      <c r="S34" s="905"/>
      <c r="T34" s="905"/>
      <c r="U34" s="905"/>
      <c r="V34" s="905"/>
      <c r="W34" s="905"/>
      <c r="X34" s="905"/>
      <c r="Y34" s="905"/>
      <c r="Z34" s="905"/>
      <c r="AA34" s="905"/>
      <c r="AB34" s="905"/>
      <c r="AC34" s="905"/>
      <c r="AD34" s="905"/>
      <c r="AE34" s="905"/>
      <c r="AF34" s="905"/>
    </row>
    <row r="35" spans="2:40" x14ac:dyDescent="0.35">
      <c r="B35" s="56"/>
      <c r="C35" s="924"/>
      <c r="D35" s="905"/>
      <c r="E35" s="905"/>
      <c r="F35" s="905"/>
      <c r="G35" s="905"/>
      <c r="H35" s="905"/>
      <c r="I35" s="905"/>
      <c r="J35" s="905"/>
      <c r="K35" s="905"/>
      <c r="L35" s="905"/>
      <c r="M35" s="905"/>
      <c r="N35" s="905"/>
      <c r="O35" s="905"/>
      <c r="P35" s="905"/>
      <c r="Q35" s="56"/>
      <c r="R35" s="905"/>
      <c r="S35" s="905"/>
      <c r="T35" s="905"/>
      <c r="U35" s="905"/>
      <c r="V35" s="905"/>
      <c r="W35" s="905"/>
      <c r="X35" s="905"/>
      <c r="Y35" s="905"/>
      <c r="Z35" s="905"/>
      <c r="AA35" s="905"/>
      <c r="AB35" s="905"/>
      <c r="AC35" s="905"/>
      <c r="AD35" s="905"/>
      <c r="AE35" s="905"/>
      <c r="AF35" s="905"/>
    </row>
    <row r="36" spans="2:40" x14ac:dyDescent="0.35">
      <c r="B36" s="56"/>
      <c r="C36" s="924"/>
      <c r="D36" s="905"/>
      <c r="E36" s="905"/>
      <c r="F36" s="905"/>
      <c r="G36" s="905"/>
      <c r="H36" s="905"/>
      <c r="I36" s="905"/>
      <c r="J36" s="905"/>
      <c r="K36" s="905"/>
      <c r="L36" s="905"/>
      <c r="M36" s="905"/>
      <c r="N36" s="905"/>
      <c r="O36" s="905"/>
      <c r="P36" s="905"/>
      <c r="Q36" s="56"/>
      <c r="R36" s="905"/>
      <c r="S36" s="905"/>
      <c r="T36" s="905"/>
      <c r="U36" s="905"/>
      <c r="V36" s="905"/>
      <c r="W36" s="905"/>
      <c r="X36" s="905"/>
      <c r="Y36" s="905"/>
      <c r="Z36" s="905"/>
      <c r="AA36" s="905"/>
      <c r="AB36" s="905"/>
      <c r="AC36" s="905"/>
      <c r="AD36" s="905"/>
      <c r="AE36" s="905"/>
      <c r="AF36" s="905"/>
    </row>
    <row r="37" spans="2:40" x14ac:dyDescent="0.35">
      <c r="B37" s="56"/>
      <c r="C37" s="924"/>
      <c r="D37" s="905"/>
      <c r="E37" s="905"/>
      <c r="F37" s="905"/>
      <c r="G37" s="905"/>
      <c r="H37" s="905"/>
      <c r="I37" s="905"/>
      <c r="J37" s="905"/>
      <c r="K37" s="905"/>
      <c r="L37" s="905"/>
      <c r="M37" s="905"/>
      <c r="N37" s="905"/>
      <c r="O37" s="905"/>
      <c r="P37" s="905"/>
      <c r="Q37" s="56"/>
      <c r="R37" s="905"/>
      <c r="S37" s="905"/>
      <c r="T37" s="905"/>
      <c r="U37" s="905"/>
      <c r="V37" s="905"/>
      <c r="W37" s="905"/>
      <c r="X37" s="905"/>
      <c r="Y37" s="905"/>
      <c r="Z37" s="905"/>
      <c r="AA37" s="905"/>
      <c r="AB37" s="905"/>
      <c r="AC37" s="905"/>
      <c r="AD37" s="905"/>
      <c r="AE37" s="905"/>
      <c r="AF37" s="905"/>
    </row>
    <row r="38" spans="2:40" x14ac:dyDescent="0.35">
      <c r="B38" s="56"/>
      <c r="C38" s="924"/>
      <c r="D38" s="905"/>
      <c r="E38" s="905"/>
      <c r="F38" s="905"/>
      <c r="G38" s="905"/>
      <c r="H38" s="905"/>
      <c r="I38" s="905"/>
      <c r="J38" s="905"/>
      <c r="K38" s="905"/>
      <c r="L38" s="905"/>
      <c r="M38" s="905"/>
      <c r="N38" s="905"/>
      <c r="O38" s="905"/>
      <c r="P38" s="905"/>
      <c r="Q38" s="56"/>
      <c r="R38" s="905"/>
      <c r="S38" s="905"/>
      <c r="T38" s="905"/>
      <c r="U38" s="905"/>
      <c r="V38" s="905"/>
      <c r="W38" s="905"/>
      <c r="X38" s="905"/>
      <c r="Y38" s="905"/>
      <c r="Z38" s="905"/>
      <c r="AA38" s="905"/>
      <c r="AB38" s="905"/>
      <c r="AC38" s="905"/>
      <c r="AD38" s="905"/>
      <c r="AE38" s="905"/>
      <c r="AF38" s="905"/>
    </row>
    <row r="39" spans="2:40" x14ac:dyDescent="0.35">
      <c r="B39" s="56"/>
      <c r="C39" s="924"/>
      <c r="D39" s="905"/>
      <c r="E39" s="905"/>
      <c r="F39" s="905"/>
      <c r="G39" s="905"/>
      <c r="H39" s="905"/>
      <c r="I39" s="905"/>
      <c r="J39" s="905"/>
      <c r="K39" s="905"/>
      <c r="L39" s="905"/>
      <c r="M39" s="905"/>
      <c r="N39" s="905"/>
      <c r="O39" s="905"/>
      <c r="P39" s="905"/>
      <c r="Q39" s="905"/>
      <c r="R39" s="905"/>
      <c r="S39" s="905"/>
      <c r="T39" s="905"/>
      <c r="U39" s="905"/>
      <c r="V39" s="905"/>
      <c r="W39" s="905"/>
      <c r="X39" s="905"/>
      <c r="Y39" s="905"/>
      <c r="Z39" s="905"/>
      <c r="AA39" s="905"/>
      <c r="AB39" s="905"/>
      <c r="AC39" s="905"/>
      <c r="AD39" s="905"/>
      <c r="AE39" s="905"/>
      <c r="AF39" s="905"/>
    </row>
    <row r="40" spans="2:40" x14ac:dyDescent="0.35">
      <c r="B40" s="56"/>
      <c r="C40" s="924"/>
      <c r="D40" s="905"/>
      <c r="E40" s="905"/>
      <c r="F40" s="905"/>
      <c r="G40" s="905"/>
      <c r="H40" s="905"/>
      <c r="I40" s="905"/>
      <c r="J40" s="905"/>
      <c r="K40" s="905"/>
      <c r="L40" s="905"/>
      <c r="M40" s="905"/>
      <c r="N40" s="905"/>
      <c r="O40" s="905"/>
      <c r="P40" s="905"/>
      <c r="Q40" s="905"/>
      <c r="R40" s="905"/>
      <c r="S40" s="905"/>
      <c r="T40" s="905"/>
      <c r="U40" s="905"/>
      <c r="V40" s="905"/>
      <c r="W40" s="905"/>
      <c r="X40" s="905"/>
      <c r="Y40" s="905"/>
      <c r="Z40" s="905"/>
      <c r="AA40" s="905"/>
      <c r="AB40" s="905"/>
      <c r="AC40" s="905"/>
      <c r="AD40" s="905"/>
      <c r="AE40" s="905"/>
      <c r="AF40" s="905"/>
    </row>
    <row r="41" spans="2:40" x14ac:dyDescent="0.35">
      <c r="B41" s="926" t="s">
        <v>1819</v>
      </c>
      <c r="C41" s="926"/>
      <c r="D41" s="255"/>
      <c r="E41" s="255"/>
      <c r="F41" s="255"/>
      <c r="G41" s="255"/>
      <c r="H41" s="255"/>
      <c r="I41" s="255"/>
      <c r="J41" s="255"/>
      <c r="K41" s="255"/>
      <c r="L41" s="255"/>
      <c r="M41" s="255"/>
      <c r="N41" s="255"/>
      <c r="O41" s="255"/>
      <c r="P41" s="255"/>
      <c r="Q41" s="255"/>
      <c r="R41" s="255"/>
      <c r="S41" s="255"/>
      <c r="T41" s="255"/>
      <c r="U41" s="255"/>
      <c r="V41" s="255"/>
      <c r="W41" s="255"/>
      <c r="X41" s="255"/>
      <c r="Y41" s="255"/>
      <c r="Z41" s="255"/>
      <c r="AA41" s="255"/>
      <c r="AB41" s="255"/>
      <c r="AC41" s="255"/>
    </row>
    <row r="42" spans="2:40" x14ac:dyDescent="0.35">
      <c r="B42" s="1323" t="s">
        <v>1701</v>
      </c>
      <c r="C42" s="1324"/>
      <c r="D42" s="1347" t="s">
        <v>1725</v>
      </c>
      <c r="E42" s="1348"/>
      <c r="F42" s="1348"/>
      <c r="G42" s="1348"/>
      <c r="H42" s="1348"/>
      <c r="I42" s="1348"/>
      <c r="J42" s="1348"/>
      <c r="K42" s="1348"/>
      <c r="L42" s="1348"/>
      <c r="M42" s="1348"/>
      <c r="N42" s="1348"/>
      <c r="O42" s="1348"/>
      <c r="P42" s="1348"/>
      <c r="Q42" s="1348"/>
      <c r="R42" s="1348"/>
      <c r="S42" s="1348"/>
      <c r="T42" s="1348"/>
      <c r="U42" s="1348"/>
      <c r="V42" s="1348"/>
      <c r="W42" s="1348"/>
      <c r="X42" s="1348"/>
      <c r="Y42" s="1348"/>
      <c r="Z42" s="1348"/>
      <c r="AA42" s="1348"/>
      <c r="AB42" s="1349"/>
      <c r="AC42" s="1350" t="s">
        <v>1733</v>
      </c>
      <c r="AD42" s="1331"/>
      <c r="AE42" s="1331"/>
      <c r="AF42" s="1331"/>
      <c r="AG42" s="1331"/>
      <c r="AH42" s="1331"/>
      <c r="AI42" s="1331"/>
      <c r="AJ42" s="1331"/>
      <c r="AK42" s="1331"/>
      <c r="AL42" s="1331"/>
      <c r="AM42" s="1331"/>
      <c r="AN42" s="1332"/>
    </row>
    <row r="43" spans="2:40" x14ac:dyDescent="0.35">
      <c r="B43" s="1325"/>
      <c r="C43" s="1326"/>
      <c r="D43" s="225">
        <v>2018</v>
      </c>
      <c r="E43" s="1320">
        <v>2019</v>
      </c>
      <c r="F43" s="1321"/>
      <c r="G43" s="1321"/>
      <c r="H43" s="1382"/>
      <c r="I43" s="1320">
        <v>2020</v>
      </c>
      <c r="J43" s="1321"/>
      <c r="K43" s="1321"/>
      <c r="L43" s="1321"/>
      <c r="M43" s="1320">
        <v>2021</v>
      </c>
      <c r="N43" s="1321"/>
      <c r="O43" s="1321"/>
      <c r="P43" s="1321"/>
      <c r="Q43" s="1342">
        <v>2022</v>
      </c>
      <c r="R43" s="1354"/>
      <c r="S43" s="1354"/>
      <c r="T43" s="1344"/>
      <c r="U43" s="460"/>
      <c r="V43" s="442">
        <v>2023</v>
      </c>
      <c r="W43" s="302"/>
      <c r="X43" s="302"/>
      <c r="Y43" s="460"/>
      <c r="Z43" s="302">
        <v>2024</v>
      </c>
      <c r="AA43" s="302"/>
      <c r="AB43" s="309"/>
      <c r="AC43" s="1329">
        <v>2025</v>
      </c>
      <c r="AD43" s="1330"/>
      <c r="AE43" s="1330"/>
      <c r="AF43" s="1330"/>
      <c r="AG43" s="1329">
        <v>2026</v>
      </c>
      <c r="AH43" s="1335"/>
      <c r="AI43" s="1335"/>
      <c r="AJ43" s="1334"/>
      <c r="AK43" s="1329">
        <v>2027</v>
      </c>
      <c r="AL43" s="1335"/>
      <c r="AM43" s="1335"/>
      <c r="AN43" s="1334"/>
    </row>
    <row r="44" spans="2:40" x14ac:dyDescent="0.35">
      <c r="B44" s="1327"/>
      <c r="C44" s="1328"/>
      <c r="D44" s="225" t="s">
        <v>281</v>
      </c>
      <c r="E44" s="225" t="s">
        <v>282</v>
      </c>
      <c r="F44" s="226" t="s">
        <v>283</v>
      </c>
      <c r="G44" s="226" t="s">
        <v>238</v>
      </c>
      <c r="H44" s="232" t="s">
        <v>281</v>
      </c>
      <c r="I44" s="226" t="s">
        <v>282</v>
      </c>
      <c r="J44" s="226" t="s">
        <v>283</v>
      </c>
      <c r="K44" s="226" t="s">
        <v>238</v>
      </c>
      <c r="L44" s="226" t="s">
        <v>281</v>
      </c>
      <c r="M44" s="225" t="s">
        <v>282</v>
      </c>
      <c r="N44" s="226" t="s">
        <v>283</v>
      </c>
      <c r="O44" s="226" t="s">
        <v>238</v>
      </c>
      <c r="P44" s="226" t="s">
        <v>281</v>
      </c>
      <c r="Q44" s="225" t="s">
        <v>282</v>
      </c>
      <c r="R44" s="226" t="s">
        <v>283</v>
      </c>
      <c r="S44" s="226" t="s">
        <v>238</v>
      </c>
      <c r="T44" s="232" t="s">
        <v>281</v>
      </c>
      <c r="U44" s="225" t="s">
        <v>282</v>
      </c>
      <c r="V44" s="226" t="s">
        <v>283</v>
      </c>
      <c r="W44" s="226" t="s">
        <v>238</v>
      </c>
      <c r="X44" s="226" t="s">
        <v>281</v>
      </c>
      <c r="Y44" s="225" t="s">
        <v>282</v>
      </c>
      <c r="Z44" s="306" t="s">
        <v>283</v>
      </c>
      <c r="AA44" s="226" t="s">
        <v>238</v>
      </c>
      <c r="AB44" s="232" t="s">
        <v>281</v>
      </c>
      <c r="AC44" s="286" t="s">
        <v>282</v>
      </c>
      <c r="AD44" s="226" t="s">
        <v>283</v>
      </c>
      <c r="AE44" s="329" t="s">
        <v>238</v>
      </c>
      <c r="AF44" s="329" t="s">
        <v>281</v>
      </c>
      <c r="AG44" s="299" t="s">
        <v>282</v>
      </c>
      <c r="AH44" s="271" t="s">
        <v>283</v>
      </c>
      <c r="AI44" s="273" t="s">
        <v>238</v>
      </c>
      <c r="AJ44" s="301" t="s">
        <v>281</v>
      </c>
      <c r="AK44" s="299" t="s">
        <v>282</v>
      </c>
      <c r="AL44" s="271" t="s">
        <v>283</v>
      </c>
      <c r="AM44" s="273" t="s">
        <v>238</v>
      </c>
      <c r="AN44" s="301" t="s">
        <v>281</v>
      </c>
    </row>
    <row r="45" spans="2:40" x14ac:dyDescent="0.35">
      <c r="B45" s="934" t="s">
        <v>1895</v>
      </c>
      <c r="C45" s="947"/>
      <c r="D45" s="942">
        <f>('Haver Pivoted'!GO76+1)^4-1</f>
        <v>1.5264497223703488E-2</v>
      </c>
      <c r="E45" s="929">
        <f>('Haver Pivoted'!GP76+1)^4-1</f>
        <v>8.1697245486058723E-3</v>
      </c>
      <c r="F45" s="929">
        <f>('Haver Pivoted'!GQ76+1)^4-1</f>
        <v>2.2550676192391039E-2</v>
      </c>
      <c r="G45" s="929">
        <f>('Haver Pivoted'!GR76+1)^4-1</f>
        <v>9.6649063963889503E-3</v>
      </c>
      <c r="H45" s="929">
        <f>('Haver Pivoted'!GS76+1)^4-1</f>
        <v>1.5834666967584843E-2</v>
      </c>
      <c r="I45" s="929">
        <f>('Haver Pivoted'!GT76+1)^4-1</f>
        <v>1.239349514115573E-2</v>
      </c>
      <c r="J45" s="929">
        <f>('Haver Pivoted'!GU76+1)^4-1</f>
        <v>-1.5843080973497181E-2</v>
      </c>
      <c r="K45" s="929">
        <f>('Haver Pivoted'!GV76+1)^4-1</f>
        <v>3.2862675445769929E-2</v>
      </c>
      <c r="L45" s="929">
        <f>('Haver Pivoted'!GW76+1)^4-1</f>
        <v>1.9524743592179927E-2</v>
      </c>
      <c r="M45" s="929">
        <f>('Haver Pivoted'!GX76+1)^4-1</f>
        <v>4.5919222990944863E-2</v>
      </c>
      <c r="N45" s="929">
        <f>('Haver Pivoted'!GY76+1)^4-1</f>
        <v>6.3763215063124212E-2</v>
      </c>
      <c r="O45" s="929">
        <f>('Haver Pivoted'!GZ76+1)^4-1</f>
        <v>5.6353404292981857E-2</v>
      </c>
      <c r="P45" s="929">
        <f>('Haver Pivoted'!HA76+1)^4-1</f>
        <v>6.7661635913466744E-2</v>
      </c>
      <c r="Q45" s="929">
        <f>('Haver Pivoted'!HB76+1)^4-1</f>
        <v>7.7270298955965933E-2</v>
      </c>
      <c r="R45" s="929">
        <f>('Haver Pivoted'!HC76+1)^4-1</f>
        <v>7.554614845470442E-2</v>
      </c>
      <c r="S45" s="943">
        <f>('Haver Pivoted'!HD76+1)^4-1</f>
        <v>4.7220953130670873E-2</v>
      </c>
      <c r="T45" s="928">
        <f>('Haver Pivoted'!HE76+1)^4-1</f>
        <v>4.0176508092810925E-2</v>
      </c>
      <c r="U45" s="943">
        <f>('Haver Pivoted'!HF76+1)^4-1</f>
        <v>3.9428535960380762E-2</v>
      </c>
      <c r="V45" s="943">
        <f>('Haver Pivoted'!HG76+1)^4-1</f>
        <v>2.9211734875661532E-2</v>
      </c>
      <c r="W45" s="943">
        <f>('Haver Pivoted'!HH76+1)^4-1</f>
        <v>2.6927277215065937E-2</v>
      </c>
      <c r="X45" s="943">
        <f>('Haver Pivoted'!HI76+1)^4-1</f>
        <v>1.6533593023621451E-2</v>
      </c>
      <c r="Y45" s="943">
        <f>('Haver Pivoted'!HJ76+1)^4-1</f>
        <v>3.4247515494288061E-2</v>
      </c>
      <c r="Z45" s="943">
        <f>('Haver Pivoted'!HK76+1)^4-1</f>
        <v>2.5312909540798456E-2</v>
      </c>
      <c r="AA45" s="943">
        <f>('Haver Pivoted'!HL76+1)^4-1</f>
        <v>1.5403536594506217E-2</v>
      </c>
      <c r="AB45" s="943">
        <f>('Haver Pivoted'!HM76+1)^4-1</f>
        <v>2.3839052457011789E-2</v>
      </c>
      <c r="AC45" s="943">
        <f>('Haver Pivoted'!HN76+1)^4-1</f>
        <v>3.6577985459982365E-2</v>
      </c>
      <c r="AD45" s="943">
        <f>('Haver Pivoted'!HO76+1)^4-1</f>
        <v>2.0797032106222968E-2</v>
      </c>
      <c r="AE45" s="950">
        <f>AE46+AE47</f>
        <v>2.3874932014508632E-2</v>
      </c>
      <c r="AF45" s="950">
        <f t="shared" ref="AF45" si="35">AF46+AF47</f>
        <v>2.2011392938697361E-2</v>
      </c>
      <c r="AG45" s="905">
        <f t="shared" ref="AG45" si="36">AG46+AG47</f>
        <v>2.1469131944638509E-2</v>
      </c>
      <c r="AH45" s="905">
        <f>AH46+AH47</f>
        <v>2.037795778240481E-2</v>
      </c>
      <c r="AI45" s="905">
        <f t="shared" ref="AI45" si="37">AI46+AI47</f>
        <v>2.031319568771961E-2</v>
      </c>
      <c r="AJ45" s="905">
        <f>AJ46+AJ47</f>
        <v>2.0411174157790368E-2</v>
      </c>
      <c r="AK45" s="905">
        <f t="shared" ref="AK45:AN45" si="38">AK46+AK47</f>
        <v>2.0278651758323107E-2</v>
      </c>
      <c r="AL45" s="905">
        <f t="shared" si="38"/>
        <v>2.0181831515000193E-2</v>
      </c>
      <c r="AM45" s="905">
        <f t="shared" si="38"/>
        <v>2.008748904793789E-2</v>
      </c>
      <c r="AN45" s="927">
        <f t="shared" si="38"/>
        <v>2.0063466029726529E-2</v>
      </c>
    </row>
    <row r="46" spans="2:40" x14ac:dyDescent="0.35">
      <c r="B46" s="77" t="s">
        <v>1894</v>
      </c>
      <c r="C46" s="924" t="s">
        <v>1692</v>
      </c>
      <c r="D46" s="951">
        <f>('Haver Pivoted'!GO76+1)^4-1</f>
        <v>1.5264497223703488E-2</v>
      </c>
      <c r="E46" s="905">
        <f>('Haver Pivoted'!GP76+1)^4-1</f>
        <v>8.1697245486058723E-3</v>
      </c>
      <c r="F46" s="905">
        <f>('Haver Pivoted'!GQ76+1)^4-1</f>
        <v>2.2550676192391039E-2</v>
      </c>
      <c r="G46" s="905">
        <f>('Haver Pivoted'!GR76+1)^4-1</f>
        <v>9.6649063963889503E-3</v>
      </c>
      <c r="H46" s="905">
        <f>('Haver Pivoted'!GS76+1)^4-1</f>
        <v>1.5834666967584843E-2</v>
      </c>
      <c r="I46" s="905">
        <f>('Haver Pivoted'!GT76+1)^4-1</f>
        <v>1.239349514115573E-2</v>
      </c>
      <c r="J46" s="905">
        <f>('Haver Pivoted'!GU76+1)^4-1</f>
        <v>-1.5843080973497181E-2</v>
      </c>
      <c r="K46" s="905">
        <f>('Haver Pivoted'!GV76+1)^4-1</f>
        <v>3.2862675445769929E-2</v>
      </c>
      <c r="L46" s="905">
        <f>('Haver Pivoted'!GW76+1)^4-1</f>
        <v>1.9524743592179927E-2</v>
      </c>
      <c r="M46" s="905">
        <f>('Haver Pivoted'!GX76+1)^4-1</f>
        <v>4.5919222990944863E-2</v>
      </c>
      <c r="N46" s="905">
        <f>('Haver Pivoted'!GY76+1)^4-1</f>
        <v>6.3763215063124212E-2</v>
      </c>
      <c r="O46" s="905">
        <f>('Haver Pivoted'!GZ76+1)^4-1</f>
        <v>5.6353404292981857E-2</v>
      </c>
      <c r="P46" s="905">
        <f>('Haver Pivoted'!HA76+1)^4-1</f>
        <v>6.7661635913466744E-2</v>
      </c>
      <c r="Q46" s="905">
        <f>('Haver Pivoted'!HB76+1)^4-1</f>
        <v>7.7270298955965933E-2</v>
      </c>
      <c r="R46" s="905">
        <f>('Haver Pivoted'!HC76+1)^4-1</f>
        <v>7.554614845470442E-2</v>
      </c>
      <c r="S46" s="905">
        <f>('Haver Pivoted'!HD76+1)^4-1</f>
        <v>4.7220953130670873E-2</v>
      </c>
      <c r="T46" s="905">
        <f>('Haver Pivoted'!HE76+1)^4-1</f>
        <v>4.0176508092810925E-2</v>
      </c>
      <c r="U46" s="905">
        <f>('Haver Pivoted'!HF76+1)^4-1</f>
        <v>3.9428535960380762E-2</v>
      </c>
      <c r="V46" s="905">
        <f>('Haver Pivoted'!HG76+1)^4-1</f>
        <v>2.9211734875661532E-2</v>
      </c>
      <c r="W46" s="905">
        <f>('Haver Pivoted'!HH76+1)^4-1</f>
        <v>2.6927277215065937E-2</v>
      </c>
      <c r="X46" s="905">
        <f>('Haver Pivoted'!HI76+1)^4-1</f>
        <v>1.6533593023621451E-2</v>
      </c>
      <c r="Y46" s="905">
        <f t="shared" ref="Y46:AH46" si="39">(Y72/X72)^4-1</f>
        <v>3.4257335695615954E-2</v>
      </c>
      <c r="Z46" s="905">
        <f t="shared" si="39"/>
        <v>2.5320587670252914E-2</v>
      </c>
      <c r="AA46" s="905">
        <f t="shared" si="39"/>
        <v>1.4999009292827825E-2</v>
      </c>
      <c r="AB46" s="905">
        <f t="shared" si="39"/>
        <v>2.4498276208370307E-2</v>
      </c>
      <c r="AC46" s="905">
        <f t="shared" si="39"/>
        <v>2.3058368307400823E-2</v>
      </c>
      <c r="AD46" s="905">
        <f t="shared" si="39"/>
        <v>2.1483635680919155E-2</v>
      </c>
      <c r="AE46" s="905">
        <f t="shared" si="39"/>
        <v>2.187493201450863E-2</v>
      </c>
      <c r="AF46" s="905">
        <f t="shared" si="39"/>
        <v>2.2011392938697361E-2</v>
      </c>
      <c r="AG46" s="905">
        <f t="shared" si="39"/>
        <v>2.1469131944638509E-2</v>
      </c>
      <c r="AH46" s="905">
        <f t="shared" si="39"/>
        <v>2.037795778240481E-2</v>
      </c>
      <c r="AI46" s="905">
        <f t="shared" ref="AI46" si="40">(AI72/AH72)^4-1</f>
        <v>2.031319568771961E-2</v>
      </c>
      <c r="AJ46" s="905">
        <f>(AJ72/AI72)^4-1</f>
        <v>2.0411174157790368E-2</v>
      </c>
      <c r="AK46" s="905">
        <f>(AK72/AJ72)^4-1</f>
        <v>2.0278651758323107E-2</v>
      </c>
      <c r="AL46" s="905">
        <f t="shared" ref="AL46:AN46" si="41">(AL72/AK72)^4-1</f>
        <v>2.0181831515000193E-2</v>
      </c>
      <c r="AM46" s="905">
        <f t="shared" si="41"/>
        <v>2.008748904793789E-2</v>
      </c>
      <c r="AN46" s="893">
        <f t="shared" si="41"/>
        <v>2.0063466029726529E-2</v>
      </c>
    </row>
    <row r="47" spans="2:40" x14ac:dyDescent="0.35">
      <c r="B47" s="77" t="s">
        <v>1896</v>
      </c>
      <c r="C47" s="924"/>
      <c r="D47" s="951"/>
      <c r="E47" s="905"/>
      <c r="F47" s="905"/>
      <c r="G47" s="905"/>
      <c r="H47" s="905"/>
      <c r="I47" s="905"/>
      <c r="J47" s="905"/>
      <c r="K47" s="905"/>
      <c r="L47" s="905"/>
      <c r="M47" s="905"/>
      <c r="N47" s="905"/>
      <c r="O47" s="905"/>
      <c r="P47" s="905"/>
      <c r="Q47" s="905"/>
      <c r="R47" s="905"/>
      <c r="S47" s="905"/>
      <c r="T47" s="905"/>
      <c r="U47" s="905"/>
      <c r="V47" s="905"/>
      <c r="W47" s="905"/>
      <c r="X47" s="905"/>
      <c r="Y47" s="905"/>
      <c r="Z47" s="905"/>
      <c r="AA47" s="905">
        <v>-7.4999999999999997E-3</v>
      </c>
      <c r="AB47" s="905">
        <v>5.0000000000000001E-4</v>
      </c>
      <c r="AC47" s="905">
        <v>1.2E-2</v>
      </c>
      <c r="AD47" s="905">
        <v>-4.4999999999999997E-3</v>
      </c>
      <c r="AE47" s="905">
        <v>2E-3</v>
      </c>
      <c r="AN47" s="239"/>
    </row>
    <row r="48" spans="2:40" x14ac:dyDescent="0.35">
      <c r="B48" s="67" t="s">
        <v>1703</v>
      </c>
      <c r="C48" s="924" t="s">
        <v>1693</v>
      </c>
      <c r="D48" s="951">
        <f>('Haver Pivoted'!GO77+1)^4-1</f>
        <v>2.9477765289275926E-2</v>
      </c>
      <c r="E48" s="905">
        <f>('Haver Pivoted'!GP77+1)^4-1</f>
        <v>3.7241332054374521E-2</v>
      </c>
      <c r="F48" s="905">
        <f>('Haver Pivoted'!GQ77+1)^4-1</f>
        <v>-2.6356011696502479E-2</v>
      </c>
      <c r="G48" s="905">
        <f>('Haver Pivoted'!GR77+1)^4-1</f>
        <v>3.7347692764231333E-3</v>
      </c>
      <c r="H48" s="905">
        <f>('Haver Pivoted'!GS77+1)^4-1</f>
        <v>1.463826004028701E-2</v>
      </c>
      <c r="I48" s="905">
        <f>('Haver Pivoted'!GT77+1)^4-1</f>
        <v>1.2149501243322813E-2</v>
      </c>
      <c r="J48" s="905">
        <f>('Haver Pivoted'!GU77+1)^4-1</f>
        <v>2.5590697877679869E-3</v>
      </c>
      <c r="K48" s="905">
        <f>('Haver Pivoted'!GV77+1)^4-1</f>
        <v>2.2030538597398897E-2</v>
      </c>
      <c r="L48" s="905">
        <f>('Haver Pivoted'!GW77+1)^4-1</f>
        <v>3.0184246589695318E-2</v>
      </c>
      <c r="M48" s="905">
        <f>('Haver Pivoted'!GX77+1)^4-1</f>
        <v>3.1074822316861761E-2</v>
      </c>
      <c r="N48" s="905">
        <f>('Haver Pivoted'!GY77+1)^4-1</f>
        <v>4.3814411385844076E-2</v>
      </c>
      <c r="O48" s="905">
        <f>('Haver Pivoted'!GZ77+1)^4-1</f>
        <v>4.8079114499886888E-2</v>
      </c>
      <c r="P48" s="905">
        <f>('Haver Pivoted'!HA77+1)^4-1</f>
        <v>5.0423609727379137E-2</v>
      </c>
      <c r="Q48" s="905">
        <f>('Haver Pivoted'!HB77+1)^4-1</f>
        <v>6.5677487260019429E-2</v>
      </c>
      <c r="R48" s="905">
        <f>('Haver Pivoted'!HC77+1)^4-1</f>
        <v>7.488961890096113E-2</v>
      </c>
      <c r="S48" s="925">
        <f>('Haver Pivoted'!HD77+1)^4-1</f>
        <v>5.3316340788000627E-2</v>
      </c>
      <c r="T48" s="925">
        <f>('Haver Pivoted'!HE77+1)^4-1</f>
        <v>4.1496756379381328E-2</v>
      </c>
      <c r="U48" s="925">
        <f>('Haver Pivoted'!HF77+1)^4-1</f>
        <v>4.2898407970302532E-2</v>
      </c>
      <c r="V48" s="925">
        <f>('Haver Pivoted'!HG77+1)^4-1</f>
        <v>3.5017736429978852E-2</v>
      </c>
      <c r="W48" s="925">
        <f>('Haver Pivoted'!HH77+1)^4-1</f>
        <v>3.8113924198168725E-2</v>
      </c>
      <c r="X48" s="925">
        <f>('Haver Pivoted'!HI77+1)^4-1</f>
        <v>3.8299248311242984E-2</v>
      </c>
      <c r="Y48" s="925">
        <f>('Haver Pivoted'!HJ77+1)^4-1</f>
        <v>3.5508670157945676E-2</v>
      </c>
      <c r="Z48" s="925">
        <f>('Haver Pivoted'!HK77+1)^4-1</f>
        <v>2.8203399736230539E-2</v>
      </c>
      <c r="AA48" s="925">
        <f>('Haver Pivoted'!HL77+1)^4-1</f>
        <v>2.4481644318991469E-2</v>
      </c>
      <c r="AB48" s="925">
        <f>('Haver Pivoted'!HM77+1)^4-1</f>
        <v>2.665590972416565E-2</v>
      </c>
      <c r="AC48" s="925">
        <f>('Haver Pivoted'!HN77+1)^4-1</f>
        <v>5.6768969247473322E-2</v>
      </c>
      <c r="AD48" s="925">
        <f>('Haver Pivoted'!HO77+1)^4-1</f>
        <v>6.1030824179235887E-2</v>
      </c>
      <c r="AE48" s="905">
        <f>(AE73/AD73)^4-1+AE50</f>
        <v>2.4729668703095779E-2</v>
      </c>
      <c r="AF48" s="905">
        <f t="shared" ref="AF48:AN48" si="42">(AF73/AE73)^4-1+AF50</f>
        <v>2.4119603614899725E-2</v>
      </c>
      <c r="AG48" s="905">
        <f t="shared" si="42"/>
        <v>2.1515602617293128E-2</v>
      </c>
      <c r="AH48" s="905">
        <f t="shared" si="42"/>
        <v>2.2790850007197161E-2</v>
      </c>
      <c r="AI48" s="905">
        <f t="shared" si="42"/>
        <v>2.3263295207157642E-2</v>
      </c>
      <c r="AJ48" s="905">
        <f t="shared" si="42"/>
        <v>2.3889685874715294E-2</v>
      </c>
      <c r="AK48" s="905">
        <f t="shared" si="42"/>
        <v>2.2412555601408091E-2</v>
      </c>
      <c r="AL48" s="905">
        <f t="shared" si="42"/>
        <v>2.2147320108405477E-2</v>
      </c>
      <c r="AM48" s="905">
        <f t="shared" si="42"/>
        <v>2.2772302614111117E-2</v>
      </c>
      <c r="AN48" s="893">
        <f t="shared" si="42"/>
        <v>2.3247045836330082E-2</v>
      </c>
    </row>
    <row r="49" spans="2:40" x14ac:dyDescent="0.35">
      <c r="B49" s="67" t="s">
        <v>1704</v>
      </c>
      <c r="C49" s="924" t="s">
        <v>1694</v>
      </c>
      <c r="D49" s="951">
        <f>('Haver Pivoted'!GO78+1)^4-1</f>
        <v>1.7606158659444704E-2</v>
      </c>
      <c r="E49" s="905">
        <f>('Haver Pivoted'!GP78+1)^4-1</f>
        <v>-1.9289094877951052E-2</v>
      </c>
      <c r="F49" s="905">
        <f>('Haver Pivoted'!GQ78+1)^4-1</f>
        <v>3.0411677963670725E-2</v>
      </c>
      <c r="G49" s="905">
        <f>('Haver Pivoted'!GR78+1)^4-1</f>
        <v>1.5793384791695786E-2</v>
      </c>
      <c r="H49" s="905">
        <f>('Haver Pivoted'!GS78+1)^4-1</f>
        <v>2.3589262537388134E-2</v>
      </c>
      <c r="I49" s="905">
        <f>('Haver Pivoted'!GT78+1)^4-1</f>
        <v>5.264893740513088E-2</v>
      </c>
      <c r="J49" s="905">
        <f>('Haver Pivoted'!GU78+1)^4-1</f>
        <v>-5.217742186237273E-3</v>
      </c>
      <c r="K49" s="905">
        <f>('Haver Pivoted'!GV78+1)^4-1</f>
        <v>4.8875550231923137E-2</v>
      </c>
      <c r="L49" s="905">
        <f>('Haver Pivoted'!GW78+1)^4-1</f>
        <v>4.9958958569866319E-2</v>
      </c>
      <c r="M49" s="905">
        <f>('Haver Pivoted'!GX78+1)^4-1</f>
        <v>9.1754054615137415E-2</v>
      </c>
      <c r="N49" s="905">
        <f>('Haver Pivoted'!GY78+1)^4-1</f>
        <v>8.1251965588764241E-2</v>
      </c>
      <c r="O49" s="905">
        <f>('Haver Pivoted'!GZ78+1)^4-1</f>
        <v>6.5854996027893797E-2</v>
      </c>
      <c r="P49" s="905">
        <f>('Haver Pivoted'!HA78+1)^4-1</f>
        <v>8.1420811365759738E-2</v>
      </c>
      <c r="Q49" s="905">
        <f>('Haver Pivoted'!HB78+1)^4-1</f>
        <v>9.5809760841454095E-2</v>
      </c>
      <c r="R49" s="905">
        <f>('Haver Pivoted'!HC78+1)^4-1</f>
        <v>0.14288883985037359</v>
      </c>
      <c r="S49" s="925">
        <f>('Haver Pivoted'!HD78+1)^4-1</f>
        <v>5.753757100426693E-3</v>
      </c>
      <c r="T49" s="925">
        <f>('Haver Pivoted'!HE78+1)^4-1</f>
        <v>1.1355976812321922E-2</v>
      </c>
      <c r="U49" s="925">
        <f>('Haver Pivoted'!HF78+1)^4-1</f>
        <v>-2.087064600501487E-2</v>
      </c>
      <c r="V49" s="925">
        <f>('Haver Pivoted'!HG78+1)^4-1</f>
        <v>-3.6759658065968148E-2</v>
      </c>
      <c r="W49" s="925">
        <f>('Haver Pivoted'!HH78+1)^4-1</f>
        <v>4.0372871979416969E-2</v>
      </c>
      <c r="X49" s="925">
        <f>('Haver Pivoted'!HI78+1)^4-1</f>
        <v>-1.1102871005200798E-3</v>
      </c>
      <c r="Y49" s="925">
        <f>('Haver Pivoted'!HJ78+1)^4-1</f>
        <v>3.8608393322818291E-2</v>
      </c>
      <c r="Z49" s="925">
        <f>('Haver Pivoted'!HK78+1)^4-1</f>
        <v>1.6292943839810503E-2</v>
      </c>
      <c r="AA49" s="925">
        <f>('Haver Pivoted'!HL78+1)^4-1</f>
        <v>2.3887845221117976E-2</v>
      </c>
      <c r="AB49" s="925">
        <f>('Haver Pivoted'!HM78+1)^4-1</f>
        <v>1.7801857364531548E-2</v>
      </c>
      <c r="AC49" s="925">
        <f>('Haver Pivoted'!HN78+1)^4-1</f>
        <v>3.9281195609842667E-2</v>
      </c>
      <c r="AD49" s="925">
        <f>('Haver Pivoted'!HO78+1)^4-1</f>
        <v>6.6477162008220514E-3</v>
      </c>
      <c r="AE49" s="905">
        <f t="shared" ref="AE49:AN49" si="43">(AE74/AD74)^4-1</f>
        <v>3.1343868352262882E-2</v>
      </c>
      <c r="AF49" s="905">
        <f t="shared" si="43"/>
        <v>3.2394354805230341E-2</v>
      </c>
      <c r="AG49" s="905">
        <f t="shared" si="43"/>
        <v>3.3164637629816696E-2</v>
      </c>
      <c r="AH49" s="905">
        <f t="shared" si="43"/>
        <v>3.1425713898589613E-2</v>
      </c>
      <c r="AI49" s="905">
        <f t="shared" si="43"/>
        <v>3.1013053419121528E-2</v>
      </c>
      <c r="AJ49" s="905">
        <f t="shared" si="43"/>
        <v>3.1015398756455648E-2</v>
      </c>
      <c r="AK49" s="905">
        <f t="shared" si="43"/>
        <v>3.0542269425562596E-2</v>
      </c>
      <c r="AL49" s="905">
        <f t="shared" si="43"/>
        <v>3.0334679878840642E-2</v>
      </c>
      <c r="AM49" s="905">
        <f t="shared" si="43"/>
        <v>2.9994558057691467E-2</v>
      </c>
      <c r="AN49" s="893">
        <f t="shared" si="43"/>
        <v>2.9803649988641601E-2</v>
      </c>
    </row>
    <row r="50" spans="2:40" x14ac:dyDescent="0.35">
      <c r="B50" s="67" t="s">
        <v>1986</v>
      </c>
      <c r="C50" s="924"/>
      <c r="D50" s="951"/>
      <c r="E50" s="905"/>
      <c r="F50" s="905"/>
      <c r="G50" s="905"/>
      <c r="H50" s="905"/>
      <c r="I50" s="905"/>
      <c r="J50" s="905"/>
      <c r="K50" s="905"/>
      <c r="L50" s="905"/>
      <c r="M50" s="905"/>
      <c r="N50" s="905"/>
      <c r="O50" s="905"/>
      <c r="P50" s="905"/>
      <c r="Q50" s="905"/>
      <c r="R50" s="905"/>
      <c r="S50" s="925"/>
      <c r="T50" s="925"/>
      <c r="U50" s="925"/>
      <c r="V50" s="925"/>
      <c r="W50" s="925"/>
      <c r="X50" s="925"/>
      <c r="Y50" s="925"/>
      <c r="Z50" s="925"/>
      <c r="AA50" s="925"/>
      <c r="AB50" s="925"/>
      <c r="AC50" s="925"/>
      <c r="AD50" s="925"/>
      <c r="AE50" s="905">
        <v>0.01</v>
      </c>
      <c r="AF50" s="905">
        <v>8.9999999999999993E-3</v>
      </c>
      <c r="AG50" s="905"/>
      <c r="AH50" s="905"/>
      <c r="AI50" s="905"/>
      <c r="AJ50" s="905"/>
      <c r="AK50" s="905"/>
      <c r="AL50" s="905"/>
      <c r="AM50" s="905"/>
      <c r="AN50" s="893"/>
    </row>
    <row r="51" spans="2:40" x14ac:dyDescent="0.35">
      <c r="B51" s="67" t="s">
        <v>1705</v>
      </c>
      <c r="C51" s="924" t="s">
        <v>1695</v>
      </c>
      <c r="D51" s="951">
        <f>('Haver Pivoted'!GO79+1)^4-1</f>
        <v>1.2331231439726587E-2</v>
      </c>
      <c r="E51" s="905">
        <f>('Haver Pivoted'!GP79+1)^4-1</f>
        <v>-2.700843667145636E-2</v>
      </c>
      <c r="F51" s="905">
        <f>('Haver Pivoted'!GQ79+1)^4-1</f>
        <v>2.7562863533678428E-2</v>
      </c>
      <c r="G51" s="905">
        <f>('Haver Pivoted'!GR79+1)^4-1</f>
        <v>1.5442696812244527E-2</v>
      </c>
      <c r="H51" s="905">
        <f>('Haver Pivoted'!GS79+1)^4-1</f>
        <v>2.7307145143274258E-2</v>
      </c>
      <c r="I51" s="905">
        <f>('Haver Pivoted'!GT79+1)^4-1</f>
        <v>6.2563226282339235E-2</v>
      </c>
      <c r="J51" s="905">
        <f>('Haver Pivoted'!GU79+1)^4-1</f>
        <v>-3.1076845521187391E-3</v>
      </c>
      <c r="K51" s="905">
        <f>('Haver Pivoted'!GV79+1)^4-1</f>
        <v>5.0835204325521355E-2</v>
      </c>
      <c r="L51" s="905">
        <f>('Haver Pivoted'!GW79+1)^4-1</f>
        <v>5.6516511024412575E-2</v>
      </c>
      <c r="M51" s="905">
        <f>('Haver Pivoted'!GX79+1)^4-1</f>
        <v>9.8643019696944334E-2</v>
      </c>
      <c r="N51" s="905">
        <f>('Haver Pivoted'!GY79+1)^4-1</f>
        <v>7.7982454628441111E-2</v>
      </c>
      <c r="O51" s="905">
        <f>('Haver Pivoted'!GZ79+1)^4-1</f>
        <v>6.0955299775054206E-2</v>
      </c>
      <c r="P51" s="905">
        <f>('Haver Pivoted'!HA79+1)^4-1</f>
        <v>7.2782919540383961E-2</v>
      </c>
      <c r="Q51" s="905">
        <f>('Haver Pivoted'!HB79+1)^4-1</f>
        <v>9.0061872181369962E-2</v>
      </c>
      <c r="R51" s="905">
        <f>('Haver Pivoted'!HC79+1)^4-1</f>
        <v>0.1436965164831121</v>
      </c>
      <c r="S51" s="925">
        <f>('Haver Pivoted'!HD79+1)^4-1</f>
        <v>-1.1746560973159292E-2</v>
      </c>
      <c r="T51" s="925">
        <f>('Haver Pivoted'!HE79+1)^4-1</f>
        <v>2.1967430570584145E-3</v>
      </c>
      <c r="U51" s="925">
        <f>('Haver Pivoted'!HF79+1)^4-1</f>
        <v>-3.5599925493891349E-2</v>
      </c>
      <c r="V51" s="925">
        <f>('Haver Pivoted'!HG79+1)^4-1</f>
        <v>-4.5280831786954745E-2</v>
      </c>
      <c r="W51" s="925">
        <f>('Haver Pivoted'!HH79+1)^4-1</f>
        <v>4.8134298648978557E-2</v>
      </c>
      <c r="X51" s="925">
        <f>('Haver Pivoted'!HI79+1)^4-1</f>
        <v>-4.2594526301267255E-3</v>
      </c>
      <c r="Y51" s="925">
        <f>('Haver Pivoted'!HJ79+1)^4-1</f>
        <v>4.217111451589628E-2</v>
      </c>
      <c r="Z51" s="925">
        <f>('Haver Pivoted'!HK79+1)^4-1</f>
        <v>1.9463682308167529E-2</v>
      </c>
      <c r="AA51" s="925">
        <f>('Haver Pivoted'!HL79+1)^4-1</f>
        <v>2.1874539845902152E-2</v>
      </c>
      <c r="AB51" s="925">
        <f>('Haver Pivoted'!HM79+1)^4-1</f>
        <v>1.9072730382637015E-2</v>
      </c>
      <c r="AC51" s="925">
        <f>('Haver Pivoted'!HN79+1)^4-1</f>
        <v>4.161891556378583E-2</v>
      </c>
      <c r="AD51" s="925">
        <f>('Haver Pivoted'!HO79+1)^4-1</f>
        <v>7.0538517269098655E-3</v>
      </c>
      <c r="AE51" s="905">
        <f t="shared" ref="AE51:AF51" si="44">AE49</f>
        <v>3.1343868352262882E-2</v>
      </c>
      <c r="AF51" s="905">
        <f t="shared" si="44"/>
        <v>3.2394354805230341E-2</v>
      </c>
      <c r="AG51" s="905">
        <f t="shared" ref="AG51:AH51" si="45">AG49</f>
        <v>3.3164637629816696E-2</v>
      </c>
      <c r="AH51" s="905">
        <f t="shared" si="45"/>
        <v>3.1425713898589613E-2</v>
      </c>
      <c r="AI51" s="905">
        <f t="shared" ref="AI51:AN51" si="46">AI49</f>
        <v>3.1013053419121528E-2</v>
      </c>
      <c r="AJ51" s="905">
        <f t="shared" si="46"/>
        <v>3.1015398756455648E-2</v>
      </c>
      <c r="AK51" s="905">
        <f t="shared" si="46"/>
        <v>3.0542269425562596E-2</v>
      </c>
      <c r="AL51" s="905">
        <f>AL49</f>
        <v>3.0334679878840642E-2</v>
      </c>
      <c r="AM51" s="905">
        <f t="shared" si="46"/>
        <v>2.9994558057691467E-2</v>
      </c>
      <c r="AN51" s="893">
        <f t="shared" si="46"/>
        <v>2.9803649988641601E-2</v>
      </c>
    </row>
    <row r="52" spans="2:40" x14ac:dyDescent="0.35">
      <c r="B52" s="344" t="s">
        <v>1706</v>
      </c>
      <c r="C52" s="948" t="s">
        <v>1696</v>
      </c>
      <c r="D52" s="908">
        <f>('Haver Pivoted'!GO80+1)^4-1</f>
        <v>4.0962242441666019E-2</v>
      </c>
      <c r="E52" s="909">
        <f>('Haver Pivoted'!GP80+1)^4-1</f>
        <v>1.51792670994777E-2</v>
      </c>
      <c r="F52" s="909">
        <f>('Haver Pivoted'!GQ80+1)^4-1</f>
        <v>4.2702169718882965E-2</v>
      </c>
      <c r="G52" s="909">
        <f>('Haver Pivoted'!GR80+1)^4-1</f>
        <v>1.755007684826615E-2</v>
      </c>
      <c r="H52" s="909">
        <f>('Haver Pivoted'!GS80+1)^4-1</f>
        <v>7.6166905113348449E-3</v>
      </c>
      <c r="I52" s="909">
        <f>('Haver Pivoted'!GT80+1)^4-1</f>
        <v>1.0120807804920418E-2</v>
      </c>
      <c r="J52" s="909">
        <f>('Haver Pivoted'!GU80+1)^4-1</f>
        <v>-1.4337681566159555E-2</v>
      </c>
      <c r="K52" s="909">
        <f>('Haver Pivoted'!GV80+1)^4-1</f>
        <v>3.9796166071044636E-2</v>
      </c>
      <c r="L52" s="909">
        <f>('Haver Pivoted'!GW80+1)^4-1</f>
        <v>2.0329576447674524E-2</v>
      </c>
      <c r="M52" s="909">
        <f>('Haver Pivoted'!GX80+1)^4-1</f>
        <v>5.9674403216350091E-2</v>
      </c>
      <c r="N52" s="909">
        <f>('Haver Pivoted'!GY80+1)^4-1</f>
        <v>9.5803328528480503E-2</v>
      </c>
      <c r="O52" s="909">
        <f>('Haver Pivoted'!GZ80+1)^4-1</f>
        <v>8.9244367976453631E-2</v>
      </c>
      <c r="P52" s="909">
        <f>('Haver Pivoted'!HA80+1)^4-1</f>
        <v>0.12456668920888303</v>
      </c>
      <c r="Q52" s="909">
        <f>('Haver Pivoted'!HB80+1)^4-1</f>
        <v>0.12433979312392585</v>
      </c>
      <c r="R52" s="909">
        <f>('Haver Pivoted'!HC80+1)^4-1</f>
        <v>0.13846732874655276</v>
      </c>
      <c r="S52" s="941">
        <f>('Haver Pivoted'!HD80+1)^4-1</f>
        <v>9.552027198699542E-2</v>
      </c>
      <c r="T52" s="941">
        <f>('Haver Pivoted'!HE80+1)^4-1</f>
        <v>5.5161829119105388E-2</v>
      </c>
      <c r="U52" s="941">
        <f>('Haver Pivoted'!HF80+1)^4-1</f>
        <v>5.0122233379745529E-2</v>
      </c>
      <c r="V52" s="941">
        <f>('Haver Pivoted'!HG80+1)^4-1</f>
        <v>2.1164173736800684E-3</v>
      </c>
      <c r="W52" s="941">
        <f>('Haver Pivoted'!HH80+1)^4-1</f>
        <v>5.8706332638096548E-3</v>
      </c>
      <c r="X52" s="941">
        <f>('Haver Pivoted'!HI80+1)^4-1</f>
        <v>1.2084409350409553E-2</v>
      </c>
      <c r="Y52" s="941">
        <f>('Haver Pivoted'!HJ80+1)^4-1</f>
        <v>2.380676700323181E-2</v>
      </c>
      <c r="Z52" s="941">
        <f>('Haver Pivoted'!HK80+1)^4-1</f>
        <v>3.3212249496941126E-3</v>
      </c>
      <c r="AA52" s="941">
        <f>('Haver Pivoted'!HL80+1)^4-1</f>
        <v>3.2150473499066079E-2</v>
      </c>
      <c r="AB52" s="941">
        <f>('Haver Pivoted'!HM80+1)^4-1</f>
        <v>1.2769263183438628E-2</v>
      </c>
      <c r="AC52" s="941">
        <f>('Haver Pivoted'!HN80+1)^4-1</f>
        <v>2.9707566513271333E-2</v>
      </c>
      <c r="AD52" s="941">
        <f>('Haver Pivoted'!HO80+1)^4-1</f>
        <v>5.0810704617254565E-3</v>
      </c>
      <c r="AE52" s="909">
        <f t="shared" ref="AE52:AF52" si="47">AE51</f>
        <v>3.1343868352262882E-2</v>
      </c>
      <c r="AF52" s="909">
        <f t="shared" si="47"/>
        <v>3.2394354805230341E-2</v>
      </c>
      <c r="AG52" s="909">
        <f t="shared" ref="AG52:AH52" si="48">AG51</f>
        <v>3.3164637629816696E-2</v>
      </c>
      <c r="AH52" s="909">
        <f t="shared" si="48"/>
        <v>3.1425713898589613E-2</v>
      </c>
      <c r="AI52" s="909">
        <f>AI51</f>
        <v>3.1013053419121528E-2</v>
      </c>
      <c r="AJ52" s="909">
        <f t="shared" ref="AJ52:AN52" si="49">AJ51</f>
        <v>3.1015398756455648E-2</v>
      </c>
      <c r="AK52" s="909">
        <f t="shared" si="49"/>
        <v>3.0542269425562596E-2</v>
      </c>
      <c r="AL52" s="909">
        <f t="shared" si="49"/>
        <v>3.0334679878840642E-2</v>
      </c>
      <c r="AM52" s="909">
        <f t="shared" si="49"/>
        <v>2.9994558057691467E-2</v>
      </c>
      <c r="AN52" s="910">
        <f t="shared" si="49"/>
        <v>2.9803649988641601E-2</v>
      </c>
    </row>
    <row r="53" spans="2:40" x14ac:dyDescent="0.35">
      <c r="B53" s="56"/>
      <c r="C53" s="924"/>
      <c r="D53" s="905"/>
      <c r="E53" s="905"/>
      <c r="F53" s="905"/>
      <c r="G53" s="905"/>
      <c r="H53" s="905"/>
      <c r="I53" s="905"/>
      <c r="J53" s="905"/>
      <c r="K53" s="905"/>
      <c r="L53" s="905"/>
      <c r="M53" s="905"/>
      <c r="N53" s="905"/>
      <c r="O53" s="905"/>
      <c r="P53" s="905"/>
      <c r="Q53" s="905"/>
      <c r="R53" s="905"/>
      <c r="X53" s="905"/>
      <c r="AB53" s="905"/>
      <c r="AC53" s="905"/>
      <c r="AD53" s="905"/>
      <c r="AE53" s="905"/>
      <c r="AF53" s="905"/>
    </row>
    <row r="54" spans="2:40" x14ac:dyDescent="0.35">
      <c r="B54" s="56"/>
      <c r="C54" s="924"/>
      <c r="D54" s="905"/>
      <c r="E54" s="905"/>
      <c r="F54" s="905"/>
      <c r="G54" s="905"/>
      <c r="H54" s="905"/>
      <c r="I54" s="905"/>
      <c r="J54" s="905"/>
      <c r="K54" s="905"/>
      <c r="L54" s="905"/>
      <c r="M54" s="905"/>
      <c r="N54" s="905"/>
      <c r="O54" s="905"/>
      <c r="P54" s="905"/>
      <c r="Q54" s="905"/>
      <c r="R54" s="905"/>
      <c r="X54" s="905"/>
      <c r="AB54" s="905"/>
      <c r="AC54" s="905"/>
      <c r="AD54" s="905"/>
      <c r="AE54" s="905"/>
      <c r="AF54" s="905"/>
    </row>
    <row r="55" spans="2:40" x14ac:dyDescent="0.35">
      <c r="B55" s="934" t="s">
        <v>1702</v>
      </c>
      <c r="C55" s="924"/>
      <c r="D55" s="905"/>
      <c r="E55" s="905"/>
      <c r="F55" s="905"/>
      <c r="G55" s="905"/>
      <c r="H55" s="905"/>
      <c r="I55" s="905"/>
      <c r="J55" s="905"/>
      <c r="K55" s="905"/>
      <c r="L55" s="905"/>
      <c r="M55" s="905"/>
      <c r="N55" s="905"/>
      <c r="O55" s="905"/>
      <c r="P55" s="905"/>
      <c r="Q55" s="905"/>
      <c r="R55" s="905"/>
      <c r="S55" s="95">
        <f>S72</f>
        <v>1.1700921610724198</v>
      </c>
      <c r="T55">
        <f>S55*(1+T45)^0.25</f>
        <v>1.1816716876463498</v>
      </c>
      <c r="U55">
        <f t="shared" ref="U55:AN55" si="50">T55*(1+U45)^0.25</f>
        <v>1.1931512183085879</v>
      </c>
      <c r="V55">
        <f t="shared" si="50"/>
        <v>1.2017708658964359</v>
      </c>
      <c r="W55">
        <f t="shared" si="50"/>
        <v>1.2097805384229627</v>
      </c>
      <c r="X55">
        <f t="shared" si="50"/>
        <v>1.2147503352340536</v>
      </c>
      <c r="Y55">
        <f t="shared" si="50"/>
        <v>1.2250199153648189</v>
      </c>
      <c r="Z55">
        <f t="shared" si="50"/>
        <v>1.2326996013827622</v>
      </c>
      <c r="AA55">
        <f t="shared" si="50"/>
        <v>1.2374194084146231</v>
      </c>
      <c r="AB55">
        <f t="shared" si="50"/>
        <v>1.244729109559306</v>
      </c>
      <c r="AC55">
        <f t="shared" si="50"/>
        <v>1.2559586504423144</v>
      </c>
      <c r="AD55">
        <f t="shared" si="50"/>
        <v>1.2624383855199539</v>
      </c>
      <c r="AE55">
        <f t="shared" si="50"/>
        <v>1.269907004569808</v>
      </c>
      <c r="AF55">
        <f t="shared" si="50"/>
        <v>1.2768381579680941</v>
      </c>
      <c r="AG55">
        <f t="shared" si="50"/>
        <v>1.2836368164280574</v>
      </c>
      <c r="AH55">
        <f t="shared" si="50"/>
        <v>1.2901269035558702</v>
      </c>
      <c r="AI55">
        <f t="shared" si="50"/>
        <v>1.2966292299929147</v>
      </c>
      <c r="AJ55">
        <f t="shared" si="50"/>
        <v>1.3031956124795696</v>
      </c>
      <c r="AK55">
        <f t="shared" si="50"/>
        <v>1.3097527200416272</v>
      </c>
      <c r="AL55">
        <f t="shared" si="50"/>
        <v>1.3163115900972071</v>
      </c>
      <c r="AM55">
        <f t="shared" si="50"/>
        <v>1.322872719808345</v>
      </c>
      <c r="AN55">
        <f t="shared" si="50"/>
        <v>1.3294587260541513</v>
      </c>
    </row>
    <row r="56" spans="2:40" x14ac:dyDescent="0.35">
      <c r="B56" s="67" t="s">
        <v>1703</v>
      </c>
      <c r="C56" s="924"/>
      <c r="D56" s="905"/>
      <c r="E56" s="905"/>
      <c r="F56" s="905"/>
      <c r="G56" s="905"/>
      <c r="H56" s="905"/>
      <c r="I56" s="905"/>
      <c r="J56" s="905"/>
      <c r="K56" s="905"/>
      <c r="L56" s="905"/>
      <c r="M56" s="905"/>
      <c r="N56" s="905"/>
      <c r="O56" s="905"/>
      <c r="P56" s="905"/>
      <c r="Q56" s="905"/>
      <c r="R56" s="905"/>
      <c r="S56" s="95">
        <f t="shared" ref="S56:S57" si="51">S73</f>
        <v>1.1617241135253733</v>
      </c>
      <c r="T56">
        <f>S56*(1+T48)^0.25</f>
        <v>1.1735929295650571</v>
      </c>
      <c r="U56">
        <f t="shared" ref="U56:AN56" si="52">T56*(1+U48)^0.25</f>
        <v>1.1859816937379031</v>
      </c>
      <c r="V56">
        <f t="shared" si="52"/>
        <v>1.1962306713627353</v>
      </c>
      <c r="W56">
        <f t="shared" si="52"/>
        <v>1.2074695502410877</v>
      </c>
      <c r="X56">
        <f t="shared" si="52"/>
        <v>1.2188684131604133</v>
      </c>
      <c r="Y56">
        <f t="shared" si="52"/>
        <v>1.2295473478953602</v>
      </c>
      <c r="Z56">
        <f t="shared" si="52"/>
        <v>1.238126492092537</v>
      </c>
      <c r="AA56">
        <f t="shared" si="52"/>
        <v>1.2456357430157068</v>
      </c>
      <c r="AB56">
        <f t="shared" si="52"/>
        <v>1.2538549231206941</v>
      </c>
      <c r="AC56">
        <f t="shared" si="52"/>
        <v>1.2712831845841894</v>
      </c>
      <c r="AD56">
        <f t="shared" si="52"/>
        <v>1.2902512924420497</v>
      </c>
      <c r="AE56">
        <f t="shared" si="52"/>
        <v>1.2981552389870497</v>
      </c>
      <c r="AF56">
        <f t="shared" si="52"/>
        <v>1.3059131655495402</v>
      </c>
      <c r="AG56">
        <f t="shared" si="52"/>
        <v>1.3128815685514021</v>
      </c>
      <c r="AH56">
        <f t="shared" si="52"/>
        <v>1.320298895198815</v>
      </c>
      <c r="AI56">
        <f t="shared" si="52"/>
        <v>1.3279114293693306</v>
      </c>
      <c r="AJ56">
        <f t="shared" si="52"/>
        <v>1.3357722007052586</v>
      </c>
      <c r="AK56">
        <f t="shared" si="52"/>
        <v>1.3431946226597034</v>
      </c>
      <c r="AL56">
        <f t="shared" si="52"/>
        <v>1.3505706825619257</v>
      </c>
      <c r="AM56">
        <f t="shared" si="52"/>
        <v>1.358194782183977</v>
      </c>
      <c r="AN56">
        <f t="shared" si="52"/>
        <v>1.3660203920243412</v>
      </c>
    </row>
    <row r="57" spans="2:40" x14ac:dyDescent="0.35">
      <c r="B57" s="344" t="s">
        <v>1704</v>
      </c>
      <c r="C57" s="924"/>
      <c r="D57" s="905"/>
      <c r="E57" s="905"/>
      <c r="F57" s="905"/>
      <c r="G57" s="905"/>
      <c r="H57" s="905"/>
      <c r="I57" s="905"/>
      <c r="J57" s="905"/>
      <c r="K57" s="905"/>
      <c r="L57" s="905"/>
      <c r="M57" s="905"/>
      <c r="N57" s="905"/>
      <c r="O57" s="905"/>
      <c r="P57" s="905"/>
      <c r="Q57" s="905"/>
      <c r="R57" s="905"/>
      <c r="S57" s="95">
        <f t="shared" si="51"/>
        <v>1.2627669039145906</v>
      </c>
      <c r="T57">
        <f>S57*(1+T49)^0.25</f>
        <v>1.2663367255429767</v>
      </c>
      <c r="U57">
        <f t="shared" ref="U57:AN57" si="53">T57*(1+U49)^0.25</f>
        <v>1.259677058303466</v>
      </c>
      <c r="V57">
        <f t="shared" si="53"/>
        <v>1.2479376448812656</v>
      </c>
      <c r="W57">
        <f t="shared" si="53"/>
        <v>1.2603470248275608</v>
      </c>
      <c r="X57">
        <f t="shared" si="53"/>
        <v>1.259997042314974</v>
      </c>
      <c r="Y57">
        <f t="shared" si="53"/>
        <v>1.2719864432461649</v>
      </c>
      <c r="Z57">
        <f t="shared" si="53"/>
        <v>1.2771361859313719</v>
      </c>
      <c r="AA57">
        <f t="shared" si="53"/>
        <v>1.2846958082032489</v>
      </c>
      <c r="AB57">
        <f t="shared" si="53"/>
        <v>1.2903755244075163</v>
      </c>
      <c r="AC57">
        <f t="shared" si="53"/>
        <v>1.3028649003566886</v>
      </c>
      <c r="AD57">
        <f t="shared" si="53"/>
        <v>1.3050247924343674</v>
      </c>
      <c r="AE57">
        <f t="shared" si="53"/>
        <v>1.3151328777238034</v>
      </c>
      <c r="AF57">
        <f t="shared" si="53"/>
        <v>1.3256566060484603</v>
      </c>
      <c r="AG57">
        <f t="shared" si="53"/>
        <v>1.3365137268985614</v>
      </c>
      <c r="AH57">
        <f t="shared" si="53"/>
        <v>1.3468924305093561</v>
      </c>
      <c r="AI57">
        <f t="shared" si="53"/>
        <v>1.357215944771057</v>
      </c>
      <c r="AJ57">
        <f t="shared" si="53"/>
        <v>1.3676193633397158</v>
      </c>
      <c r="AK57">
        <f t="shared" si="53"/>
        <v>1.3779443980466632</v>
      </c>
      <c r="AL57">
        <f t="shared" si="53"/>
        <v>1.3882774615715654</v>
      </c>
      <c r="AM57">
        <f t="shared" si="53"/>
        <v>1.3985725678270911</v>
      </c>
      <c r="AN57">
        <f t="shared" si="53"/>
        <v>1.4088787289299887</v>
      </c>
    </row>
    <row r="58" spans="2:40" x14ac:dyDescent="0.35">
      <c r="B58" s="56"/>
      <c r="C58" s="924"/>
      <c r="D58" s="905"/>
      <c r="E58" s="905"/>
      <c r="F58" s="905"/>
      <c r="G58" s="905"/>
      <c r="H58" s="905"/>
      <c r="I58" s="905"/>
      <c r="J58" s="905"/>
      <c r="K58" s="905"/>
      <c r="L58" s="905"/>
      <c r="M58" s="905"/>
      <c r="N58" s="905"/>
      <c r="O58" s="905"/>
      <c r="P58" s="905"/>
      <c r="Q58" s="905"/>
      <c r="R58" s="905"/>
      <c r="X58" s="905"/>
      <c r="AB58" s="905"/>
      <c r="AC58" s="905"/>
      <c r="AD58" s="905"/>
      <c r="AE58" s="905"/>
      <c r="AF58" s="905"/>
    </row>
    <row r="59" spans="2:40" x14ac:dyDescent="0.35">
      <c r="B59" s="56"/>
      <c r="C59" s="924"/>
      <c r="D59" s="905"/>
      <c r="E59" s="905"/>
      <c r="F59" s="905"/>
      <c r="G59" s="905"/>
      <c r="H59" s="905"/>
      <c r="I59" s="905"/>
      <c r="J59" s="905"/>
      <c r="K59" s="905"/>
      <c r="L59" s="905"/>
      <c r="M59" s="905"/>
      <c r="N59" s="905"/>
      <c r="O59" s="905"/>
      <c r="P59" s="905"/>
      <c r="Q59" s="905"/>
      <c r="R59" s="905"/>
      <c r="X59" s="905"/>
      <c r="AB59" s="905"/>
      <c r="AC59" s="905"/>
      <c r="AD59" s="905"/>
      <c r="AE59" s="905"/>
      <c r="AF59" s="905"/>
    </row>
    <row r="60" spans="2:40" x14ac:dyDescent="0.35">
      <c r="B60" s="56"/>
      <c r="C60" s="924"/>
      <c r="D60" s="905"/>
      <c r="E60" s="905"/>
      <c r="F60" s="905"/>
      <c r="G60" s="905"/>
      <c r="H60" s="905"/>
      <c r="I60" s="905"/>
      <c r="J60" s="905"/>
      <c r="K60" s="905"/>
      <c r="L60" s="905"/>
      <c r="M60" s="905"/>
      <c r="N60" s="905"/>
      <c r="O60" s="905"/>
      <c r="P60" s="905"/>
      <c r="Q60" s="905"/>
      <c r="R60" s="905"/>
      <c r="X60" s="905"/>
      <c r="AB60" s="905"/>
      <c r="AC60" s="905"/>
      <c r="AD60" s="905"/>
      <c r="AE60" s="905"/>
      <c r="AF60" s="905"/>
    </row>
    <row r="61" spans="2:40" x14ac:dyDescent="0.35">
      <c r="B61" s="56"/>
      <c r="C61" s="924"/>
      <c r="D61" s="905"/>
      <c r="E61" s="905"/>
      <c r="F61" s="905"/>
      <c r="G61" s="905"/>
      <c r="H61" s="905"/>
      <c r="I61" s="905"/>
      <c r="J61" s="905"/>
      <c r="K61" s="905"/>
      <c r="L61" s="905"/>
      <c r="M61" s="905"/>
      <c r="N61" s="905"/>
      <c r="O61" s="905"/>
      <c r="P61" s="905"/>
      <c r="Q61" s="905"/>
      <c r="R61" s="905"/>
      <c r="X61" s="905"/>
      <c r="Y61" s="905"/>
      <c r="Z61" s="905"/>
      <c r="AA61" s="905"/>
      <c r="AB61" s="905"/>
      <c r="AC61" s="905"/>
      <c r="AD61" s="905"/>
      <c r="AE61" s="905"/>
      <c r="AF61" s="905"/>
    </row>
    <row r="62" spans="2:40" ht="14.5" customHeight="1" x14ac:dyDescent="0.35">
      <c r="B62" s="1412" t="s">
        <v>1726</v>
      </c>
      <c r="C62" s="1412"/>
      <c r="D62" s="1412"/>
      <c r="E62" s="1412"/>
      <c r="F62" s="255"/>
      <c r="G62" s="255"/>
      <c r="H62" s="255"/>
      <c r="I62" s="255"/>
      <c r="J62" s="255"/>
      <c r="K62" s="255"/>
      <c r="L62" s="255"/>
      <c r="M62" s="255"/>
      <c r="N62" s="255"/>
      <c r="O62" s="255"/>
      <c r="P62" s="255"/>
      <c r="Q62" s="255"/>
      <c r="R62" s="255"/>
      <c r="S62" s="255"/>
      <c r="T62" s="255"/>
      <c r="U62" s="255"/>
      <c r="V62" s="255"/>
      <c r="W62" s="255"/>
      <c r="X62" s="255"/>
      <c r="Y62" s="255"/>
      <c r="Z62" s="255"/>
      <c r="AA62" s="255"/>
      <c r="AB62" s="255"/>
      <c r="AC62" s="255"/>
    </row>
    <row r="63" spans="2:40" ht="30" customHeight="1" x14ac:dyDescent="0.35">
      <c r="B63" s="917" t="s">
        <v>1969</v>
      </c>
      <c r="C63" s="940"/>
      <c r="D63" s="296">
        <v>2018</v>
      </c>
      <c r="E63" s="1342">
        <v>2019</v>
      </c>
      <c r="F63" s="1354"/>
      <c r="G63" s="1354"/>
      <c r="H63" s="1344"/>
      <c r="I63" s="1342">
        <v>2020</v>
      </c>
      <c r="J63" s="1354"/>
      <c r="K63" s="1354"/>
      <c r="L63" s="1354"/>
      <c r="M63" s="1342">
        <v>2021</v>
      </c>
      <c r="N63" s="1354"/>
      <c r="O63" s="1354"/>
      <c r="P63" s="1354"/>
      <c r="Q63" s="1345">
        <v>2022</v>
      </c>
      <c r="R63" s="1346"/>
      <c r="S63" s="302"/>
      <c r="T63" s="309"/>
      <c r="U63" s="1342">
        <v>2023</v>
      </c>
      <c r="V63" s="1354"/>
      <c r="W63" s="1354"/>
      <c r="X63" s="1344"/>
      <c r="Y63" s="460"/>
      <c r="Z63" s="302">
        <v>2024</v>
      </c>
      <c r="AA63" s="302"/>
      <c r="AB63" s="335"/>
      <c r="AC63" s="1329">
        <v>2025</v>
      </c>
      <c r="AD63" s="1330"/>
      <c r="AE63" s="1330"/>
      <c r="AF63" s="1334"/>
      <c r="AG63" s="1329">
        <v>2026</v>
      </c>
      <c r="AH63" s="1335"/>
      <c r="AI63" s="1335"/>
      <c r="AJ63" s="1334"/>
      <c r="AK63" s="1329">
        <v>2027</v>
      </c>
      <c r="AL63" s="1335"/>
      <c r="AM63" s="1335"/>
      <c r="AN63" s="1334"/>
    </row>
    <row r="64" spans="2:40" x14ac:dyDescent="0.35">
      <c r="B64" s="903"/>
      <c r="C64" s="249"/>
      <c r="D64" s="286" t="s">
        <v>281</v>
      </c>
      <c r="E64" s="286" t="s">
        <v>282</v>
      </c>
      <c r="F64" s="287" t="s">
        <v>283</v>
      </c>
      <c r="G64" s="287" t="s">
        <v>238</v>
      </c>
      <c r="H64" s="285" t="s">
        <v>281</v>
      </c>
      <c r="I64" s="287" t="s">
        <v>282</v>
      </c>
      <c r="J64" s="287" t="s">
        <v>283</v>
      </c>
      <c r="K64" s="287" t="s">
        <v>238</v>
      </c>
      <c r="L64" s="287" t="s">
        <v>281</v>
      </c>
      <c r="M64" s="286" t="s">
        <v>282</v>
      </c>
      <c r="N64" s="287" t="s">
        <v>283</v>
      </c>
      <c r="O64" s="287" t="s">
        <v>238</v>
      </c>
      <c r="P64" s="287" t="s">
        <v>281</v>
      </c>
      <c r="Q64" s="286" t="s">
        <v>282</v>
      </c>
      <c r="R64" s="287" t="s">
        <v>283</v>
      </c>
      <c r="S64" s="287" t="s">
        <v>238</v>
      </c>
      <c r="T64" s="285" t="s">
        <v>281</v>
      </c>
      <c r="U64" s="286" t="s">
        <v>282</v>
      </c>
      <c r="V64" s="287" t="s">
        <v>283</v>
      </c>
      <c r="W64" s="287" t="s">
        <v>238</v>
      </c>
      <c r="X64" s="285" t="s">
        <v>281</v>
      </c>
      <c r="Y64" s="286" t="s">
        <v>282</v>
      </c>
      <c r="Z64" s="292" t="s">
        <v>283</v>
      </c>
      <c r="AA64" s="287" t="s">
        <v>238</v>
      </c>
      <c r="AB64" s="301" t="s">
        <v>281</v>
      </c>
      <c r="AC64" s="299" t="s">
        <v>282</v>
      </c>
      <c r="AD64" s="273" t="s">
        <v>283</v>
      </c>
      <c r="AE64" s="273" t="s">
        <v>238</v>
      </c>
      <c r="AF64" s="301" t="s">
        <v>281</v>
      </c>
      <c r="AG64" s="299" t="s">
        <v>282</v>
      </c>
      <c r="AH64" s="271" t="s">
        <v>283</v>
      </c>
      <c r="AI64" s="273" t="s">
        <v>238</v>
      </c>
      <c r="AJ64" s="301" t="s">
        <v>281</v>
      </c>
      <c r="AK64" s="299" t="s">
        <v>282</v>
      </c>
      <c r="AL64" s="271" t="s">
        <v>283</v>
      </c>
      <c r="AM64" s="273" t="s">
        <v>238</v>
      </c>
      <c r="AN64" s="301" t="s">
        <v>281</v>
      </c>
    </row>
    <row r="65" spans="2:72" ht="28.5" customHeight="1" x14ac:dyDescent="0.35">
      <c r="B65" s="911" t="s">
        <v>1914</v>
      </c>
      <c r="C65" s="56" t="s">
        <v>1708</v>
      </c>
      <c r="D65" s="233"/>
      <c r="E65" s="233"/>
      <c r="F65" s="233"/>
      <c r="G65" s="233"/>
      <c r="H65" s="233"/>
      <c r="I65" s="233"/>
      <c r="J65" s="233"/>
      <c r="K65" s="233"/>
      <c r="L65" s="233"/>
      <c r="M65" s="726">
        <v>15217.7</v>
      </c>
      <c r="N65" s="726">
        <v>15950.9</v>
      </c>
      <c r="O65" s="726">
        <v>16285.1</v>
      </c>
      <c r="P65" s="726">
        <v>16718.2</v>
      </c>
      <c r="Q65" s="726">
        <v>17175.099999999999</v>
      </c>
      <c r="R65" s="726">
        <v>17603.8</v>
      </c>
      <c r="S65" s="900">
        <v>17876.2</v>
      </c>
      <c r="T65" s="900">
        <v>18108.3</v>
      </c>
      <c r="U65" s="900">
        <v>18506.2</v>
      </c>
      <c r="V65" s="900">
        <v>18685.7</v>
      </c>
      <c r="W65" s="900">
        <v>18929</v>
      </c>
      <c r="X65" s="900">
        <v>19170.2</v>
      </c>
      <c r="Y65" s="900">
        <v>19424.8</v>
      </c>
      <c r="Z65" s="900">
        <v>19682.7</v>
      </c>
      <c r="AA65" s="900">
        <v>19928.2</v>
      </c>
      <c r="AB65" s="900">
        <v>20185.7</v>
      </c>
      <c r="AC65" s="900">
        <v>20403.099999999999</v>
      </c>
      <c r="AD65" s="900">
        <v>20642.2</v>
      </c>
      <c r="AE65" s="900">
        <v>20846.8</v>
      </c>
      <c r="AF65" s="900">
        <v>21044.3</v>
      </c>
      <c r="AG65" s="900">
        <v>21224.400000000001</v>
      </c>
      <c r="AH65" s="895">
        <v>21419</v>
      </c>
      <c r="AI65" s="895">
        <v>21589.1</v>
      </c>
      <c r="AJ65" s="895">
        <v>21781.8</v>
      </c>
      <c r="AK65" s="895">
        <v>21986.799999999999</v>
      </c>
      <c r="AL65" s="895">
        <v>22169.7</v>
      </c>
      <c r="AM65" s="895">
        <v>22353.1</v>
      </c>
      <c r="AN65" s="895">
        <v>22549.7</v>
      </c>
      <c r="AO65" s="895">
        <v>22756.3</v>
      </c>
      <c r="AP65" s="895">
        <v>22960.5</v>
      </c>
      <c r="AQ65" s="895">
        <v>23175.7</v>
      </c>
      <c r="AR65" s="895">
        <v>23394.799999999999</v>
      </c>
      <c r="AS65" s="895">
        <v>23623.8</v>
      </c>
      <c r="AT65" s="895">
        <v>23858.3</v>
      </c>
      <c r="AU65" s="895">
        <v>24089.9</v>
      </c>
      <c r="AV65" s="895">
        <v>24324.3</v>
      </c>
      <c r="AW65" s="895">
        <v>24567.4</v>
      </c>
      <c r="AX65" s="895">
        <v>24824.5</v>
      </c>
      <c r="AY65" s="895">
        <v>25079.200000000001</v>
      </c>
      <c r="AZ65" s="895">
        <v>25340.7</v>
      </c>
      <c r="BA65" s="895">
        <v>25603</v>
      </c>
      <c r="BB65" s="895">
        <v>25871.9</v>
      </c>
      <c r="BC65" s="895">
        <v>26140.7</v>
      </c>
      <c r="BD65" s="895">
        <v>26411.5</v>
      </c>
      <c r="BE65" s="895">
        <v>26684.9</v>
      </c>
      <c r="BF65" s="895">
        <v>26961.599999999999</v>
      </c>
      <c r="BG65" s="895">
        <v>27241.4</v>
      </c>
      <c r="BH65" s="895">
        <v>27524.400000000001</v>
      </c>
      <c r="BI65" s="895">
        <v>27809.7</v>
      </c>
      <c r="BJ65" s="895">
        <v>28100.3</v>
      </c>
      <c r="BK65" s="895">
        <v>28394.3</v>
      </c>
      <c r="BL65" s="895">
        <v>28690.400000000001</v>
      </c>
      <c r="BM65" s="895">
        <v>28988.400000000001</v>
      </c>
      <c r="BN65" s="895">
        <v>29289</v>
      </c>
      <c r="BO65" s="895">
        <v>29593.3</v>
      </c>
      <c r="BP65" s="895">
        <v>29899.7</v>
      </c>
      <c r="BQ65">
        <v>30207</v>
      </c>
      <c r="BR65">
        <v>30516</v>
      </c>
      <c r="BS65">
        <v>30827</v>
      </c>
      <c r="BT65">
        <v>31138.6</v>
      </c>
    </row>
    <row r="66" spans="2:72" ht="26.25" customHeight="1" x14ac:dyDescent="0.35">
      <c r="B66" s="911" t="s">
        <v>1915</v>
      </c>
      <c r="C66" s="56" t="s">
        <v>1709</v>
      </c>
      <c r="D66" s="67"/>
      <c r="E66" s="56"/>
      <c r="F66" s="56"/>
      <c r="G66" s="56"/>
      <c r="H66" s="56"/>
      <c r="I66" s="56"/>
      <c r="J66" s="56"/>
      <c r="K66" s="56"/>
      <c r="L66" s="56"/>
      <c r="M66" s="895">
        <v>1609.9</v>
      </c>
      <c r="N66" s="895">
        <v>1588.5</v>
      </c>
      <c r="O66" s="895">
        <v>1576.4</v>
      </c>
      <c r="P66" s="895">
        <v>1602.5</v>
      </c>
      <c r="Q66" s="895">
        <v>1606.5</v>
      </c>
      <c r="R66" s="895">
        <v>1622.1</v>
      </c>
      <c r="S66" s="900">
        <v>1641.4</v>
      </c>
      <c r="T66" s="900">
        <v>1694.2</v>
      </c>
      <c r="U66" s="900">
        <v>1731.6</v>
      </c>
      <c r="V66" s="900">
        <v>1741.8</v>
      </c>
      <c r="W66" s="900">
        <v>1780.9</v>
      </c>
      <c r="X66" s="900">
        <v>1796.2</v>
      </c>
      <c r="Y66" s="900">
        <v>1810.3</v>
      </c>
      <c r="Z66" s="900">
        <v>1842.2</v>
      </c>
      <c r="AA66" s="900">
        <v>1893.4</v>
      </c>
      <c r="AB66" s="900">
        <v>1899.3</v>
      </c>
      <c r="AC66" s="900">
        <v>1905.1</v>
      </c>
      <c r="AD66" s="900">
        <v>1910.7</v>
      </c>
      <c r="AE66" s="900">
        <v>1916.3</v>
      </c>
      <c r="AF66" s="900">
        <v>1922.1</v>
      </c>
      <c r="AG66" s="912">
        <v>1932.1</v>
      </c>
      <c r="AH66" s="912">
        <v>1942.5</v>
      </c>
      <c r="AI66" s="912">
        <v>1953.7</v>
      </c>
      <c r="AJ66" s="912">
        <v>1963.7</v>
      </c>
      <c r="AK66" s="912">
        <v>1973.3</v>
      </c>
      <c r="AL66" s="912">
        <v>1984.4</v>
      </c>
      <c r="AM66" s="912">
        <v>1996</v>
      </c>
      <c r="AN66" s="912">
        <v>2006.3</v>
      </c>
      <c r="AO66" s="912">
        <v>2016.1</v>
      </c>
      <c r="AP66" s="895">
        <v>2026.1</v>
      </c>
      <c r="AQ66" s="895">
        <v>2036.2</v>
      </c>
      <c r="AR66" s="895">
        <v>2047.6</v>
      </c>
      <c r="AS66" s="895">
        <v>2057.4</v>
      </c>
      <c r="AT66" s="895">
        <v>2068.8000000000002</v>
      </c>
      <c r="AU66" s="895">
        <v>2080.3000000000002</v>
      </c>
      <c r="AV66" s="895">
        <v>2091.8000000000002</v>
      </c>
      <c r="AW66" s="895">
        <v>2103.1999999999998</v>
      </c>
      <c r="AX66" s="895">
        <v>2114.6999999999998</v>
      </c>
      <c r="AY66" s="895">
        <v>2124.6999999999998</v>
      </c>
      <c r="AZ66" s="895">
        <v>2134.8000000000002</v>
      </c>
      <c r="BA66" s="895">
        <v>2144.9</v>
      </c>
      <c r="BB66" s="895">
        <v>2156.6</v>
      </c>
      <c r="BC66" s="895">
        <v>2169.1</v>
      </c>
      <c r="BD66" s="895">
        <v>2181.9</v>
      </c>
      <c r="BE66" s="895">
        <v>2194.8000000000002</v>
      </c>
      <c r="BF66" s="895">
        <v>2207.5</v>
      </c>
      <c r="BG66" s="895">
        <v>2221.3000000000002</v>
      </c>
      <c r="BH66" s="895">
        <v>2235.5</v>
      </c>
      <c r="BI66" s="895">
        <v>2249.3000000000002</v>
      </c>
      <c r="BJ66" s="895">
        <v>2263.1999999999998</v>
      </c>
      <c r="BK66" s="895">
        <v>2277.4</v>
      </c>
      <c r="BL66" s="895">
        <v>2290.6999999999998</v>
      </c>
      <c r="BM66" s="895">
        <v>2304.1999999999998</v>
      </c>
      <c r="BN66" s="895">
        <v>2317.3000000000002</v>
      </c>
      <c r="BO66" s="895">
        <v>2330.5</v>
      </c>
      <c r="BP66" s="895">
        <v>2343.6</v>
      </c>
      <c r="BQ66">
        <v>2356.9</v>
      </c>
      <c r="BR66">
        <v>2370.1999999999998</v>
      </c>
      <c r="BS66">
        <v>2383.6999999999998</v>
      </c>
      <c r="BT66">
        <v>2397.6</v>
      </c>
    </row>
    <row r="67" spans="2:72" ht="26.25" customHeight="1" x14ac:dyDescent="0.35">
      <c r="B67" s="911" t="s">
        <v>1916</v>
      </c>
      <c r="C67" s="56" t="s">
        <v>1709</v>
      </c>
      <c r="D67" s="67"/>
      <c r="E67" s="56"/>
      <c r="F67" s="56"/>
      <c r="G67" s="56"/>
      <c r="H67" s="56"/>
      <c r="I67" s="56"/>
      <c r="J67" s="56"/>
      <c r="K67" s="56"/>
      <c r="L67" s="56"/>
      <c r="M67" s="895">
        <v>2533.9</v>
      </c>
      <c r="N67" s="895">
        <v>2571.6999999999998</v>
      </c>
      <c r="O67" s="895">
        <v>2625.1</v>
      </c>
      <c r="P67" s="895">
        <v>2664.2</v>
      </c>
      <c r="Q67" s="895">
        <v>2726.1</v>
      </c>
      <c r="R67" s="895">
        <v>2815.5</v>
      </c>
      <c r="S67" s="900">
        <v>2838.7</v>
      </c>
      <c r="T67" s="900">
        <v>2870.6</v>
      </c>
      <c r="U67" s="900">
        <v>2893</v>
      </c>
      <c r="V67" s="900">
        <v>2904.1</v>
      </c>
      <c r="W67" s="900">
        <v>2975.5</v>
      </c>
      <c r="X67" s="900">
        <v>3019</v>
      </c>
      <c r="Y67" s="900">
        <v>3070.7</v>
      </c>
      <c r="Z67" s="900">
        <v>3100.9</v>
      </c>
      <c r="AA67" s="900">
        <v>3139.2</v>
      </c>
      <c r="AB67" s="900">
        <v>3171.3</v>
      </c>
      <c r="AC67" s="900">
        <v>3201.4</v>
      </c>
      <c r="AD67" s="900">
        <v>3227.6</v>
      </c>
      <c r="AE67" s="900">
        <v>3257.1</v>
      </c>
      <c r="AF67" s="900">
        <v>3287.7</v>
      </c>
      <c r="AG67" s="726">
        <v>3319.2</v>
      </c>
      <c r="AH67" s="726">
        <v>3348.5</v>
      </c>
      <c r="AI67" s="726">
        <v>3378.4</v>
      </c>
      <c r="AJ67" s="726">
        <v>3407.6</v>
      </c>
      <c r="AK67" s="726">
        <v>3436.1</v>
      </c>
      <c r="AL67" s="726">
        <v>3465.5</v>
      </c>
      <c r="AM67" s="726">
        <v>3495</v>
      </c>
      <c r="AN67" s="726">
        <v>3524.3</v>
      </c>
      <c r="AO67" s="726">
        <v>3553.2</v>
      </c>
      <c r="AP67" s="895">
        <v>3582.3</v>
      </c>
      <c r="AQ67" s="895">
        <v>3611.3</v>
      </c>
      <c r="AR67" s="895">
        <v>3640.4</v>
      </c>
      <c r="AS67" s="895">
        <v>3669.2</v>
      </c>
      <c r="AT67" s="895">
        <v>3698.1</v>
      </c>
      <c r="AU67" s="895">
        <v>3727.3</v>
      </c>
      <c r="AV67" s="895">
        <v>3756.6</v>
      </c>
      <c r="AW67" s="895">
        <v>3785.8</v>
      </c>
      <c r="AX67" s="895">
        <v>3815.2</v>
      </c>
      <c r="AY67" s="895">
        <v>3845</v>
      </c>
      <c r="AZ67" s="895">
        <v>3874.9</v>
      </c>
      <c r="BA67" s="895">
        <v>3905.2</v>
      </c>
      <c r="BB67" s="895">
        <v>3935.8</v>
      </c>
      <c r="BC67" s="895">
        <v>3966.6</v>
      </c>
      <c r="BD67" s="895">
        <v>3997.8</v>
      </c>
      <c r="BE67" s="895">
        <v>4029.2</v>
      </c>
      <c r="BF67" s="895">
        <v>4060.9</v>
      </c>
      <c r="BG67" s="895">
        <v>4092.8</v>
      </c>
      <c r="BH67" s="895">
        <v>4125</v>
      </c>
      <c r="BI67" s="895">
        <v>4157.3999999999996</v>
      </c>
      <c r="BJ67" s="895">
        <v>4190</v>
      </c>
      <c r="BK67" s="895">
        <v>4222.8</v>
      </c>
      <c r="BL67" s="895">
        <v>4255.8</v>
      </c>
      <c r="BM67" s="895">
        <v>4289</v>
      </c>
      <c r="BN67" s="895">
        <v>4322.3</v>
      </c>
      <c r="BO67" s="895">
        <v>4355.7</v>
      </c>
      <c r="BP67" s="895">
        <v>4389</v>
      </c>
      <c r="BQ67">
        <v>4422.3999999999996</v>
      </c>
      <c r="BR67">
        <v>4456</v>
      </c>
      <c r="BS67">
        <v>4489.8</v>
      </c>
      <c r="BT67">
        <v>4524</v>
      </c>
    </row>
    <row r="68" spans="2:72" ht="26.25" customHeight="1" x14ac:dyDescent="0.35">
      <c r="B68" s="911" t="s">
        <v>1917</v>
      </c>
      <c r="C68" s="56" t="s">
        <v>1710</v>
      </c>
      <c r="D68" s="67"/>
      <c r="E68" s="56"/>
      <c r="F68" s="56"/>
      <c r="G68" s="56"/>
      <c r="H68" s="56"/>
      <c r="I68" s="56"/>
      <c r="J68" s="56"/>
      <c r="K68" s="56"/>
      <c r="L68" s="56"/>
      <c r="M68" s="895">
        <v>14282.6</v>
      </c>
      <c r="N68" s="895">
        <v>14745.6</v>
      </c>
      <c r="O68" s="895">
        <v>14848.8</v>
      </c>
      <c r="P68" s="895">
        <v>14995.6</v>
      </c>
      <c r="Q68" s="895">
        <v>15123.4</v>
      </c>
      <c r="R68" s="895">
        <v>15219.9</v>
      </c>
      <c r="S68" s="900">
        <v>15277.6</v>
      </c>
      <c r="T68" s="900">
        <v>15324</v>
      </c>
      <c r="U68" s="900">
        <v>15510.2</v>
      </c>
      <c r="V68" s="900">
        <v>15548.5</v>
      </c>
      <c r="W68" s="900">
        <v>15646.7</v>
      </c>
      <c r="X68" s="900">
        <v>15781.4</v>
      </c>
      <c r="Y68" s="900">
        <v>15856.9</v>
      </c>
      <c r="Z68" s="900">
        <v>15967.3</v>
      </c>
      <c r="AA68" s="900">
        <v>16106.4</v>
      </c>
      <c r="AB68" s="900">
        <v>16216.1</v>
      </c>
      <c r="AC68" s="900">
        <v>16297.6</v>
      </c>
      <c r="AD68" s="900">
        <v>16401.2</v>
      </c>
      <c r="AE68" s="900">
        <v>16474.400000000001</v>
      </c>
      <c r="AF68" s="900">
        <v>16540.2</v>
      </c>
      <c r="AG68" s="726">
        <v>16593.400000000001</v>
      </c>
      <c r="AH68" s="726">
        <v>16661.3</v>
      </c>
      <c r="AI68" s="726">
        <v>16709.400000000001</v>
      </c>
      <c r="AJ68" s="726">
        <v>16773.599999999999</v>
      </c>
      <c r="AK68" s="726">
        <v>16846.7</v>
      </c>
      <c r="AL68" s="726">
        <v>16902.2</v>
      </c>
      <c r="AM68" s="726">
        <v>16957.5</v>
      </c>
      <c r="AN68" s="726">
        <v>17021.900000000001</v>
      </c>
      <c r="AO68" s="726">
        <v>17093.099999999999</v>
      </c>
      <c r="AP68" s="895">
        <v>17161.400000000001</v>
      </c>
      <c r="AQ68" s="895">
        <v>17237</v>
      </c>
      <c r="AR68" s="895">
        <v>17314.599999999999</v>
      </c>
      <c r="AS68" s="895">
        <v>17398.5</v>
      </c>
      <c r="AT68" s="895">
        <v>17485.3</v>
      </c>
      <c r="AU68" s="895">
        <v>17568.900000000001</v>
      </c>
      <c r="AV68" s="895">
        <v>17653.3</v>
      </c>
      <c r="AW68" s="895">
        <v>17742.900000000001</v>
      </c>
      <c r="AX68" s="895">
        <v>17841.3</v>
      </c>
      <c r="AY68" s="895">
        <v>17936.8</v>
      </c>
      <c r="AZ68" s="895">
        <v>18035.7</v>
      </c>
      <c r="BA68" s="895">
        <v>18133.900000000001</v>
      </c>
      <c r="BB68" s="895">
        <v>18235.5</v>
      </c>
      <c r="BC68" s="895">
        <v>18335.599999999999</v>
      </c>
      <c r="BD68" s="895">
        <v>18435.7</v>
      </c>
      <c r="BE68" s="895">
        <v>18536.2</v>
      </c>
      <c r="BF68" s="895">
        <v>18637.7</v>
      </c>
      <c r="BG68" s="895">
        <v>18739.900000000001</v>
      </c>
      <c r="BH68" s="895">
        <v>18842.900000000001</v>
      </c>
      <c r="BI68" s="895">
        <v>18946</v>
      </c>
      <c r="BJ68" s="895">
        <v>19051.3</v>
      </c>
      <c r="BK68" s="895">
        <v>19157.5</v>
      </c>
      <c r="BL68" s="895">
        <v>19263.7</v>
      </c>
      <c r="BM68" s="895">
        <v>19369.599999999999</v>
      </c>
      <c r="BN68" s="895">
        <v>19475.8</v>
      </c>
      <c r="BO68" s="895">
        <v>19583</v>
      </c>
      <c r="BP68" s="895">
        <v>19690.099999999999</v>
      </c>
      <c r="BQ68">
        <v>19796.2</v>
      </c>
      <c r="BR68">
        <v>19902.099999999999</v>
      </c>
      <c r="BS68">
        <v>20007.8</v>
      </c>
      <c r="BT68">
        <v>20112.400000000001</v>
      </c>
    </row>
    <row r="69" spans="2:72" ht="26.25" customHeight="1" x14ac:dyDescent="0.35">
      <c r="B69" s="911" t="s">
        <v>1918</v>
      </c>
      <c r="C69" s="56" t="s">
        <v>1711</v>
      </c>
      <c r="D69" s="67"/>
      <c r="E69" s="56"/>
      <c r="F69" s="56"/>
      <c r="G69" s="56"/>
      <c r="H69" s="56"/>
      <c r="I69" s="56"/>
      <c r="J69" s="56"/>
      <c r="K69" s="56"/>
      <c r="L69" s="56"/>
      <c r="M69" s="895">
        <v>1499.1</v>
      </c>
      <c r="N69" s="895">
        <v>1464.8</v>
      </c>
      <c r="O69" s="895">
        <v>1439.1</v>
      </c>
      <c r="P69" s="895">
        <v>1446.5</v>
      </c>
      <c r="Q69" s="895">
        <v>1426.3</v>
      </c>
      <c r="R69" s="895">
        <v>1414.4</v>
      </c>
      <c r="S69" s="900">
        <v>1412.9</v>
      </c>
      <c r="T69" s="900">
        <v>1443.6</v>
      </c>
      <c r="U69" s="900">
        <v>1460</v>
      </c>
      <c r="V69" s="900">
        <v>1456</v>
      </c>
      <c r="W69" s="900">
        <v>1474.8</v>
      </c>
      <c r="X69" s="900">
        <v>1473.5</v>
      </c>
      <c r="Y69" s="900">
        <v>1472.2</v>
      </c>
      <c r="Z69" s="900">
        <v>1487.8</v>
      </c>
      <c r="AA69" s="900">
        <v>1519.9</v>
      </c>
      <c r="AB69" s="900">
        <v>1513.2</v>
      </c>
      <c r="AC69" s="900">
        <v>1510.8</v>
      </c>
      <c r="AD69" s="900">
        <v>1509.5</v>
      </c>
      <c r="AE69" s="900">
        <v>1508.4</v>
      </c>
      <c r="AF69" s="900">
        <v>1507.3</v>
      </c>
      <c r="AG69" s="726">
        <v>1507.1</v>
      </c>
      <c r="AH69" s="726">
        <v>1506.7</v>
      </c>
      <c r="AI69" s="726">
        <v>1506.7</v>
      </c>
      <c r="AJ69" s="726">
        <v>1505.5</v>
      </c>
      <c r="AK69" s="726">
        <v>1504.5</v>
      </c>
      <c r="AL69" s="726">
        <v>1504.7</v>
      </c>
      <c r="AM69" s="726">
        <v>1505</v>
      </c>
      <c r="AN69" s="726">
        <v>1504.1</v>
      </c>
      <c r="AO69" s="726">
        <v>1503.1</v>
      </c>
      <c r="AP69" s="895">
        <v>1502.1</v>
      </c>
      <c r="AQ69" s="895">
        <v>1501.3</v>
      </c>
      <c r="AR69" s="895">
        <v>1501.5</v>
      </c>
      <c r="AS69" s="895">
        <v>1500.5</v>
      </c>
      <c r="AT69" s="895">
        <v>1500.8</v>
      </c>
      <c r="AU69" s="895">
        <v>1501.1</v>
      </c>
      <c r="AV69" s="895">
        <v>1501.5</v>
      </c>
      <c r="AW69" s="895">
        <v>1501.8</v>
      </c>
      <c r="AX69" s="895">
        <v>1502.2</v>
      </c>
      <c r="AY69" s="895">
        <v>1501.5</v>
      </c>
      <c r="AZ69" s="895">
        <v>1500.9</v>
      </c>
      <c r="BA69" s="895">
        <v>1500.2</v>
      </c>
      <c r="BB69" s="895">
        <v>1500.7</v>
      </c>
      <c r="BC69" s="895">
        <v>1501.7</v>
      </c>
      <c r="BD69" s="895">
        <v>1502.7</v>
      </c>
      <c r="BE69" s="895">
        <v>1504</v>
      </c>
      <c r="BF69" s="895">
        <v>1505</v>
      </c>
      <c r="BG69" s="895">
        <v>1506.6</v>
      </c>
      <c r="BH69" s="895">
        <v>1508.1</v>
      </c>
      <c r="BI69" s="895">
        <v>1509.4</v>
      </c>
      <c r="BJ69" s="895">
        <v>1510.6</v>
      </c>
      <c r="BK69" s="895">
        <v>1512</v>
      </c>
      <c r="BL69" s="895">
        <v>1513.2</v>
      </c>
      <c r="BM69" s="895">
        <v>1514.3</v>
      </c>
      <c r="BN69" s="895">
        <v>1515.2</v>
      </c>
      <c r="BO69" s="895">
        <v>1516.2</v>
      </c>
      <c r="BP69" s="895">
        <v>1517</v>
      </c>
      <c r="BQ69">
        <v>1517.9</v>
      </c>
      <c r="BR69">
        <v>1518.8</v>
      </c>
      <c r="BS69">
        <v>1519.7</v>
      </c>
      <c r="BT69">
        <v>1520.8</v>
      </c>
    </row>
    <row r="70" spans="2:72" ht="26.15" customHeight="1" x14ac:dyDescent="0.35">
      <c r="B70" s="911" t="s">
        <v>1919</v>
      </c>
      <c r="C70" s="35" t="s">
        <v>1712</v>
      </c>
      <c r="D70" s="344"/>
      <c r="E70" s="35"/>
      <c r="F70" s="35"/>
      <c r="G70" s="35"/>
      <c r="H70" s="35"/>
      <c r="I70" s="35"/>
      <c r="J70" s="35"/>
      <c r="K70" s="35"/>
      <c r="L70" s="35"/>
      <c r="M70" s="902">
        <v>2247</v>
      </c>
      <c r="N70" s="902">
        <v>2239.1999999999998</v>
      </c>
      <c r="O70" s="902">
        <v>2250.1</v>
      </c>
      <c r="P70" s="902">
        <v>2240.9</v>
      </c>
      <c r="Q70" s="902">
        <v>2235.3000000000002</v>
      </c>
      <c r="R70" s="902">
        <v>2232.9</v>
      </c>
      <c r="S70" s="901">
        <v>2248</v>
      </c>
      <c r="T70" s="901">
        <v>2266.9</v>
      </c>
      <c r="U70" s="901">
        <v>2296.6</v>
      </c>
      <c r="V70" s="901">
        <v>2327.1</v>
      </c>
      <c r="W70" s="901">
        <v>2360.8000000000002</v>
      </c>
      <c r="X70" s="901">
        <v>2395.9</v>
      </c>
      <c r="Y70" s="901">
        <v>2414</v>
      </c>
      <c r="Z70" s="900">
        <v>2427.9</v>
      </c>
      <c r="AA70" s="900">
        <v>2443.9</v>
      </c>
      <c r="AB70" s="900">
        <v>2449.9</v>
      </c>
      <c r="AC70" s="900">
        <v>2454.5</v>
      </c>
      <c r="AD70" s="900">
        <v>2457.1999999999998</v>
      </c>
      <c r="AE70" s="900">
        <v>2460.6</v>
      </c>
      <c r="AF70" s="900">
        <v>2464</v>
      </c>
      <c r="AG70" s="895">
        <v>2467.4</v>
      </c>
      <c r="AH70" s="895">
        <v>2470</v>
      </c>
      <c r="AI70" s="895">
        <v>2473.1</v>
      </c>
      <c r="AJ70" s="895">
        <v>2475.5</v>
      </c>
      <c r="AK70" s="726">
        <v>2477.5</v>
      </c>
      <c r="AL70" s="726">
        <v>2480.1</v>
      </c>
      <c r="AM70" s="726">
        <v>2482.8000000000002</v>
      </c>
      <c r="AN70" s="726">
        <v>2485.3000000000002</v>
      </c>
      <c r="AO70" s="726">
        <v>2487.4</v>
      </c>
      <c r="AP70" s="895">
        <v>2489.6</v>
      </c>
      <c r="AQ70" s="895">
        <v>2491.4</v>
      </c>
      <c r="AR70" s="895">
        <v>2493.1999999999998</v>
      </c>
      <c r="AS70" s="895">
        <v>2494.8000000000002</v>
      </c>
      <c r="AT70" s="895">
        <v>2496.1999999999998</v>
      </c>
      <c r="AU70" s="895">
        <v>2497.8000000000002</v>
      </c>
      <c r="AV70" s="895">
        <v>2499.3000000000002</v>
      </c>
      <c r="AW70" s="895">
        <v>2500.6</v>
      </c>
      <c r="AX70" s="895">
        <v>2501.9</v>
      </c>
      <c r="AY70" s="895">
        <v>2503.3000000000002</v>
      </c>
      <c r="AZ70" s="895">
        <v>2504.6999999999998</v>
      </c>
      <c r="BA70" s="895">
        <v>2506.3000000000002</v>
      </c>
      <c r="BB70" s="895">
        <v>2507.9</v>
      </c>
      <c r="BC70" s="895">
        <v>2509.6</v>
      </c>
      <c r="BD70" s="895">
        <v>2511.1999999999998</v>
      </c>
      <c r="BE70" s="895">
        <v>2512.8000000000002</v>
      </c>
      <c r="BF70" s="895">
        <v>2514.4</v>
      </c>
      <c r="BG70" s="895">
        <v>2515.9</v>
      </c>
      <c r="BH70" s="895">
        <v>2517.5</v>
      </c>
      <c r="BI70" s="895">
        <v>2519</v>
      </c>
      <c r="BJ70" s="895">
        <v>2520.5</v>
      </c>
      <c r="BK70" s="895">
        <v>2521.9</v>
      </c>
      <c r="BL70" s="895">
        <v>2523.3000000000002</v>
      </c>
      <c r="BM70" s="895">
        <v>2524.6999999999998</v>
      </c>
      <c r="BN70" s="895">
        <v>2526</v>
      </c>
      <c r="BO70" s="895">
        <v>2527</v>
      </c>
      <c r="BP70" s="895">
        <v>2527.8000000000002</v>
      </c>
      <c r="BQ70">
        <v>2528.5</v>
      </c>
      <c r="BR70">
        <v>2529.1</v>
      </c>
      <c r="BS70">
        <v>2529.6999999999998</v>
      </c>
      <c r="BT70">
        <v>2530.1999999999998</v>
      </c>
    </row>
    <row r="71" spans="2:72" x14ac:dyDescent="0.35">
      <c r="B71" s="919"/>
      <c r="C71" s="918"/>
      <c r="D71" s="944"/>
      <c r="E71" s="944"/>
      <c r="F71" s="944"/>
      <c r="G71" s="944"/>
      <c r="H71" s="944"/>
      <c r="I71" s="944"/>
      <c r="J71" s="944"/>
      <c r="K71" s="944"/>
      <c r="L71" s="944"/>
      <c r="M71" s="944"/>
      <c r="N71" s="944"/>
      <c r="O71" s="944"/>
      <c r="P71" s="944"/>
      <c r="Q71" s="944"/>
      <c r="R71" s="944"/>
      <c r="S71" s="944"/>
      <c r="T71" s="945"/>
      <c r="U71" s="945"/>
      <c r="V71" s="945"/>
      <c r="W71" s="945"/>
      <c r="X71" s="945"/>
      <c r="Y71" s="945"/>
      <c r="Z71" s="919"/>
      <c r="AA71" s="919"/>
      <c r="AB71" s="919"/>
      <c r="AC71" s="919"/>
      <c r="AD71" s="919"/>
      <c r="AE71" s="919"/>
      <c r="AF71" s="919"/>
      <c r="AG71" s="394"/>
      <c r="AH71" s="394"/>
      <c r="AI71" s="394"/>
      <c r="AJ71" s="394"/>
      <c r="AK71" s="394"/>
      <c r="AL71" s="394"/>
      <c r="AM71" s="394"/>
      <c r="AN71" s="394"/>
      <c r="AO71" s="249"/>
      <c r="AP71" s="56"/>
      <c r="AQ71" s="56"/>
      <c r="AR71" s="56"/>
      <c r="AS71" s="56"/>
      <c r="AT71" s="56"/>
      <c r="AU71" s="56"/>
      <c r="AV71" s="56"/>
    </row>
    <row r="72" spans="2:72" x14ac:dyDescent="0.35">
      <c r="B72" s="77" t="s">
        <v>1702</v>
      </c>
      <c r="C72" s="746"/>
      <c r="D72" s="904"/>
      <c r="E72" s="904"/>
      <c r="F72" s="904"/>
      <c r="G72" s="904"/>
      <c r="H72" s="904"/>
      <c r="I72" s="904"/>
      <c r="J72" s="904"/>
      <c r="K72" s="904"/>
      <c r="L72" s="904"/>
      <c r="M72" s="904"/>
      <c r="N72" s="904"/>
      <c r="O72" s="904"/>
      <c r="P72" s="904"/>
      <c r="Q72" s="904"/>
      <c r="R72" s="904"/>
      <c r="S72" s="916">
        <f t="shared" ref="S72:AE72" si="54">S65/S68</f>
        <v>1.1700921610724198</v>
      </c>
      <c r="T72" s="916">
        <f t="shared" si="54"/>
        <v>1.1816953797963978</v>
      </c>
      <c r="U72" s="916">
        <f t="shared" si="54"/>
        <v>1.1931632087271602</v>
      </c>
      <c r="V72" s="916">
        <f>V65/V68</f>
        <v>1.201768659356208</v>
      </c>
      <c r="W72" s="916">
        <f t="shared" si="54"/>
        <v>1.2097758632810751</v>
      </c>
      <c r="X72" s="916">
        <f t="shared" si="54"/>
        <v>1.2147338005500146</v>
      </c>
      <c r="Y72" s="916">
        <f t="shared" si="54"/>
        <v>1.2250061487428185</v>
      </c>
      <c r="Z72" s="916">
        <f t="shared" si="54"/>
        <v>1.2326880562148892</v>
      </c>
      <c r="AA72" s="916">
        <f t="shared" si="54"/>
        <v>1.2372845576913525</v>
      </c>
      <c r="AB72" s="916">
        <f t="shared" si="54"/>
        <v>1.2447937543552396</v>
      </c>
      <c r="AC72" s="916">
        <f>AC65/AC68</f>
        <v>1.2519082564303945</v>
      </c>
      <c r="AD72" s="916">
        <f t="shared" si="54"/>
        <v>1.2585786405872741</v>
      </c>
      <c r="AE72" s="916">
        <f t="shared" si="54"/>
        <v>1.2654057203904239</v>
      </c>
      <c r="AF72" s="912">
        <f>AF65/AF68</f>
        <v>1.27231230577623</v>
      </c>
      <c r="AG72" s="912">
        <f>AG65/AG68</f>
        <v>1.2790868658623309</v>
      </c>
      <c r="AH72" s="912">
        <f t="shared" ref="AH72:AI72" si="55">AH65/AH68</f>
        <v>1.2855539483713756</v>
      </c>
      <c r="AI72" s="912">
        <f t="shared" si="55"/>
        <v>1.292033226806468</v>
      </c>
      <c r="AJ72" s="912">
        <f>AJ65/AJ68</f>
        <v>1.2985763342395193</v>
      </c>
      <c r="AK72" s="912">
        <f>AK65/AK68</f>
        <v>1.3051101996236651</v>
      </c>
      <c r="AL72" s="912">
        <f>AL65/AL68</f>
        <v>1.3116458212540378</v>
      </c>
      <c r="AM72" s="912">
        <f>AM65/AM68</f>
        <v>1.3181836945304437</v>
      </c>
      <c r="AN72" s="912">
        <f>AN65/AN68</f>
        <v>1.3247463561647055</v>
      </c>
      <c r="AO72" s="913"/>
    </row>
    <row r="73" spans="2:72" x14ac:dyDescent="0.35">
      <c r="B73" s="67" t="s">
        <v>1703</v>
      </c>
      <c r="C73" s="239"/>
      <c r="D73" s="56"/>
      <c r="E73" s="56"/>
      <c r="F73" s="56"/>
      <c r="G73" s="56"/>
      <c r="H73" s="56"/>
      <c r="I73" s="56"/>
      <c r="J73" s="56"/>
      <c r="K73" s="56"/>
      <c r="L73" s="56"/>
      <c r="M73" s="56"/>
      <c r="N73" s="56"/>
      <c r="O73" s="56"/>
      <c r="P73" s="56"/>
      <c r="Q73" s="56"/>
      <c r="R73" s="56"/>
      <c r="S73" s="912">
        <f t="shared" ref="S73:AE73" si="56">S66/S69</f>
        <v>1.1617241135253733</v>
      </c>
      <c r="T73" s="912">
        <f t="shared" si="56"/>
        <v>1.1735937932945415</v>
      </c>
      <c r="U73" s="912">
        <f t="shared" si="56"/>
        <v>1.186027397260274</v>
      </c>
      <c r="V73" s="912">
        <f t="shared" si="56"/>
        <v>1.1962912087912088</v>
      </c>
      <c r="W73" s="912">
        <f t="shared" si="56"/>
        <v>1.2075535665852999</v>
      </c>
      <c r="X73" s="912">
        <f t="shared" si="56"/>
        <v>1.2190023752969121</v>
      </c>
      <c r="Y73" s="912">
        <f t="shared" si="56"/>
        <v>1.229656296698818</v>
      </c>
      <c r="Z73" s="912">
        <f t="shared" si="56"/>
        <v>1.2382040596854416</v>
      </c>
      <c r="AA73" s="912">
        <f t="shared" si="56"/>
        <v>1.245739851306007</v>
      </c>
      <c r="AB73" s="912">
        <f t="shared" si="56"/>
        <v>1.2551546391752577</v>
      </c>
      <c r="AC73" s="912">
        <f>AC66/AC69</f>
        <v>1.2609875562615833</v>
      </c>
      <c r="AD73" s="912">
        <f t="shared" si="56"/>
        <v>1.265783371977476</v>
      </c>
      <c r="AE73" s="912">
        <f t="shared" si="56"/>
        <v>1.2704189870060991</v>
      </c>
      <c r="AF73" s="912">
        <f>AF66/AF69</f>
        <v>1.275194055596099</v>
      </c>
      <c r="AG73" s="912">
        <f>AG66/AG69</f>
        <v>1.2819985402428504</v>
      </c>
      <c r="AH73" s="912">
        <f t="shared" ref="AH73:AJ73" si="57">AH66/AH69</f>
        <v>1.289241388464857</v>
      </c>
      <c r="AI73" s="912">
        <f t="shared" si="57"/>
        <v>1.2966748523262759</v>
      </c>
      <c r="AJ73" s="912">
        <f t="shared" si="57"/>
        <v>1.3043507140484889</v>
      </c>
      <c r="AK73" s="912">
        <f t="shared" ref="AK73:AM73" si="58">AK66/AK69</f>
        <v>1.3115985377201729</v>
      </c>
      <c r="AL73" s="912">
        <f t="shared" si="58"/>
        <v>1.3188010899182561</v>
      </c>
      <c r="AM73" s="912">
        <f t="shared" si="58"/>
        <v>1.3262458471760796</v>
      </c>
      <c r="AN73" s="912">
        <f>AN66/AN69</f>
        <v>1.3338873745096735</v>
      </c>
      <c r="AO73" s="914"/>
    </row>
    <row r="74" spans="2:72" x14ac:dyDescent="0.35">
      <c r="B74" s="344" t="s">
        <v>1704</v>
      </c>
      <c r="C74" s="240"/>
      <c r="D74" s="35"/>
      <c r="E74" s="35"/>
      <c r="F74" s="35"/>
      <c r="G74" s="35"/>
      <c r="H74" s="35"/>
      <c r="I74" s="35"/>
      <c r="J74" s="35"/>
      <c r="K74" s="35"/>
      <c r="L74" s="35"/>
      <c r="M74" s="35"/>
      <c r="N74" s="35"/>
      <c r="O74" s="35"/>
      <c r="P74" s="35"/>
      <c r="Q74" s="35"/>
      <c r="R74" s="35"/>
      <c r="S74" s="915">
        <f t="shared" ref="S74:AF74" si="59">S67/S70</f>
        <v>1.2627669039145906</v>
      </c>
      <c r="T74" s="915">
        <f t="shared" si="59"/>
        <v>1.2663108209449025</v>
      </c>
      <c r="U74" s="915">
        <f t="shared" si="59"/>
        <v>1.2596882347818514</v>
      </c>
      <c r="V74" s="915">
        <f t="shared" si="59"/>
        <v>1.247948089897297</v>
      </c>
      <c r="W74" s="915">
        <f t="shared" si="59"/>
        <v>1.2603778380210098</v>
      </c>
      <c r="X74" s="915">
        <f t="shared" si="59"/>
        <v>1.2600692850285904</v>
      </c>
      <c r="Y74" s="915">
        <f t="shared" si="59"/>
        <v>1.2720381110190555</v>
      </c>
      <c r="Z74" s="915">
        <f t="shared" si="59"/>
        <v>1.2771942831253347</v>
      </c>
      <c r="AA74" s="915">
        <f t="shared" si="59"/>
        <v>1.284504275952371</v>
      </c>
      <c r="AB74" s="915">
        <f t="shared" si="59"/>
        <v>1.2944609984080984</v>
      </c>
      <c r="AC74" s="915">
        <f>AC67/AC70</f>
        <v>1.3042982277449582</v>
      </c>
      <c r="AD74" s="915">
        <f t="shared" si="59"/>
        <v>1.3135275923815726</v>
      </c>
      <c r="AE74" s="915">
        <f t="shared" si="59"/>
        <v>1.3237015362106803</v>
      </c>
      <c r="AF74" s="915">
        <f t="shared" si="59"/>
        <v>1.334293831168831</v>
      </c>
      <c r="AG74" s="915">
        <f t="shared" ref="AG74:AJ74" si="60">AG67/AG70</f>
        <v>1.3452216908486665</v>
      </c>
      <c r="AH74" s="915">
        <f t="shared" si="60"/>
        <v>1.355668016194332</v>
      </c>
      <c r="AI74" s="915">
        <f t="shared" si="60"/>
        <v>1.3660587926084673</v>
      </c>
      <c r="AJ74" s="915">
        <f t="shared" si="60"/>
        <v>1.3765299939406179</v>
      </c>
      <c r="AK74" s="915">
        <f t="shared" ref="AK74:AN74" si="61">AK67/AK70</f>
        <v>1.3869223007063571</v>
      </c>
      <c r="AL74" s="915">
        <f t="shared" si="61"/>
        <v>1.3973226886012662</v>
      </c>
      <c r="AM74" s="915">
        <f t="shared" si="61"/>
        <v>1.4076848719188013</v>
      </c>
      <c r="AN74" s="915">
        <f t="shared" si="61"/>
        <v>1.4180581821108116</v>
      </c>
      <c r="AO74" s="914"/>
    </row>
    <row r="76" spans="2:72" x14ac:dyDescent="0.35">
      <c r="B76" t="s">
        <v>1974</v>
      </c>
    </row>
    <row r="77" spans="2:72" x14ac:dyDescent="0.35">
      <c r="B77" s="77" t="s">
        <v>1702</v>
      </c>
      <c r="T77" s="82">
        <f>(T72/S72)^4-1</f>
        <v>4.0259931464399212E-2</v>
      </c>
      <c r="U77" s="82">
        <f t="shared" ref="U77:AI77" si="62">(U72/T72)^4-1</f>
        <v>3.9386958950965445E-2</v>
      </c>
      <c r="V77" s="82">
        <f t="shared" si="62"/>
        <v>2.9162805684212367E-2</v>
      </c>
      <c r="W77" s="82">
        <f t="shared" si="62"/>
        <v>2.6918945227875746E-2</v>
      </c>
      <c r="X77" s="82">
        <f t="shared" si="62"/>
        <v>1.6493960285627995E-2</v>
      </c>
      <c r="Y77" s="82">
        <f t="shared" si="62"/>
        <v>3.4257335695615954E-2</v>
      </c>
      <c r="Z77" s="82">
        <f t="shared" si="62"/>
        <v>2.5320587670252914E-2</v>
      </c>
      <c r="AA77" s="82">
        <f t="shared" si="62"/>
        <v>1.4999009292827825E-2</v>
      </c>
      <c r="AB77" s="82">
        <f t="shared" si="62"/>
        <v>2.4498276208370307E-2</v>
      </c>
      <c r="AC77" s="82">
        <f t="shared" si="62"/>
        <v>2.3058368307400823E-2</v>
      </c>
      <c r="AD77" s="82">
        <f t="shared" si="62"/>
        <v>2.1483635680919155E-2</v>
      </c>
      <c r="AE77" s="82">
        <f t="shared" si="62"/>
        <v>2.187493201450863E-2</v>
      </c>
      <c r="AF77" s="82">
        <f t="shared" si="62"/>
        <v>2.2011392938697361E-2</v>
      </c>
      <c r="AG77" s="82">
        <f t="shared" si="62"/>
        <v>2.1469131944638509E-2</v>
      </c>
      <c r="AH77" s="82">
        <f t="shared" si="62"/>
        <v>2.037795778240481E-2</v>
      </c>
      <c r="AI77" s="82">
        <f t="shared" si="62"/>
        <v>2.031319568771961E-2</v>
      </c>
      <c r="AJ77" s="82">
        <f>(AJ72/AI72)^4-1</f>
        <v>2.0411174157790368E-2</v>
      </c>
      <c r="AK77" s="82">
        <f t="shared" ref="AK77:AN77" si="63">(AK72/AJ72)^4-1</f>
        <v>2.0278651758323107E-2</v>
      </c>
      <c r="AL77" s="82">
        <f t="shared" si="63"/>
        <v>2.0181831515000193E-2</v>
      </c>
      <c r="AM77" s="82">
        <f t="shared" si="63"/>
        <v>2.008748904793789E-2</v>
      </c>
      <c r="AN77" s="82">
        <f t="shared" si="63"/>
        <v>2.0063466029726529E-2</v>
      </c>
    </row>
    <row r="78" spans="2:72" x14ac:dyDescent="0.35">
      <c r="B78" s="67" t="s">
        <v>1703</v>
      </c>
      <c r="C78" s="31"/>
      <c r="D78" s="946"/>
      <c r="E78" s="946"/>
      <c r="F78" s="946"/>
      <c r="G78" s="946"/>
      <c r="T78" s="82">
        <f t="shared" ref="T78:AI78" si="64">(T73/S73)^4-1</f>
        <v>4.1499822425288269E-2</v>
      </c>
      <c r="U78" s="82">
        <f t="shared" si="64"/>
        <v>4.3056105029513958E-2</v>
      </c>
      <c r="V78" s="82">
        <f t="shared" si="64"/>
        <v>3.5067707597488118E-2</v>
      </c>
      <c r="W78" s="82">
        <f t="shared" si="64"/>
        <v>3.8192709856685436E-2</v>
      </c>
      <c r="X78" s="82">
        <f t="shared" si="64"/>
        <v>3.8466730538867289E-2</v>
      </c>
      <c r="Y78" s="82">
        <f t="shared" si="64"/>
        <v>3.5420465201227769E-2</v>
      </c>
      <c r="Z78" s="82">
        <f t="shared" si="64"/>
        <v>2.8096645923673114E-2</v>
      </c>
      <c r="AA78" s="82">
        <f t="shared" si="64"/>
        <v>2.4567408257700318E-2</v>
      </c>
      <c r="AB78" s="82">
        <f t="shared" si="64"/>
        <v>3.0574782511549436E-2</v>
      </c>
      <c r="AC78" s="82">
        <f t="shared" si="64"/>
        <v>1.8718659374028279E-2</v>
      </c>
      <c r="AD78" s="82">
        <f>(AD73/AC73)^4-1</f>
        <v>1.5299895562953081E-2</v>
      </c>
      <c r="AE78" s="82">
        <f t="shared" si="64"/>
        <v>1.4729668703095777E-2</v>
      </c>
      <c r="AF78" s="82">
        <f t="shared" si="64"/>
        <v>1.5119603614899724E-2</v>
      </c>
      <c r="AG78" s="82">
        <f t="shared" si="64"/>
        <v>2.1515602617293128E-2</v>
      </c>
      <c r="AH78" s="82">
        <f t="shared" si="64"/>
        <v>2.2790850007197161E-2</v>
      </c>
      <c r="AI78" s="82">
        <f t="shared" si="64"/>
        <v>2.3263295207157642E-2</v>
      </c>
      <c r="AJ78" s="82">
        <f t="shared" ref="AJ78:AN78" si="65">(AJ73/AI73)^4-1</f>
        <v>2.3889685874715294E-2</v>
      </c>
      <c r="AK78" s="82">
        <f t="shared" si="65"/>
        <v>2.2412555601408091E-2</v>
      </c>
      <c r="AL78" s="82">
        <f t="shared" si="65"/>
        <v>2.2147320108405477E-2</v>
      </c>
      <c r="AM78" s="82">
        <f t="shared" si="65"/>
        <v>2.2772302614111117E-2</v>
      </c>
      <c r="AN78" s="82">
        <f t="shared" si="65"/>
        <v>2.3247045836330082E-2</v>
      </c>
    </row>
    <row r="79" spans="2:72" x14ac:dyDescent="0.35">
      <c r="B79" s="344" t="s">
        <v>1704</v>
      </c>
      <c r="T79" s="82">
        <f t="shared" ref="T79:AI79" si="66">(T74/S74)^4-1</f>
        <v>1.1273224837508922E-2</v>
      </c>
      <c r="U79" s="82">
        <f t="shared" si="66"/>
        <v>-2.0755771759674468E-2</v>
      </c>
      <c r="V79" s="82">
        <f t="shared" si="66"/>
        <v>-3.6761594826687838E-2</v>
      </c>
      <c r="W79" s="82">
        <f t="shared" si="66"/>
        <v>4.0439782991124273E-2</v>
      </c>
      <c r="X79" s="82">
        <f t="shared" si="66"/>
        <v>-9.7888013056945944E-4</v>
      </c>
      <c r="Y79" s="82">
        <f t="shared" si="66"/>
        <v>3.8538954072275589E-2</v>
      </c>
      <c r="Z79" s="82">
        <f t="shared" si="66"/>
        <v>1.6312742433889582E-2</v>
      </c>
      <c r="AA79" s="82">
        <f t="shared" si="66"/>
        <v>2.3091210473439983E-2</v>
      </c>
      <c r="AB79" s="82">
        <f t="shared" si="66"/>
        <v>3.1368022796318673E-2</v>
      </c>
      <c r="AC79" s="82">
        <f t="shared" si="66"/>
        <v>3.0746187880333675E-2</v>
      </c>
      <c r="AD79" s="82">
        <f t="shared" si="66"/>
        <v>2.8606309371189242E-2</v>
      </c>
      <c r="AE79" s="82">
        <f t="shared" si="66"/>
        <v>3.1343868352262882E-2</v>
      </c>
      <c r="AF79" s="82">
        <f t="shared" si="66"/>
        <v>3.2394354805230341E-2</v>
      </c>
      <c r="AG79" s="82">
        <f t="shared" si="66"/>
        <v>3.3164637629816696E-2</v>
      </c>
      <c r="AH79" s="82">
        <f t="shared" si="66"/>
        <v>3.1425713898589613E-2</v>
      </c>
      <c r="AI79" s="82">
        <f t="shared" si="66"/>
        <v>3.1013053419121528E-2</v>
      </c>
      <c r="AJ79" s="82">
        <f t="shared" ref="AJ79:AN79" si="67">(AJ74/AI74)^4-1</f>
        <v>3.1015398756455648E-2</v>
      </c>
      <c r="AK79" s="82">
        <f t="shared" si="67"/>
        <v>3.0542269425562596E-2</v>
      </c>
      <c r="AL79" s="82">
        <f t="shared" si="67"/>
        <v>3.0334679878840642E-2</v>
      </c>
      <c r="AM79" s="82">
        <f t="shared" si="67"/>
        <v>2.9994558057691467E-2</v>
      </c>
      <c r="AN79" s="82">
        <f t="shared" si="67"/>
        <v>2.9803649988641601E-2</v>
      </c>
    </row>
    <row r="82" spans="3:13" x14ac:dyDescent="0.35">
      <c r="C82" s="14"/>
      <c r="D82" s="82"/>
      <c r="E82" s="82"/>
      <c r="F82" s="82"/>
      <c r="G82" s="82"/>
      <c r="H82" s="82"/>
      <c r="I82" s="82"/>
      <c r="J82" s="82"/>
      <c r="K82" s="82"/>
      <c r="L82" s="82"/>
      <c r="M82" s="82"/>
    </row>
    <row r="83" spans="3:13" x14ac:dyDescent="0.35">
      <c r="C83" s="31"/>
      <c r="D83" s="949"/>
      <c r="E83" s="949"/>
      <c r="F83" s="949"/>
      <c r="G83" s="949"/>
      <c r="H83" s="949"/>
      <c r="I83" s="949"/>
      <c r="J83" s="949"/>
      <c r="K83" s="949"/>
      <c r="L83" s="949"/>
      <c r="M83" s="949"/>
    </row>
    <row r="84" spans="3:13" x14ac:dyDescent="0.35">
      <c r="C84" s="946"/>
      <c r="D84" s="949"/>
      <c r="E84" s="949"/>
      <c r="F84" s="949"/>
      <c r="G84" s="949"/>
      <c r="H84" s="949"/>
      <c r="I84" s="949"/>
      <c r="J84" s="949"/>
      <c r="K84" s="949"/>
      <c r="L84" s="949"/>
      <c r="M84" s="949"/>
    </row>
    <row r="85" spans="3:13" x14ac:dyDescent="0.35">
      <c r="C85" s="946"/>
      <c r="D85" s="949"/>
      <c r="E85" s="949"/>
      <c r="F85" s="949"/>
      <c r="G85" s="949"/>
      <c r="H85" s="949"/>
      <c r="I85" s="949"/>
      <c r="J85" s="949"/>
      <c r="K85" s="949"/>
      <c r="L85" s="949"/>
      <c r="M85" s="949"/>
    </row>
    <row r="86" spans="3:13" x14ac:dyDescent="0.35">
      <c r="C86" s="946"/>
      <c r="D86" s="949"/>
      <c r="E86" s="949"/>
      <c r="F86" s="949"/>
      <c r="G86" s="949"/>
      <c r="H86" s="949"/>
      <c r="I86" s="949"/>
      <c r="J86" s="949"/>
      <c r="K86" s="949"/>
      <c r="L86" s="949"/>
      <c r="M86" s="949"/>
    </row>
    <row r="87" spans="3:13" x14ac:dyDescent="0.35">
      <c r="C87" s="946"/>
      <c r="D87" s="949"/>
      <c r="E87" s="949"/>
      <c r="F87" s="949"/>
      <c r="G87" s="949"/>
      <c r="H87" s="949"/>
      <c r="I87" s="949"/>
      <c r="J87" s="949"/>
      <c r="K87" s="949"/>
      <c r="L87" s="949"/>
      <c r="M87" s="949"/>
    </row>
  </sheetData>
  <mergeCells count="34">
    <mergeCell ref="D42:AB42"/>
    <mergeCell ref="AC42:AN42"/>
    <mergeCell ref="I9:L9"/>
    <mergeCell ref="M9:P9"/>
    <mergeCell ref="AG9:AJ9"/>
    <mergeCell ref="E9:H9"/>
    <mergeCell ref="Q9:R9"/>
    <mergeCell ref="AK63:AN63"/>
    <mergeCell ref="AK43:AN43"/>
    <mergeCell ref="U63:X63"/>
    <mergeCell ref="E63:H63"/>
    <mergeCell ref="AG63:AJ63"/>
    <mergeCell ref="AG43:AJ43"/>
    <mergeCell ref="AC63:AF63"/>
    <mergeCell ref="B62:E62"/>
    <mergeCell ref="Q63:R63"/>
    <mergeCell ref="M63:P63"/>
    <mergeCell ref="I63:L63"/>
    <mergeCell ref="B1:AC1"/>
    <mergeCell ref="B2:AC4"/>
    <mergeCell ref="B42:C44"/>
    <mergeCell ref="E43:H43"/>
    <mergeCell ref="I43:L43"/>
    <mergeCell ref="M43:P43"/>
    <mergeCell ref="B8:C10"/>
    <mergeCell ref="AC9:AF9"/>
    <mergeCell ref="Q43:T43"/>
    <mergeCell ref="B7:F7"/>
    <mergeCell ref="AC43:AF43"/>
    <mergeCell ref="AB8:AN8"/>
    <mergeCell ref="AK9:AN9"/>
    <mergeCell ref="B22:AN22"/>
    <mergeCell ref="B11:AN11"/>
    <mergeCell ref="D8:V8"/>
  </mergeCells>
  <pageMargins left="0.7" right="0.7" top="0.75" bottom="0.75" header="0.3" footer="0.3"/>
  <pageSetup paperSize="9" orientation="portrait" horizontalDpi="300" verticalDpi="300"/>
  <drawing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5" tint="0.59999389629810485"/>
  </sheetPr>
  <dimension ref="A1:CW139"/>
  <sheetViews>
    <sheetView zoomScale="85" zoomScaleNormal="85" workbookViewId="0">
      <pane xSplit="2" ySplit="11" topLeftCell="W12" activePane="bottomRight" state="frozen"/>
      <selection pane="topRight" activeCell="C1" sqref="C1"/>
      <selection pane="bottomLeft" activeCell="A12" sqref="A12"/>
      <selection pane="bottomRight" activeCell="Q21" sqref="Q21"/>
    </sheetView>
  </sheetViews>
  <sheetFormatPr defaultColWidth="10.90625" defaultRowHeight="14.5" outlineLevelRow="1" x14ac:dyDescent="0.35"/>
  <cols>
    <col min="2" max="2" width="71.1796875" customWidth="1"/>
    <col min="4" max="6" width="12.1796875" customWidth="1"/>
    <col min="7" max="7" width="10.453125" customWidth="1"/>
    <col min="8" max="8" width="12.1796875" customWidth="1"/>
    <col min="9" max="9" width="12" customWidth="1"/>
    <col min="10" max="29" width="13.26953125" customWidth="1"/>
  </cols>
  <sheetData>
    <row r="1" spans="1:29" ht="18" customHeight="1" x14ac:dyDescent="0.35">
      <c r="B1" s="1409" t="s">
        <v>463</v>
      </c>
      <c r="C1" s="1409"/>
      <c r="D1" s="1409"/>
      <c r="E1" s="1409"/>
      <c r="F1" s="1409"/>
      <c r="G1" s="1409"/>
      <c r="H1" s="1409"/>
      <c r="I1" s="1409"/>
      <c r="J1" s="1409"/>
      <c r="K1" s="1409"/>
      <c r="L1" s="1409"/>
      <c r="M1" s="1409"/>
      <c r="N1" s="1409"/>
      <c r="O1" s="1409"/>
      <c r="P1" s="1409"/>
      <c r="Q1" s="1409"/>
      <c r="R1" s="1409"/>
      <c r="S1" s="1409"/>
      <c r="T1" s="1409"/>
      <c r="U1" s="1409"/>
      <c r="V1" s="1409"/>
      <c r="W1" s="1409"/>
      <c r="X1" s="1409"/>
      <c r="Y1" s="1409"/>
      <c r="Z1" s="1409"/>
      <c r="AA1" s="1409"/>
      <c r="AB1" s="1409"/>
      <c r="AC1" s="1409"/>
    </row>
    <row r="2" spans="1:29" ht="34.5" hidden="1" customHeight="1" outlineLevel="1" x14ac:dyDescent="0.35">
      <c r="B2" s="1319" t="s">
        <v>858</v>
      </c>
      <c r="C2" s="1360"/>
      <c r="D2" s="1360"/>
      <c r="E2" s="1360"/>
      <c r="F2" s="1360"/>
      <c r="G2" s="1360"/>
      <c r="H2" s="1360"/>
      <c r="I2" s="1360"/>
      <c r="J2" s="1360"/>
      <c r="K2" s="1360"/>
      <c r="L2" s="1360"/>
      <c r="M2" s="1360"/>
      <c r="N2" s="1360"/>
      <c r="O2" s="1360"/>
      <c r="P2" s="1360"/>
      <c r="Q2" s="1360"/>
      <c r="R2" s="1360"/>
      <c r="S2" s="1360"/>
      <c r="T2" s="1360"/>
      <c r="U2" s="1360"/>
      <c r="V2" s="1360"/>
      <c r="W2" s="1360"/>
      <c r="X2" s="1360"/>
      <c r="Y2" s="1360"/>
      <c r="Z2" s="1360"/>
      <c r="AA2" s="1360"/>
      <c r="AB2" s="1360"/>
      <c r="AC2" s="1360"/>
    </row>
    <row r="3" spans="1:29" ht="3" hidden="1" customHeight="1" outlineLevel="1" x14ac:dyDescent="0.35">
      <c r="B3" s="1360"/>
      <c r="C3" s="1360"/>
      <c r="D3" s="1360"/>
      <c r="E3" s="1360"/>
      <c r="F3" s="1360"/>
      <c r="G3" s="1360"/>
      <c r="H3" s="1360"/>
      <c r="I3" s="1360"/>
      <c r="J3" s="1360"/>
      <c r="K3" s="1360"/>
      <c r="L3" s="1360"/>
      <c r="M3" s="1360"/>
      <c r="N3" s="1360"/>
      <c r="O3" s="1360"/>
      <c r="P3" s="1360"/>
      <c r="Q3" s="1360"/>
      <c r="R3" s="1360"/>
      <c r="S3" s="1360"/>
      <c r="T3" s="1360"/>
      <c r="U3" s="1360"/>
      <c r="V3" s="1360"/>
      <c r="W3" s="1360"/>
      <c r="X3" s="1360"/>
      <c r="Y3" s="1360"/>
      <c r="Z3" s="1360"/>
      <c r="AA3" s="1360"/>
      <c r="AB3" s="1360"/>
      <c r="AC3" s="1360"/>
    </row>
    <row r="4" spans="1:29" ht="10.4" hidden="1" customHeight="1" outlineLevel="1" x14ac:dyDescent="0.35">
      <c r="B4" s="1360"/>
      <c r="C4" s="1360"/>
      <c r="D4" s="1360"/>
      <c r="E4" s="1360"/>
      <c r="F4" s="1360"/>
      <c r="G4" s="1360"/>
      <c r="H4" s="1360"/>
      <c r="I4" s="1360"/>
      <c r="J4" s="1360"/>
      <c r="K4" s="1360"/>
      <c r="L4" s="1360"/>
      <c r="M4" s="1360"/>
      <c r="N4" s="1360"/>
      <c r="O4" s="1360"/>
      <c r="P4" s="1360"/>
      <c r="Q4" s="1360"/>
      <c r="R4" s="1360"/>
      <c r="S4" s="1360"/>
      <c r="T4" s="1360"/>
      <c r="U4" s="1360"/>
      <c r="V4" s="1360"/>
      <c r="W4" s="1360"/>
      <c r="X4" s="1360"/>
      <c r="Y4" s="1360"/>
      <c r="Z4" s="1360"/>
      <c r="AA4" s="1360"/>
      <c r="AB4" s="1360"/>
      <c r="AC4" s="1360"/>
    </row>
    <row r="5" spans="1:29" ht="14.25" hidden="1" customHeight="1" outlineLevel="1" x14ac:dyDescent="0.35">
      <c r="B5" s="1360"/>
      <c r="C5" s="1360"/>
      <c r="D5" s="1360"/>
      <c r="E5" s="1360"/>
      <c r="F5" s="1360"/>
      <c r="G5" s="1360"/>
      <c r="H5" s="1360"/>
      <c r="I5" s="1360"/>
      <c r="J5" s="1360"/>
      <c r="K5" s="1360"/>
      <c r="L5" s="1360"/>
      <c r="M5" s="1360"/>
      <c r="N5" s="1360"/>
      <c r="O5" s="1360"/>
      <c r="P5" s="1360"/>
      <c r="Q5" s="1360"/>
      <c r="R5" s="1360"/>
      <c r="S5" s="1360"/>
      <c r="T5" s="1360"/>
      <c r="U5" s="1360"/>
      <c r="V5" s="1360"/>
      <c r="W5" s="1360"/>
      <c r="X5" s="1360"/>
      <c r="Y5" s="1360"/>
      <c r="Z5" s="1360"/>
      <c r="AA5" s="1360"/>
      <c r="AB5" s="1360"/>
      <c r="AC5" s="1360"/>
    </row>
    <row r="6" spans="1:29" ht="14.25" hidden="1" customHeight="1" outlineLevel="1" x14ac:dyDescent="0.35">
      <c r="B6" s="1360"/>
      <c r="C6" s="1360"/>
      <c r="D6" s="1360"/>
      <c r="E6" s="1360"/>
      <c r="F6" s="1360"/>
      <c r="G6" s="1360"/>
      <c r="H6" s="1360"/>
      <c r="I6" s="1360"/>
      <c r="J6" s="1360"/>
      <c r="K6" s="1360"/>
      <c r="L6" s="1360"/>
      <c r="M6" s="1360"/>
      <c r="N6" s="1360"/>
      <c r="O6" s="1360"/>
      <c r="P6" s="1360"/>
      <c r="Q6" s="1360"/>
      <c r="R6" s="1360"/>
      <c r="S6" s="1360"/>
      <c r="T6" s="1360"/>
      <c r="U6" s="1360"/>
      <c r="V6" s="1360"/>
      <c r="W6" s="1360"/>
      <c r="X6" s="1360"/>
      <c r="Y6" s="1360"/>
      <c r="Z6" s="1360"/>
      <c r="AA6" s="1360"/>
      <c r="AB6" s="1360"/>
      <c r="AC6" s="1360"/>
    </row>
    <row r="7" spans="1:29" collapsed="1" x14ac:dyDescent="0.35">
      <c r="B7" s="723" t="s">
        <v>332</v>
      </c>
      <c r="C7" s="269"/>
      <c r="D7" s="269"/>
      <c r="E7" s="269"/>
      <c r="F7" s="269"/>
      <c r="G7" s="269"/>
      <c r="H7" s="270"/>
      <c r="I7" s="270"/>
      <c r="J7" s="270"/>
      <c r="K7" s="270"/>
      <c r="L7" s="270"/>
      <c r="M7" s="270"/>
      <c r="N7" s="270"/>
      <c r="O7" s="270"/>
      <c r="P7" s="270"/>
      <c r="Q7" s="270"/>
      <c r="R7" s="270"/>
      <c r="S7" s="270"/>
      <c r="T7" s="270"/>
      <c r="U7" s="270"/>
    </row>
    <row r="8" spans="1:29" ht="14.9" customHeight="1" x14ac:dyDescent="0.35">
      <c r="B8" s="695" t="s">
        <v>303</v>
      </c>
      <c r="C8" s="696"/>
      <c r="D8" s="969" t="s">
        <v>279</v>
      </c>
      <c r="E8" s="970"/>
      <c r="F8" s="970"/>
      <c r="G8" s="970"/>
      <c r="H8" s="970"/>
      <c r="I8" s="970"/>
      <c r="J8" s="970"/>
      <c r="K8" s="970"/>
      <c r="L8" s="970"/>
      <c r="M8" s="970"/>
      <c r="N8" s="970"/>
      <c r="O8" s="970"/>
      <c r="P8" s="1369"/>
      <c r="Q8" s="1369"/>
      <c r="R8" s="1369"/>
      <c r="S8" s="1369"/>
      <c r="T8" s="1369"/>
      <c r="U8" s="1369"/>
      <c r="V8" s="1328"/>
      <c r="W8" s="1350" t="s">
        <v>280</v>
      </c>
      <c r="X8" s="1331"/>
      <c r="Y8" s="1331"/>
      <c r="Z8" s="1331"/>
      <c r="AA8" s="1331"/>
      <c r="AB8" s="1331"/>
      <c r="AC8" s="1332"/>
    </row>
    <row r="9" spans="1:29" ht="14.9" customHeight="1" x14ac:dyDescent="0.35">
      <c r="B9" s="697"/>
      <c r="C9" s="698"/>
      <c r="D9" s="296">
        <v>2018</v>
      </c>
      <c r="E9" s="1342">
        <v>2019</v>
      </c>
      <c r="F9" s="1343"/>
      <c r="G9" s="1343"/>
      <c r="H9" s="1344"/>
      <c r="I9" s="1342">
        <v>2020</v>
      </c>
      <c r="J9" s="1343"/>
      <c r="K9" s="1343"/>
      <c r="L9" s="1343"/>
      <c r="M9" s="1342">
        <v>2021</v>
      </c>
      <c r="N9" s="1343"/>
      <c r="O9" s="1343"/>
      <c r="P9" s="1343"/>
      <c r="Q9" s="1342">
        <v>2022</v>
      </c>
      <c r="R9" s="1354"/>
      <c r="S9" s="1354"/>
      <c r="T9" s="1344"/>
      <c r="U9" s="302"/>
      <c r="V9" s="302">
        <v>2023</v>
      </c>
      <c r="W9" s="638"/>
      <c r="X9" s="335"/>
      <c r="Y9" s="1329">
        <v>2024</v>
      </c>
      <c r="Z9" s="1335"/>
      <c r="AA9" s="1335"/>
      <c r="AB9" s="1334"/>
      <c r="AC9" s="304">
        <v>2025</v>
      </c>
    </row>
    <row r="10" spans="1:29" x14ac:dyDescent="0.35">
      <c r="B10" s="697"/>
      <c r="C10" s="698"/>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32" t="s">
        <v>281</v>
      </c>
      <c r="U10" s="226" t="s">
        <v>282</v>
      </c>
      <c r="V10" s="287" t="s">
        <v>283</v>
      </c>
      <c r="W10" s="273" t="s">
        <v>238</v>
      </c>
      <c r="X10" s="301" t="s">
        <v>281</v>
      </c>
      <c r="Y10" s="299" t="s">
        <v>282</v>
      </c>
      <c r="Z10" s="271" t="s">
        <v>283</v>
      </c>
      <c r="AA10" s="273" t="s">
        <v>238</v>
      </c>
      <c r="AB10" s="273" t="s">
        <v>281</v>
      </c>
      <c r="AC10" s="305" t="s">
        <v>282</v>
      </c>
    </row>
    <row r="11" spans="1:29" ht="15" customHeight="1" x14ac:dyDescent="0.35">
      <c r="B11" s="1410" t="s">
        <v>464</v>
      </c>
      <c r="C11" s="1411"/>
      <c r="D11" s="666"/>
      <c r="E11" s="720"/>
      <c r="F11" s="720"/>
      <c r="G11" s="720"/>
      <c r="H11" s="320"/>
      <c r="I11" s="320"/>
      <c r="J11" s="320"/>
      <c r="K11" s="320"/>
      <c r="L11" s="320"/>
      <c r="M11" s="582"/>
      <c r="N11" s="582"/>
      <c r="O11" s="582"/>
      <c r="P11" s="320"/>
      <c r="Q11" s="320"/>
      <c r="R11" s="320"/>
      <c r="S11" s="320"/>
      <c r="T11" s="288"/>
      <c r="U11" s="320"/>
      <c r="V11" s="320"/>
      <c r="W11" s="227"/>
      <c r="X11" s="227"/>
      <c r="Y11" s="227"/>
      <c r="Z11" s="227"/>
      <c r="AA11" s="227"/>
      <c r="AB11" s="227"/>
      <c r="AC11" s="228"/>
    </row>
    <row r="12" spans="1:29" ht="17.149999999999999" customHeight="1" x14ac:dyDescent="0.35">
      <c r="A12" t="s">
        <v>1845</v>
      </c>
      <c r="B12" s="979" t="s">
        <v>465</v>
      </c>
      <c r="C12" s="249" t="s">
        <v>466</v>
      </c>
      <c r="D12" s="599">
        <f>'Haver Pivoted'!GO31</f>
        <v>2223</v>
      </c>
      <c r="E12" s="509">
        <f>'Haver Pivoted'!GP31</f>
        <v>2303.8000000000002</v>
      </c>
      <c r="F12" s="509">
        <f>'Haver Pivoted'!GQ31</f>
        <v>2321.6999999999998</v>
      </c>
      <c r="G12" s="509">
        <f>'Haver Pivoted'!GR31</f>
        <v>2337.1</v>
      </c>
      <c r="H12" s="509">
        <f>'Haver Pivoted'!GS31</f>
        <v>2349.5</v>
      </c>
      <c r="I12" s="509">
        <f>'Haver Pivoted'!GT31</f>
        <v>2414.4</v>
      </c>
      <c r="J12" s="509">
        <f>'Haver Pivoted'!GU31</f>
        <v>4654.1000000000004</v>
      </c>
      <c r="K12" s="509">
        <f>'Haver Pivoted'!GV31</f>
        <v>3504.7</v>
      </c>
      <c r="L12" s="509">
        <f>'Haver Pivoted'!GW31</f>
        <v>2888.4</v>
      </c>
      <c r="M12" s="509">
        <f>'Haver Pivoted'!GX31</f>
        <v>5138.1000000000004</v>
      </c>
      <c r="N12" s="509">
        <f>'Haver Pivoted'!GY31</f>
        <v>3397.8</v>
      </c>
      <c r="O12" s="509">
        <f>'Haver Pivoted'!GZ31</f>
        <v>3124.9</v>
      </c>
      <c r="P12" s="509">
        <f>'Haver Pivoted'!HA31</f>
        <v>2952.6</v>
      </c>
      <c r="Q12" s="509">
        <f>'Haver Pivoted'!HB31</f>
        <v>2970.9</v>
      </c>
      <c r="R12" s="509">
        <f>'Haver Pivoted'!HC31</f>
        <v>2976.2</v>
      </c>
      <c r="S12" s="575">
        <f>'Haver Pivoted'!HD31</f>
        <v>2970.4</v>
      </c>
      <c r="T12" s="575">
        <f>'Haver Pivoted'!HE31</f>
        <v>3024.4</v>
      </c>
      <c r="U12" s="575">
        <f>'Haver Pivoted'!HF31</f>
        <v>3038.4</v>
      </c>
      <c r="V12" s="575">
        <f>'Haver Pivoted'!HG31</f>
        <v>3049.1</v>
      </c>
      <c r="W12" s="673">
        <f t="shared" ref="W12:AC12" si="0">SUM(W14:W39)-W38</f>
        <v>3234.0849999999996</v>
      </c>
      <c r="X12" s="673">
        <f t="shared" si="0"/>
        <v>3252.9990000000003</v>
      </c>
      <c r="Y12" s="673">
        <f t="shared" si="0"/>
        <v>3315.8425447000004</v>
      </c>
      <c r="Z12" s="673">
        <f t="shared" si="0"/>
        <v>3340.4425447000008</v>
      </c>
      <c r="AA12" s="673">
        <f t="shared" si="0"/>
        <v>3371.0425447000007</v>
      </c>
      <c r="AB12" s="673">
        <f t="shared" si="0"/>
        <v>3405.1965447000002</v>
      </c>
      <c r="AC12" s="971">
        <f t="shared" si="0"/>
        <v>3473.0437550960005</v>
      </c>
    </row>
    <row r="13" spans="1:29" ht="15.65" customHeight="1" x14ac:dyDescent="0.35">
      <c r="A13" t="s">
        <v>1845</v>
      </c>
      <c r="B13" s="978" t="s">
        <v>796</v>
      </c>
      <c r="C13" s="249" t="s">
        <v>823</v>
      </c>
      <c r="D13" s="275">
        <v>30</v>
      </c>
      <c r="E13" s="245">
        <v>30</v>
      </c>
      <c r="F13" s="245">
        <v>30</v>
      </c>
      <c r="G13" s="245">
        <v>30</v>
      </c>
      <c r="H13" s="245">
        <v>30</v>
      </c>
      <c r="I13" s="245">
        <v>30</v>
      </c>
      <c r="J13" s="245">
        <v>30</v>
      </c>
      <c r="K13" s="241">
        <v>30.2</v>
      </c>
      <c r="L13" s="241">
        <v>30.2</v>
      </c>
      <c r="M13" s="241">
        <f>'Haver Pivoted'!GX89</f>
        <v>34.4</v>
      </c>
      <c r="N13" s="241">
        <f>'Haver Pivoted'!GY89</f>
        <v>34.4</v>
      </c>
      <c r="O13" s="241">
        <f>'Haver Pivoted'!GZ89</f>
        <v>218.933333333333</v>
      </c>
      <c r="P13" s="241">
        <f>'Haver Pivoted'!HA89</f>
        <v>223.13333333333301</v>
      </c>
      <c r="Q13" s="241">
        <f>'Haver Pivoted'!HB89</f>
        <v>94.3</v>
      </c>
      <c r="R13" s="241">
        <f>'Haver Pivoted'!HC89</f>
        <v>94.3</v>
      </c>
      <c r="S13" s="241">
        <f>'Haver Pivoted'!HD89</f>
        <v>94.3</v>
      </c>
      <c r="T13" s="241">
        <f>'Haver Pivoted'!HE89</f>
        <v>94.3</v>
      </c>
      <c r="U13" s="673">
        <v>34</v>
      </c>
      <c r="V13" s="509">
        <v>34</v>
      </c>
      <c r="W13" s="673">
        <v>34</v>
      </c>
      <c r="X13" s="673">
        <v>34</v>
      </c>
      <c r="Y13" s="673">
        <v>34</v>
      </c>
      <c r="Z13" s="673">
        <v>34</v>
      </c>
      <c r="AA13" s="673">
        <v>34</v>
      </c>
      <c r="AB13" s="673">
        <v>34</v>
      </c>
      <c r="AC13" s="971">
        <v>34</v>
      </c>
    </row>
    <row r="14" spans="1:29" ht="15" customHeight="1" x14ac:dyDescent="0.35">
      <c r="A14" t="s">
        <v>1842</v>
      </c>
      <c r="B14" s="681" t="s">
        <v>1834</v>
      </c>
      <c r="C14" s="249"/>
      <c r="D14" s="599">
        <f>'Unemployment Insurance'!D21+'Unemployment Insurance'!D20</f>
        <v>27.1</v>
      </c>
      <c r="E14" s="509">
        <f>'Unemployment Insurance'!E21+'Unemployment Insurance'!E20</f>
        <v>29.6</v>
      </c>
      <c r="F14" s="509">
        <f>'Unemployment Insurance'!F21+'Unemployment Insurance'!F20</f>
        <v>27.3</v>
      </c>
      <c r="G14" s="509">
        <f>'Unemployment Insurance'!G21+'Unemployment Insurance'!G20</f>
        <v>26.4</v>
      </c>
      <c r="H14" s="509">
        <f>'Unemployment Insurance'!H21+'Unemployment Insurance'!H20</f>
        <v>26.7</v>
      </c>
      <c r="I14" s="509">
        <f>'Unemployment Insurance'!I21+'Unemployment Insurance'!I20</f>
        <v>40.1</v>
      </c>
      <c r="J14" s="509">
        <f>'Unemployment Insurance'!J21+'Unemployment Insurance'!J20</f>
        <v>951.5</v>
      </c>
      <c r="K14" s="509">
        <f>'Unemployment Insurance'!K21+'Unemployment Insurance'!K20</f>
        <v>800</v>
      </c>
      <c r="L14" s="509">
        <f>'Unemployment Insurance'!L21+'Unemployment Insurance'!L20</f>
        <v>322.7</v>
      </c>
      <c r="M14" s="509">
        <f>'Unemployment Insurance'!M21+'Unemployment Insurance'!M20</f>
        <v>583.79999999999995</v>
      </c>
      <c r="N14" s="509">
        <f>'Unemployment Insurance'!N21+'Unemployment Insurance'!N20</f>
        <v>440.8</v>
      </c>
      <c r="O14" s="509">
        <f>'Unemployment Insurance'!O21+'Unemployment Insurance'!O20</f>
        <v>212.8</v>
      </c>
      <c r="P14" s="509">
        <f>'Unemployment Insurance'!P21+'Unemployment Insurance'!P20</f>
        <v>31.8</v>
      </c>
      <c r="Q14" s="509">
        <f>'Unemployment Insurance'!Q21+'Unemployment Insurance'!Q20</f>
        <v>24.5</v>
      </c>
      <c r="R14" s="509">
        <f>'Unemployment Insurance'!R21+'Unemployment Insurance'!R20</f>
        <v>21.7</v>
      </c>
      <c r="S14" s="509">
        <f>'Unemployment Insurance'!S21+'Unemployment Insurance'!S20</f>
        <v>23.1</v>
      </c>
      <c r="T14" s="509">
        <f>'Unemployment Insurance'!T21+'Unemployment Insurance'!T20</f>
        <v>25.9</v>
      </c>
      <c r="U14" s="509">
        <f>'Unemployment Insurance'!U21+'Unemployment Insurance'!U20</f>
        <v>30.1</v>
      </c>
      <c r="V14" s="975">
        <f>V15+V16</f>
        <v>30.960000000000004</v>
      </c>
      <c r="W14" s="673">
        <f>'Unemployment Insurance'!W21+'Unemployment Insurance'!W20</f>
        <v>30.960000000000004</v>
      </c>
      <c r="X14" s="673">
        <f>'Unemployment Insurance'!X21+'Unemployment Insurance'!X20</f>
        <v>35.299999999999997</v>
      </c>
      <c r="Y14" s="673">
        <f>'Unemployment Insurance'!Y21+'Unemployment Insurance'!Y20</f>
        <v>34.9</v>
      </c>
      <c r="Z14" s="673">
        <f>'Unemployment Insurance'!Z21+'Unemployment Insurance'!Z20</f>
        <v>34.9</v>
      </c>
      <c r="AA14" s="673">
        <f>'Unemployment Insurance'!AA21+'Unemployment Insurance'!AA20</f>
        <v>35.700000000000003</v>
      </c>
      <c r="AB14" s="673">
        <f>'Unemployment Insurance'!AB21+'Unemployment Insurance'!AB20</f>
        <v>36.1</v>
      </c>
      <c r="AC14" s="971">
        <f>'Unemployment Insurance'!AC21+'Unemployment Insurance'!AC20</f>
        <v>35.799999999999997</v>
      </c>
    </row>
    <row r="15" spans="1:29" x14ac:dyDescent="0.35">
      <c r="B15" s="424" t="s">
        <v>203</v>
      </c>
      <c r="C15" s="249"/>
      <c r="D15" s="599"/>
      <c r="E15" s="509"/>
      <c r="F15" s="509"/>
      <c r="G15" s="509"/>
      <c r="H15" s="509"/>
      <c r="I15" s="509"/>
      <c r="J15" s="509"/>
      <c r="K15" s="509"/>
      <c r="L15" s="509"/>
      <c r="M15" s="509"/>
      <c r="N15" s="509"/>
      <c r="O15" s="509"/>
      <c r="P15" s="509"/>
      <c r="Q15" s="509"/>
      <c r="R15" s="509"/>
      <c r="S15" s="509"/>
      <c r="T15" s="509"/>
      <c r="U15" s="509"/>
      <c r="V15" s="509">
        <f>'Unemployment Insurance'!V20</f>
        <v>0</v>
      </c>
      <c r="W15" s="673"/>
      <c r="X15" s="673"/>
      <c r="Y15" s="673"/>
      <c r="Z15" s="673"/>
      <c r="AA15" s="673"/>
      <c r="AB15" s="673"/>
      <c r="AC15" s="971"/>
    </row>
    <row r="16" spans="1:29" x14ac:dyDescent="0.35">
      <c r="B16" s="424" t="s">
        <v>205</v>
      </c>
      <c r="C16" s="249"/>
      <c r="D16" s="599"/>
      <c r="E16" s="509"/>
      <c r="F16" s="509"/>
      <c r="G16" s="509"/>
      <c r="H16" s="509"/>
      <c r="I16" s="509"/>
      <c r="J16" s="509"/>
      <c r="K16" s="509"/>
      <c r="L16" s="509"/>
      <c r="M16" s="509"/>
      <c r="N16" s="509"/>
      <c r="O16" s="509"/>
      <c r="P16" s="509"/>
      <c r="Q16" s="509"/>
      <c r="R16" s="509"/>
      <c r="S16" s="509"/>
      <c r="T16" s="509"/>
      <c r="U16" s="509"/>
      <c r="V16" s="509">
        <f>'Unemployment Insurance'!V21</f>
        <v>30.960000000000004</v>
      </c>
      <c r="W16" s="673"/>
      <c r="X16" s="673"/>
      <c r="Y16" s="673"/>
      <c r="Z16" s="673"/>
      <c r="AA16" s="673"/>
      <c r="AB16" s="673"/>
      <c r="AC16" s="971"/>
    </row>
    <row r="17" spans="1:101" ht="17.899999999999999" customHeight="1" x14ac:dyDescent="0.35">
      <c r="A17" t="s">
        <v>1842</v>
      </c>
      <c r="B17" s="681" t="s">
        <v>55</v>
      </c>
      <c r="C17" s="249"/>
      <c r="D17" s="599">
        <f>Medicare!D10</f>
        <v>755</v>
      </c>
      <c r="E17" s="509">
        <f>Medicare!E10</f>
        <v>773.5</v>
      </c>
      <c r="F17" s="509">
        <f>Medicare!F10</f>
        <v>788.5</v>
      </c>
      <c r="G17" s="509">
        <f>Medicare!G10</f>
        <v>798</v>
      </c>
      <c r="H17" s="509">
        <f>Medicare!H10</f>
        <v>802</v>
      </c>
      <c r="I17" s="509">
        <f>Medicare!I10</f>
        <v>801.9</v>
      </c>
      <c r="J17" s="509">
        <f>Medicare!J10</f>
        <v>814.3</v>
      </c>
      <c r="K17" s="509">
        <f>Medicare!K10</f>
        <v>826.6</v>
      </c>
      <c r="L17" s="509">
        <f>Medicare!L10</f>
        <v>838.8</v>
      </c>
      <c r="M17" s="509">
        <f>Medicare!M10</f>
        <v>854.9</v>
      </c>
      <c r="N17" s="509">
        <f>Medicare!N10</f>
        <v>871.2</v>
      </c>
      <c r="O17" s="509">
        <f>Medicare!O10</f>
        <v>887.1</v>
      </c>
      <c r="P17" s="509">
        <f>Medicare!P10</f>
        <v>902.4</v>
      </c>
      <c r="Q17" s="509">
        <f>Medicare!Q10</f>
        <v>917.6</v>
      </c>
      <c r="R17" s="509">
        <f>Medicare!R10</f>
        <v>926.6</v>
      </c>
      <c r="S17" s="509">
        <f>Medicare!S10</f>
        <v>937.4</v>
      </c>
      <c r="T17" s="509">
        <f>Medicare!T10</f>
        <v>958.5</v>
      </c>
      <c r="U17" s="509">
        <f>Medicare!U10</f>
        <v>981.1</v>
      </c>
      <c r="V17" s="975">
        <f>Medicare!V10</f>
        <v>1001.8</v>
      </c>
      <c r="W17" s="673">
        <f>Medicare!W10</f>
        <v>1019.9</v>
      </c>
      <c r="X17" s="673">
        <f>Medicare!X10</f>
        <v>1035.3</v>
      </c>
      <c r="Y17" s="673">
        <f>Medicare!Y10</f>
        <v>1049.2</v>
      </c>
      <c r="Z17" s="673">
        <f>Medicare!Z10</f>
        <v>1067.0999999999999</v>
      </c>
      <c r="AA17" s="673">
        <f>Medicare!AA10</f>
        <v>1090.2</v>
      </c>
      <c r="AB17" s="673">
        <f>Medicare!AB10</f>
        <v>1118.5</v>
      </c>
      <c r="AC17" s="971">
        <f>Medicare!AC10</f>
        <v>1150.3</v>
      </c>
    </row>
    <row r="18" spans="1:101" ht="18" customHeight="1" x14ac:dyDescent="0.35">
      <c r="A18" t="s">
        <v>1842</v>
      </c>
      <c r="B18" s="682" t="s">
        <v>467</v>
      </c>
      <c r="C18" s="249"/>
      <c r="D18" s="599"/>
      <c r="E18" s="509"/>
      <c r="F18" s="509"/>
      <c r="G18" s="509"/>
      <c r="H18" s="509">
        <f>'Rebate Checks (expired)'!H10 +'Rebate Checks (expired)'!H11</f>
        <v>0</v>
      </c>
      <c r="I18" s="509">
        <f>'Rebate Checks (expired)'!I10 +'Rebate Checks (expired)'!I11</f>
        <v>0</v>
      </c>
      <c r="J18" s="509">
        <f>'Rebate Checks (expired)'!J10 +'Rebate Checks (expired)'!J11</f>
        <v>1078.0999999999999</v>
      </c>
      <c r="K18" s="509">
        <f>'Rebate Checks (expired)'!K10 +'Rebate Checks (expired)'!K11</f>
        <v>15.6</v>
      </c>
      <c r="L18" s="509">
        <f>'Rebate Checks (expired)'!L10 +'Rebate Checks (expired)'!L11</f>
        <v>5</v>
      </c>
      <c r="M18" s="509">
        <f>'Rebate Checks (expired)'!M10 +'Rebate Checks (expired)'!M11</f>
        <v>1933.6999999999998</v>
      </c>
      <c r="N18" s="509">
        <f>'Rebate Checks (expired)'!N10 +'Rebate Checks (expired)'!N11</f>
        <v>290.10000000000002</v>
      </c>
      <c r="O18" s="509">
        <f>'Rebate Checks (expired)'!O10 +'Rebate Checks (expired)'!O11</f>
        <v>38.9</v>
      </c>
      <c r="P18" s="509">
        <f>'Rebate Checks (expired)'!P10 +'Rebate Checks (expired)'!P11</f>
        <v>14.2</v>
      </c>
      <c r="Q18" s="509">
        <f>'Rebate Checks (expired)'!Q10 +'Rebate Checks (expired)'!Q11</f>
        <v>0</v>
      </c>
      <c r="R18" s="509">
        <f>'Rebate Checks (expired)'!Q10 +'Rebate Checks (expired)'!R11</f>
        <v>0</v>
      </c>
      <c r="S18" s="509">
        <f>'Rebate Checks (expired)'!S10 +'Rebate Checks (expired)'!S11</f>
        <v>0</v>
      </c>
      <c r="T18" s="509">
        <f>'Rebate Checks (expired)'!T10 +'Rebate Checks (expired)'!T11</f>
        <v>0</v>
      </c>
      <c r="U18" s="509">
        <f>'Rebate Checks (expired)'!U10 +'Rebate Checks (expired)'!U11</f>
        <v>0</v>
      </c>
      <c r="V18" s="975">
        <f>V19+V20</f>
        <v>0</v>
      </c>
      <c r="W18" s="673">
        <f>'Rebate Checks (expired)'!W10 +'Rebate Checks (expired)'!W11</f>
        <v>0</v>
      </c>
      <c r="X18" s="673">
        <f>'Rebate Checks (expired)'!X10 +'Rebate Checks (expired)'!X11</f>
        <v>0</v>
      </c>
      <c r="Y18" s="673">
        <f>'Rebate Checks (expired)'!Y10 +'Rebate Checks (expired)'!Y11</f>
        <v>0</v>
      </c>
      <c r="Z18" s="673">
        <f>'Rebate Checks (expired)'!Z10 +'Rebate Checks (expired)'!Z11</f>
        <v>0</v>
      </c>
      <c r="AA18" s="673">
        <f>'Rebate Checks (expired)'!AA10 +'Rebate Checks (expired)'!AA11</f>
        <v>0</v>
      </c>
      <c r="AB18" s="673">
        <f>'Rebate Checks (expired)'!AB10 +'Rebate Checks (expired)'!AB11</f>
        <v>0</v>
      </c>
      <c r="AC18" s="971">
        <f>'Rebate Checks (expired)'!AC10 +'Rebate Checks (expired)'!AC11</f>
        <v>0</v>
      </c>
    </row>
    <row r="19" spans="1:101" ht="18" customHeight="1" x14ac:dyDescent="0.35">
      <c r="B19" s="683" t="s">
        <v>1835</v>
      </c>
      <c r="C19" s="249"/>
      <c r="D19" s="599"/>
      <c r="E19" s="509"/>
      <c r="F19" s="509"/>
      <c r="G19" s="509"/>
      <c r="H19" s="509"/>
      <c r="I19" s="509"/>
      <c r="J19" s="509"/>
      <c r="K19" s="509"/>
      <c r="L19" s="509"/>
      <c r="M19" s="509"/>
      <c r="N19" s="509"/>
      <c r="O19" s="509"/>
      <c r="P19" s="509"/>
      <c r="Q19" s="509"/>
      <c r="R19" s="509"/>
      <c r="S19" s="509"/>
      <c r="T19" s="509"/>
      <c r="U19" s="509"/>
      <c r="V19" s="509">
        <v>0</v>
      </c>
      <c r="W19" s="673"/>
      <c r="X19" s="673"/>
      <c r="Y19" s="673"/>
      <c r="Z19" s="673"/>
      <c r="AA19" s="673"/>
      <c r="AB19" s="673"/>
      <c r="AC19" s="971"/>
    </row>
    <row r="20" spans="1:101" ht="18" customHeight="1" x14ac:dyDescent="0.35">
      <c r="B20" s="683" t="s">
        <v>1836</v>
      </c>
      <c r="C20" s="249"/>
      <c r="D20" s="599"/>
      <c r="E20" s="509"/>
      <c r="F20" s="509"/>
      <c r="G20" s="509"/>
      <c r="H20" s="509"/>
      <c r="I20" s="509"/>
      <c r="J20" s="509"/>
      <c r="K20" s="509"/>
      <c r="L20" s="509"/>
      <c r="M20" s="509"/>
      <c r="N20" s="509"/>
      <c r="O20" s="509"/>
      <c r="P20" s="509"/>
      <c r="Q20" s="509"/>
      <c r="R20" s="509"/>
      <c r="S20" s="509"/>
      <c r="T20" s="509"/>
      <c r="U20" s="509"/>
      <c r="V20" s="509">
        <v>0</v>
      </c>
      <c r="W20" s="673"/>
      <c r="X20" s="673"/>
      <c r="Y20" s="673"/>
      <c r="Z20" s="673"/>
      <c r="AA20" s="673"/>
      <c r="AB20" s="673"/>
      <c r="AC20" s="971"/>
    </row>
    <row r="21" spans="1:101" ht="18" customHeight="1" x14ac:dyDescent="0.35">
      <c r="A21" t="s">
        <v>1842</v>
      </c>
      <c r="B21" s="684" t="s">
        <v>49</v>
      </c>
      <c r="C21" s="249"/>
      <c r="D21" s="405">
        <f>'Provider Relief (expired)'!D11</f>
        <v>0</v>
      </c>
      <c r="E21" s="411">
        <f>'Provider Relief (expired)'!E11</f>
        <v>0</v>
      </c>
      <c r="F21" s="411">
        <f>'Provider Relief (expired)'!F11</f>
        <v>0</v>
      </c>
      <c r="G21" s="411">
        <f>'Provider Relief (expired)'!G11</f>
        <v>0</v>
      </c>
      <c r="H21" s="411">
        <f>'Provider Relief (expired)'!H11</f>
        <v>0</v>
      </c>
      <c r="I21" s="411">
        <f>'Provider Relief (expired)'!I11</f>
        <v>0</v>
      </c>
      <c r="J21" s="411">
        <f>'Provider Relief (expired)'!J11</f>
        <v>160.9</v>
      </c>
      <c r="K21" s="411">
        <f>'Provider Relief (expired)'!K11</f>
        <v>58.4</v>
      </c>
      <c r="L21" s="411">
        <f>'Provider Relief (expired)'!L11</f>
        <v>34.5</v>
      </c>
      <c r="M21" s="411">
        <f>'Provider Relief (expired)'!M11</f>
        <v>21.4</v>
      </c>
      <c r="N21" s="411">
        <f>'Provider Relief (expired)'!N11</f>
        <v>13.3</v>
      </c>
      <c r="O21" s="411">
        <f>'Provider Relief (expired)'!O11</f>
        <v>18.7</v>
      </c>
      <c r="P21" s="411">
        <f>'Provider Relief (expired)'!P11</f>
        <v>32.200000000000003</v>
      </c>
      <c r="Q21" s="411">
        <f>'Provider Relief (expired)'!Q11</f>
        <v>26.9</v>
      </c>
      <c r="R21" s="411">
        <f>'Provider Relief (expired)'!R11</f>
        <v>20</v>
      </c>
      <c r="S21" s="411">
        <f>'Provider Relief (expired)'!S11</f>
        <v>8.1</v>
      </c>
      <c r="T21" s="411">
        <f>'Provider Relief (expired)'!T11</f>
        <v>4.9000000000000004</v>
      </c>
      <c r="U21" s="411">
        <v>0</v>
      </c>
      <c r="V21" s="975">
        <v>0</v>
      </c>
      <c r="W21" s="673">
        <v>0</v>
      </c>
      <c r="X21" s="673">
        <v>0</v>
      </c>
      <c r="Y21" s="673">
        <v>0</v>
      </c>
      <c r="Z21" s="673">
        <v>0</v>
      </c>
      <c r="AA21" s="673">
        <v>0</v>
      </c>
      <c r="AB21" s="673">
        <v>0</v>
      </c>
      <c r="AC21" s="971">
        <v>0</v>
      </c>
    </row>
    <row r="22" spans="1:101" ht="21.65" customHeight="1" x14ac:dyDescent="0.35">
      <c r="B22" s="432" t="s">
        <v>468</v>
      </c>
      <c r="C22" s="249"/>
      <c r="D22" s="599"/>
      <c r="E22" s="509"/>
      <c r="F22" s="509"/>
      <c r="G22" s="509"/>
      <c r="H22" s="509"/>
      <c r="I22" s="509"/>
      <c r="J22" s="509">
        <f>'PPP (expired)'!J53</f>
        <v>57.2</v>
      </c>
      <c r="K22" s="509">
        <f>'PPP (expired)'!K53</f>
        <v>81.2</v>
      </c>
      <c r="L22" s="509">
        <f>'PPP (expired)'!L53</f>
        <v>24.4</v>
      </c>
      <c r="M22" s="509">
        <f>'PPP (expired)'!M53</f>
        <v>11.7</v>
      </c>
      <c r="N22" s="509">
        <f>'PPP (expired)'!N53</f>
        <v>28.5</v>
      </c>
      <c r="O22" s="509">
        <f>'PPP (expired)'!O53</f>
        <v>18.8</v>
      </c>
      <c r="P22" s="509">
        <f>'PPP (expired)'!P53</f>
        <v>1.6</v>
      </c>
      <c r="Q22" s="509">
        <f>'PPP (expired)'!Q53</f>
        <v>0</v>
      </c>
      <c r="R22" s="509">
        <f>'PPP (expired)'!R53</f>
        <v>0</v>
      </c>
      <c r="S22" s="509">
        <f>'PPP (expired)'!S53</f>
        <v>0</v>
      </c>
      <c r="T22" s="509">
        <f>'PPP (expired)'!T53</f>
        <v>0</v>
      </c>
      <c r="U22" s="509">
        <f>'PPP (expired)'!U53</f>
        <v>0</v>
      </c>
      <c r="V22" s="509">
        <f>'PPP (expired)'!V53</f>
        <v>0</v>
      </c>
      <c r="W22" s="673">
        <f>'PPP (expired)'!W53</f>
        <v>0</v>
      </c>
      <c r="X22" s="673">
        <f>'PPP (expired)'!X53</f>
        <v>0</v>
      </c>
      <c r="Y22" s="673">
        <f>'PPP (expired)'!Y53</f>
        <v>0</v>
      </c>
      <c r="Z22" s="673">
        <f>'PPP (expired)'!Z53</f>
        <v>0</v>
      </c>
      <c r="AA22" s="673">
        <f>'PPP (expired)'!AA53</f>
        <v>0</v>
      </c>
      <c r="AB22" s="673">
        <f>'PPP (expired)'!AB53</f>
        <v>0</v>
      </c>
      <c r="AC22" s="673">
        <f>'PPP (expired)'!AC53</f>
        <v>0</v>
      </c>
    </row>
    <row r="23" spans="1:101" ht="22.4" customHeight="1" x14ac:dyDescent="0.35">
      <c r="B23" s="432" t="s">
        <v>218</v>
      </c>
      <c r="C23" s="689"/>
      <c r="D23" s="405"/>
      <c r="E23" s="411"/>
      <c r="F23" s="411"/>
      <c r="G23" s="411"/>
      <c r="H23" s="411"/>
      <c r="I23" s="411"/>
      <c r="J23" s="411"/>
      <c r="K23" s="411"/>
      <c r="L23" s="411"/>
      <c r="M23" s="509">
        <f>'ARP Quarterly'!C4</f>
        <v>0</v>
      </c>
      <c r="N23" s="509">
        <f>'ARP Quarterly'!D4</f>
        <v>0</v>
      </c>
      <c r="O23" s="509">
        <f>'ARP Quarterly'!E4</f>
        <v>3.1040000000000418</v>
      </c>
      <c r="P23" s="509">
        <f>'ARP Quarterly'!F4</f>
        <v>19.719000000000005</v>
      </c>
      <c r="Q23" s="509">
        <f>'ARP Quarterly'!G4</f>
        <v>19.719000000000005</v>
      </c>
      <c r="R23" s="509">
        <f>'ARP Quarterly'!H4</f>
        <v>19.719000000000005</v>
      </c>
      <c r="S23" s="509">
        <f>'ARP Quarterly'!I4</f>
        <v>19.719000000000005</v>
      </c>
      <c r="T23" s="509">
        <f>'ARP Quarterly'!J4</f>
        <v>1.4159999999999999</v>
      </c>
      <c r="U23" s="509">
        <f>'ARP Quarterly'!K4</f>
        <v>1.4159999999999999</v>
      </c>
      <c r="V23" s="509">
        <f>'ARP Quarterly'!L4</f>
        <v>1.4159999999999999</v>
      </c>
      <c r="W23" s="673">
        <f>'ARP Quarterly'!M4</f>
        <v>1.4159999999999999</v>
      </c>
      <c r="X23" s="673">
        <f>'ARP Quarterly'!N4</f>
        <v>1.4790000000000001</v>
      </c>
      <c r="Y23" s="673">
        <f>'ARP Quarterly'!O4</f>
        <v>1.4790000000000001</v>
      </c>
      <c r="Z23" s="673">
        <f>'ARP Quarterly'!P4</f>
        <v>1.4790000000000001</v>
      </c>
      <c r="AA23" s="673">
        <f>'ARP Quarterly'!Q4</f>
        <v>1.4790000000000001</v>
      </c>
      <c r="AB23" s="673">
        <f>'ARP Quarterly'!R4</f>
        <v>1.63</v>
      </c>
      <c r="AC23" s="673">
        <f>'ARP Quarterly'!S4</f>
        <v>1.63</v>
      </c>
      <c r="AE23" s="689"/>
      <c r="AF23" s="689"/>
      <c r="AG23" s="689"/>
      <c r="AH23" s="689"/>
      <c r="AI23" s="689"/>
      <c r="AJ23" s="689"/>
      <c r="AK23" s="689"/>
      <c r="AL23" s="689"/>
      <c r="AM23" s="689"/>
      <c r="AN23" s="689"/>
      <c r="AO23" s="689"/>
      <c r="AP23" s="689"/>
      <c r="AQ23" s="689"/>
      <c r="AR23" s="689"/>
      <c r="AS23" s="689"/>
      <c r="AT23" s="689"/>
      <c r="AU23" s="689"/>
      <c r="AV23" s="689"/>
      <c r="AW23" s="689"/>
      <c r="AX23" s="689"/>
      <c r="AY23" s="689"/>
      <c r="AZ23" s="689"/>
      <c r="BA23" s="689"/>
      <c r="BB23" s="689"/>
      <c r="BC23" s="689"/>
      <c r="BD23" s="689"/>
      <c r="BE23" s="689"/>
      <c r="BF23" s="689"/>
      <c r="BG23" s="689"/>
      <c r="BH23" s="689"/>
      <c r="BI23" s="689"/>
      <c r="BJ23" s="689"/>
      <c r="BK23" s="689"/>
      <c r="BL23" s="689"/>
      <c r="BM23" s="689"/>
      <c r="BN23" s="689"/>
      <c r="BO23" s="689"/>
      <c r="BP23" s="689"/>
      <c r="BQ23" s="689"/>
      <c r="BR23" s="689"/>
      <c r="BS23" s="689"/>
      <c r="BT23" s="689"/>
      <c r="BU23" s="689"/>
      <c r="BV23" s="689"/>
      <c r="BW23" s="689"/>
      <c r="BX23" s="689"/>
      <c r="BY23" s="689"/>
      <c r="BZ23" s="689"/>
      <c r="CA23" s="689"/>
      <c r="CB23" s="689"/>
      <c r="CC23" s="689"/>
      <c r="CD23" s="689"/>
      <c r="CE23" s="689"/>
      <c r="CF23" s="689"/>
      <c r="CG23" s="689"/>
      <c r="CH23" s="689"/>
      <c r="CI23" s="689"/>
      <c r="CJ23" s="689"/>
      <c r="CK23" s="689"/>
      <c r="CL23" s="689"/>
      <c r="CM23" s="689"/>
      <c r="CN23" s="689"/>
      <c r="CO23" s="689"/>
      <c r="CP23" s="689"/>
      <c r="CQ23" s="689"/>
      <c r="CR23" s="689"/>
      <c r="CS23" s="689"/>
      <c r="CT23" s="689"/>
      <c r="CU23" s="689"/>
      <c r="CV23" s="689"/>
      <c r="CW23" s="689"/>
    </row>
    <row r="24" spans="1:101" ht="36.65" customHeight="1" x14ac:dyDescent="0.35">
      <c r="B24" s="256" t="s">
        <v>1427</v>
      </c>
      <c r="C24" s="249"/>
      <c r="D24" s="599">
        <f>D85</f>
        <v>0</v>
      </c>
      <c r="E24" s="509">
        <f t="shared" ref="E24:AC24" si="1">E85</f>
        <v>0</v>
      </c>
      <c r="F24" s="509">
        <f t="shared" si="1"/>
        <v>0</v>
      </c>
      <c r="G24" s="509">
        <f t="shared" si="1"/>
        <v>0</v>
      </c>
      <c r="H24" s="509">
        <f t="shared" si="1"/>
        <v>0</v>
      </c>
      <c r="I24" s="509">
        <f t="shared" si="1"/>
        <v>6.9120000000000061</v>
      </c>
      <c r="J24" s="509">
        <f t="shared" si="1"/>
        <v>50.955000000000005</v>
      </c>
      <c r="K24" s="509">
        <f t="shared" si="1"/>
        <v>51.173999999999999</v>
      </c>
      <c r="L24" s="509">
        <f t="shared" si="1"/>
        <v>51.893999999999998</v>
      </c>
      <c r="M24" s="509">
        <f t="shared" si="1"/>
        <v>91.075000000000017</v>
      </c>
      <c r="N24" s="509">
        <f t="shared" si="1"/>
        <v>100.63400000000001</v>
      </c>
      <c r="O24" s="509">
        <f t="shared" si="1"/>
        <v>93.89100000000002</v>
      </c>
      <c r="P24" s="509">
        <f t="shared" si="1"/>
        <v>100.22800000000001</v>
      </c>
      <c r="Q24" s="509">
        <f t="shared" si="1"/>
        <v>76.838999999999999</v>
      </c>
      <c r="R24" s="509">
        <f t="shared" si="1"/>
        <v>73.637</v>
      </c>
      <c r="S24" s="509">
        <f t="shared" si="1"/>
        <v>70.649000000000001</v>
      </c>
      <c r="T24" s="509">
        <f t="shared" si="1"/>
        <v>91.718000000000018</v>
      </c>
      <c r="U24" s="509">
        <f t="shared" si="1"/>
        <v>83.695999999999998</v>
      </c>
      <c r="V24" s="509">
        <f t="shared" si="1"/>
        <v>51.979000000000006</v>
      </c>
      <c r="W24" s="673">
        <f t="shared" si="1"/>
        <v>51.979000000000006</v>
      </c>
      <c r="X24" s="673">
        <f t="shared" si="1"/>
        <v>51.979000000000006</v>
      </c>
      <c r="Y24" s="673">
        <f t="shared" si="1"/>
        <v>51.979000000000006</v>
      </c>
      <c r="Z24" s="673">
        <f t="shared" si="1"/>
        <v>51.979000000000006</v>
      </c>
      <c r="AA24" s="673">
        <f t="shared" si="1"/>
        <v>51.979000000000006</v>
      </c>
      <c r="AB24" s="673">
        <f t="shared" si="1"/>
        <v>51.979000000000006</v>
      </c>
      <c r="AC24" s="673">
        <f t="shared" si="1"/>
        <v>51.979000000000006</v>
      </c>
      <c r="AE24" s="249"/>
      <c r="AF24" s="249"/>
      <c r="AG24" s="249"/>
      <c r="AH24" s="249"/>
      <c r="AI24" s="249"/>
      <c r="AJ24" s="249"/>
      <c r="AK24" s="249"/>
      <c r="AL24" s="249"/>
      <c r="AM24" s="249"/>
      <c r="AN24" s="249"/>
      <c r="AO24" s="249"/>
      <c r="AP24" s="249"/>
      <c r="AQ24" s="249"/>
      <c r="AR24" s="249"/>
      <c r="AS24" s="249"/>
      <c r="AT24" s="249"/>
      <c r="AU24" s="249"/>
      <c r="AV24" s="249"/>
      <c r="AW24" s="249"/>
      <c r="AX24" s="249"/>
      <c r="AY24" s="249"/>
      <c r="AZ24" s="249"/>
      <c r="BA24" s="249"/>
      <c r="BB24" s="249"/>
      <c r="BC24" s="249"/>
      <c r="BD24" s="249"/>
      <c r="BE24" s="249"/>
      <c r="BF24" s="249"/>
      <c r="BG24" s="249"/>
      <c r="BH24" s="249"/>
      <c r="BI24" s="249"/>
      <c r="BJ24" s="249"/>
      <c r="BK24" s="249"/>
      <c r="BL24" s="249"/>
      <c r="BM24" s="249"/>
      <c r="BN24" s="249"/>
      <c r="BO24" s="249"/>
      <c r="BP24" s="249"/>
      <c r="BQ24" s="249"/>
      <c r="BR24" s="249"/>
      <c r="BS24" s="249"/>
      <c r="BT24" s="249"/>
      <c r="BU24" s="249"/>
      <c r="BV24" s="249"/>
      <c r="BW24" s="249"/>
      <c r="BX24" s="249"/>
      <c r="BY24" s="249"/>
      <c r="BZ24" s="249"/>
      <c r="CA24" s="249"/>
      <c r="CB24" s="249"/>
      <c r="CC24" s="249"/>
      <c r="CD24" s="249"/>
      <c r="CE24" s="249"/>
      <c r="CF24" s="249"/>
      <c r="CG24" s="249"/>
      <c r="CH24" s="249"/>
      <c r="CI24" s="249"/>
      <c r="CJ24" s="249"/>
      <c r="CK24" s="249"/>
      <c r="CL24" s="249"/>
      <c r="CM24" s="249"/>
      <c r="CN24" s="249"/>
      <c r="CO24" s="249"/>
      <c r="CP24" s="249"/>
      <c r="CQ24" s="249"/>
      <c r="CR24" s="249"/>
      <c r="CS24" s="249"/>
      <c r="CT24" s="249"/>
      <c r="CU24" s="249"/>
      <c r="CV24" s="249"/>
    </row>
    <row r="25" spans="1:101" ht="17.149999999999999" customHeight="1" x14ac:dyDescent="0.35">
      <c r="A25" t="s">
        <v>1845</v>
      </c>
      <c r="B25" s="979" t="s">
        <v>465</v>
      </c>
      <c r="C25" s="249" t="s">
        <v>466</v>
      </c>
      <c r="D25" s="509">
        <f>'Haver Pivoted'!GO31</f>
        <v>2223</v>
      </c>
      <c r="E25" s="509">
        <f>'Haver Pivoted'!GP31</f>
        <v>2303.8000000000002</v>
      </c>
      <c r="F25" s="509">
        <f>'Haver Pivoted'!GQ31</f>
        <v>2321.6999999999998</v>
      </c>
      <c r="G25" s="509">
        <f>'Haver Pivoted'!GR31</f>
        <v>2337.1</v>
      </c>
      <c r="H25" s="509">
        <f>'Haver Pivoted'!GS31</f>
        <v>2349.5</v>
      </c>
      <c r="I25" s="509">
        <f>'Haver Pivoted'!GT31</f>
        <v>2414.4</v>
      </c>
      <c r="J25" s="509">
        <f>'Haver Pivoted'!GU31</f>
        <v>4654.1000000000004</v>
      </c>
      <c r="K25" s="509">
        <f>'Haver Pivoted'!GV31</f>
        <v>3504.7</v>
      </c>
      <c r="L25" s="509">
        <f>'Haver Pivoted'!GW31</f>
        <v>2888.4</v>
      </c>
      <c r="M25" s="509">
        <f>'Haver Pivoted'!GX31</f>
        <v>5138.1000000000004</v>
      </c>
      <c r="N25" s="509">
        <f>'Haver Pivoted'!GY31</f>
        <v>3397.8</v>
      </c>
      <c r="O25" s="509">
        <f>'Haver Pivoted'!GZ31</f>
        <v>3124.9</v>
      </c>
      <c r="P25" s="509">
        <f>'Haver Pivoted'!HA31</f>
        <v>2952.6</v>
      </c>
      <c r="Q25" s="509">
        <f>'Haver Pivoted'!HB31</f>
        <v>2970.9</v>
      </c>
      <c r="R25" s="509">
        <f>'Haver Pivoted'!HC31</f>
        <v>2976.2</v>
      </c>
      <c r="S25" s="509">
        <f>'Haver Pivoted'!HD31</f>
        <v>2970.4</v>
      </c>
      <c r="T25" s="509">
        <f>'Haver Pivoted'!HE31</f>
        <v>3024.4</v>
      </c>
      <c r="U25" s="509">
        <f>'Haver Pivoted'!HF31</f>
        <v>3038.4</v>
      </c>
      <c r="V25" s="509">
        <f>'Haver Pivoted'!HG31</f>
        <v>3049.1</v>
      </c>
      <c r="W25" s="673"/>
      <c r="X25" s="673"/>
      <c r="Y25" s="673"/>
      <c r="Z25" s="673"/>
      <c r="AA25" s="673"/>
      <c r="AB25" s="673"/>
      <c r="AC25" s="673"/>
    </row>
    <row r="26" spans="1:101" ht="17.149999999999999" customHeight="1" x14ac:dyDescent="0.35">
      <c r="B26" s="269" t="s">
        <v>1844</v>
      </c>
      <c r="C26" s="249"/>
      <c r="D26" s="509">
        <f>D27+D28</f>
        <v>812.1</v>
      </c>
      <c r="E26" s="509">
        <f t="shared" ref="E26:V26" si="2">E27+E28</f>
        <v>833.1</v>
      </c>
      <c r="F26" s="509">
        <f t="shared" si="2"/>
        <v>845.8</v>
      </c>
      <c r="G26" s="509">
        <f t="shared" si="2"/>
        <v>854.4</v>
      </c>
      <c r="H26" s="509">
        <f t="shared" si="2"/>
        <v>858.7</v>
      </c>
      <c r="I26" s="509">
        <f t="shared" si="2"/>
        <v>878.91200000000003</v>
      </c>
      <c r="J26" s="509">
        <f t="shared" si="2"/>
        <v>2982.0549999999998</v>
      </c>
      <c r="K26" s="509">
        <f t="shared" si="2"/>
        <v>1804.7740000000001</v>
      </c>
      <c r="L26" s="509">
        <f t="shared" si="2"/>
        <v>1272.9939999999999</v>
      </c>
      <c r="M26" s="509">
        <f>M27+M28</f>
        <v>3509.5749999999998</v>
      </c>
      <c r="N26" s="509">
        <f t="shared" si="2"/>
        <v>1765.634</v>
      </c>
      <c r="O26" s="509">
        <f t="shared" si="2"/>
        <v>1473.5283333333332</v>
      </c>
      <c r="P26" s="509">
        <f t="shared" si="2"/>
        <v>1293.0803333333331</v>
      </c>
      <c r="Q26" s="509">
        <f t="shared" si="2"/>
        <v>1132.9580000000001</v>
      </c>
      <c r="R26" s="509">
        <f t="shared" si="2"/>
        <v>1135.9559999999999</v>
      </c>
      <c r="S26" s="509">
        <f t="shared" si="2"/>
        <v>1145.1679999999999</v>
      </c>
      <c r="T26" s="509">
        <f t="shared" si="2"/>
        <v>1171.8340000000001</v>
      </c>
      <c r="U26" s="509">
        <f t="shared" si="2"/>
        <v>1130.3120000000001</v>
      </c>
      <c r="V26" s="509">
        <f t="shared" si="2"/>
        <v>1120.155</v>
      </c>
      <c r="W26" s="673">
        <f>W27+W28</f>
        <v>53.395000000000003</v>
      </c>
      <c r="X26" s="673">
        <f t="shared" ref="X26" si="3">X27+X28</f>
        <v>53.458000000000006</v>
      </c>
      <c r="Y26" s="673">
        <f t="shared" ref="Y26" si="4">Y27+Y28</f>
        <v>53.458000000000006</v>
      </c>
      <c r="Z26" s="673">
        <f t="shared" ref="Z26" si="5">Z27+Z28</f>
        <v>53.458000000000006</v>
      </c>
      <c r="AA26" s="673">
        <f t="shared" ref="AA26" si="6">AA27+AA28</f>
        <v>53.458000000000006</v>
      </c>
      <c r="AB26" s="673">
        <f t="shared" ref="AB26" si="7">AB27+AB28</f>
        <v>53.609000000000009</v>
      </c>
      <c r="AC26" s="673">
        <f t="shared" ref="AC26" si="8">AC27+AC28</f>
        <v>53.609000000000009</v>
      </c>
    </row>
    <row r="27" spans="1:101" ht="17.149999999999999" customHeight="1" x14ac:dyDescent="0.35">
      <c r="B27" s="424" t="s">
        <v>1843</v>
      </c>
      <c r="C27" s="249"/>
      <c r="D27" s="599">
        <f t="shared" ref="D27:V27" si="9">D13+D14+D17</f>
        <v>812.1</v>
      </c>
      <c r="E27" s="509">
        <f t="shared" si="9"/>
        <v>833.1</v>
      </c>
      <c r="F27" s="509">
        <f t="shared" si="9"/>
        <v>845.8</v>
      </c>
      <c r="G27" s="509">
        <f t="shared" si="9"/>
        <v>854.4</v>
      </c>
      <c r="H27" s="509">
        <f t="shared" si="9"/>
        <v>858.7</v>
      </c>
      <c r="I27" s="509">
        <f t="shared" si="9"/>
        <v>872</v>
      </c>
      <c r="J27" s="509">
        <f t="shared" si="9"/>
        <v>1795.8</v>
      </c>
      <c r="K27" s="509">
        <f t="shared" si="9"/>
        <v>1656.8000000000002</v>
      </c>
      <c r="L27" s="509">
        <f t="shared" si="9"/>
        <v>1191.6999999999998</v>
      </c>
      <c r="M27" s="509">
        <f t="shared" si="9"/>
        <v>1473.1</v>
      </c>
      <c r="N27" s="509">
        <f t="shared" si="9"/>
        <v>1346.4</v>
      </c>
      <c r="O27" s="509">
        <f t="shared" si="9"/>
        <v>1318.833333333333</v>
      </c>
      <c r="P27" s="509">
        <f t="shared" si="9"/>
        <v>1157.333333333333</v>
      </c>
      <c r="Q27" s="509">
        <f t="shared" si="9"/>
        <v>1036.4000000000001</v>
      </c>
      <c r="R27" s="509">
        <f t="shared" si="9"/>
        <v>1042.5999999999999</v>
      </c>
      <c r="S27" s="509">
        <f t="shared" si="9"/>
        <v>1054.8</v>
      </c>
      <c r="T27" s="509">
        <f t="shared" si="9"/>
        <v>1078.7</v>
      </c>
      <c r="U27" s="509">
        <f t="shared" si="9"/>
        <v>1045.2</v>
      </c>
      <c r="V27" s="509">
        <f t="shared" si="9"/>
        <v>1066.76</v>
      </c>
      <c r="W27" s="673"/>
      <c r="X27" s="673"/>
      <c r="Y27" s="673"/>
      <c r="Z27" s="673"/>
      <c r="AA27" s="673"/>
      <c r="AB27" s="673"/>
      <c r="AC27" s="971"/>
    </row>
    <row r="28" spans="1:101" ht="28.5" customHeight="1" x14ac:dyDescent="0.35">
      <c r="B28" s="424" t="s">
        <v>1840</v>
      </c>
      <c r="C28" s="249"/>
      <c r="D28" s="405">
        <f t="shared" ref="D28:AC28" si="10">D18+D23+D24+D22</f>
        <v>0</v>
      </c>
      <c r="E28" s="411">
        <f t="shared" si="10"/>
        <v>0</v>
      </c>
      <c r="F28" s="411">
        <f t="shared" si="10"/>
        <v>0</v>
      </c>
      <c r="G28" s="411">
        <f t="shared" si="10"/>
        <v>0</v>
      </c>
      <c r="H28" s="411">
        <f t="shared" si="10"/>
        <v>0</v>
      </c>
      <c r="I28" s="411">
        <f t="shared" si="10"/>
        <v>6.9120000000000061</v>
      </c>
      <c r="J28" s="411">
        <f t="shared" si="10"/>
        <v>1186.2549999999999</v>
      </c>
      <c r="K28" s="411">
        <f t="shared" si="10"/>
        <v>147.97399999999999</v>
      </c>
      <c r="L28" s="411">
        <f t="shared" si="10"/>
        <v>81.293999999999997</v>
      </c>
      <c r="M28" s="411">
        <f t="shared" si="10"/>
        <v>2036.4749999999999</v>
      </c>
      <c r="N28" s="411">
        <f t="shared" si="10"/>
        <v>419.23400000000004</v>
      </c>
      <c r="O28" s="411">
        <f t="shared" si="10"/>
        <v>154.69500000000008</v>
      </c>
      <c r="P28" s="411">
        <f t="shared" si="10"/>
        <v>135.74700000000001</v>
      </c>
      <c r="Q28" s="411">
        <f t="shared" si="10"/>
        <v>96.558000000000007</v>
      </c>
      <c r="R28" s="411">
        <f t="shared" si="10"/>
        <v>93.356000000000009</v>
      </c>
      <c r="S28" s="411">
        <f t="shared" si="10"/>
        <v>90.368000000000009</v>
      </c>
      <c r="T28" s="411">
        <f t="shared" si="10"/>
        <v>93.134000000000015</v>
      </c>
      <c r="U28" s="411">
        <f t="shared" si="10"/>
        <v>85.111999999999995</v>
      </c>
      <c r="V28" s="411">
        <f t="shared" si="10"/>
        <v>53.395000000000003</v>
      </c>
      <c r="W28" s="361">
        <f t="shared" si="10"/>
        <v>53.395000000000003</v>
      </c>
      <c r="X28" s="361">
        <f t="shared" si="10"/>
        <v>53.458000000000006</v>
      </c>
      <c r="Y28" s="361">
        <f t="shared" si="10"/>
        <v>53.458000000000006</v>
      </c>
      <c r="Z28" s="361">
        <f t="shared" si="10"/>
        <v>53.458000000000006</v>
      </c>
      <c r="AA28" s="361">
        <f t="shared" si="10"/>
        <v>53.458000000000006</v>
      </c>
      <c r="AB28" s="361">
        <f t="shared" si="10"/>
        <v>53.609000000000009</v>
      </c>
      <c r="AC28" s="361">
        <f t="shared" si="10"/>
        <v>53.609000000000009</v>
      </c>
    </row>
    <row r="29" spans="1:101" x14ac:dyDescent="0.35">
      <c r="B29" s="432" t="s">
        <v>1846</v>
      </c>
      <c r="C29" s="249"/>
      <c r="D29" s="411">
        <f>D25-D26</f>
        <v>1410.9</v>
      </c>
      <c r="E29" s="411">
        <f t="shared" ref="E29:V29" si="11">E25-E26</f>
        <v>1470.7000000000003</v>
      </c>
      <c r="F29" s="411">
        <f t="shared" si="11"/>
        <v>1475.8999999999999</v>
      </c>
      <c r="G29" s="411">
        <f t="shared" si="11"/>
        <v>1482.6999999999998</v>
      </c>
      <c r="H29" s="411">
        <f t="shared" si="11"/>
        <v>1490.8</v>
      </c>
      <c r="I29" s="411">
        <f t="shared" si="11"/>
        <v>1535.4880000000001</v>
      </c>
      <c r="J29" s="411">
        <f t="shared" si="11"/>
        <v>1672.0450000000005</v>
      </c>
      <c r="K29" s="411">
        <f t="shared" si="11"/>
        <v>1699.9259999999997</v>
      </c>
      <c r="L29" s="411">
        <f t="shared" si="11"/>
        <v>1615.4060000000002</v>
      </c>
      <c r="M29" s="411">
        <f t="shared" si="11"/>
        <v>1628.5250000000005</v>
      </c>
      <c r="N29" s="411">
        <f t="shared" si="11"/>
        <v>1632.1660000000002</v>
      </c>
      <c r="O29" s="411">
        <f t="shared" si="11"/>
        <v>1651.3716666666669</v>
      </c>
      <c r="P29" s="411">
        <f t="shared" si="11"/>
        <v>1659.5196666666668</v>
      </c>
      <c r="Q29" s="411">
        <f t="shared" si="11"/>
        <v>1837.942</v>
      </c>
      <c r="R29" s="411">
        <f t="shared" si="11"/>
        <v>1840.2439999999999</v>
      </c>
      <c r="S29" s="411">
        <f t="shared" si="11"/>
        <v>1825.2320000000002</v>
      </c>
      <c r="T29" s="411">
        <f t="shared" si="11"/>
        <v>1852.566</v>
      </c>
      <c r="U29" s="411">
        <f t="shared" si="11"/>
        <v>1908.088</v>
      </c>
      <c r="V29" s="411">
        <f t="shared" si="11"/>
        <v>1928.9449999999999</v>
      </c>
      <c r="W29" s="361"/>
      <c r="X29" s="361"/>
      <c r="Y29" s="361"/>
      <c r="Z29" s="361"/>
      <c r="AA29" s="361"/>
      <c r="AB29" s="361"/>
      <c r="AC29" s="361"/>
    </row>
    <row r="30" spans="1:101" ht="18" customHeight="1" x14ac:dyDescent="0.35">
      <c r="B30" s="291" t="s">
        <v>1837</v>
      </c>
      <c r="C30" s="249"/>
      <c r="D30" s="275"/>
      <c r="E30" s="245"/>
      <c r="F30" s="245"/>
      <c r="G30" s="245"/>
      <c r="H30" s="245"/>
      <c r="I30" s="245"/>
      <c r="J30" s="245"/>
      <c r="K30" s="245"/>
      <c r="L30" s="245"/>
      <c r="M30" s="245"/>
      <c r="N30" s="245"/>
      <c r="O30" s="245"/>
      <c r="P30" s="245"/>
      <c r="Q30" s="245"/>
      <c r="R30" s="245"/>
      <c r="S30" s="245"/>
      <c r="T30" s="245"/>
      <c r="U30" s="245"/>
      <c r="V30" s="509"/>
      <c r="W30" s="673"/>
      <c r="X30" s="673"/>
      <c r="Y30" s="673"/>
      <c r="Z30" s="673"/>
      <c r="AA30" s="673"/>
      <c r="AB30" s="673"/>
      <c r="AC30" s="971"/>
    </row>
    <row r="31" spans="1:101" ht="18" customHeight="1" x14ac:dyDescent="0.35">
      <c r="B31" s="291" t="s">
        <v>1838</v>
      </c>
      <c r="C31" s="249"/>
      <c r="D31" s="275"/>
      <c r="E31" s="245"/>
      <c r="F31" s="245"/>
      <c r="G31" s="245"/>
      <c r="H31" s="245"/>
      <c r="I31" s="245"/>
      <c r="J31" s="245"/>
      <c r="K31" s="245"/>
      <c r="L31" s="245"/>
      <c r="M31" s="245"/>
      <c r="N31" s="245"/>
      <c r="O31" s="245"/>
      <c r="P31" s="245"/>
      <c r="Q31" s="245"/>
      <c r="R31" s="245"/>
      <c r="S31" s="245"/>
      <c r="T31" s="245"/>
      <c r="U31" s="245"/>
      <c r="V31" s="509"/>
      <c r="W31" s="673"/>
      <c r="X31" s="673"/>
      <c r="Y31" s="673"/>
      <c r="Z31" s="673"/>
      <c r="AA31" s="673"/>
      <c r="AB31" s="673"/>
      <c r="AC31" s="971"/>
    </row>
    <row r="32" spans="1:101" ht="20.149999999999999" customHeight="1" x14ac:dyDescent="0.35">
      <c r="B32" s="272" t="s">
        <v>470</v>
      </c>
      <c r="C32" s="267"/>
      <c r="D32" s="721"/>
      <c r="E32" s="639"/>
      <c r="F32" s="639"/>
      <c r="G32" s="639"/>
      <c r="H32" s="572"/>
      <c r="I32" s="572"/>
      <c r="J32" s="572"/>
      <c r="K32" s="572"/>
      <c r="L32" s="572"/>
      <c r="M32" s="572">
        <f>'ARP Quarterly'!C5</f>
        <v>0</v>
      </c>
      <c r="N32" s="572">
        <f>'ARP Quarterly'!D5</f>
        <v>33.921840000000024</v>
      </c>
      <c r="O32" s="572">
        <f>'ARP Quarterly'!E5</f>
        <v>44.966160000000031</v>
      </c>
      <c r="P32" s="572">
        <f>'ARP Quarterly'!F5</f>
        <v>52.756999999999998</v>
      </c>
      <c r="Q32" s="572">
        <f>'ARP Quarterly'!G5</f>
        <v>52.756999999999998</v>
      </c>
      <c r="R32" s="572">
        <f>'ARP Quarterly'!H5</f>
        <v>52.756999999999998</v>
      </c>
      <c r="S32" s="572">
        <f>'ARP Quarterly'!I5</f>
        <v>52.756999999999998</v>
      </c>
      <c r="T32" s="572">
        <v>30</v>
      </c>
      <c r="U32" s="572">
        <f>'ARP Quarterly'!K5</f>
        <v>12</v>
      </c>
      <c r="V32" s="976">
        <f>'ARP Quarterly'!L5</f>
        <v>12</v>
      </c>
      <c r="W32" s="574">
        <f>'ARP Quarterly'!M5</f>
        <v>12</v>
      </c>
      <c r="X32" s="574">
        <f>'ARP Quarterly'!N5</f>
        <v>4.2219999999999995</v>
      </c>
      <c r="Y32" s="574">
        <f>'ARP Quarterly'!O5</f>
        <v>4.2219999999999995</v>
      </c>
      <c r="Z32" s="574">
        <f>'ARP Quarterly'!P5</f>
        <v>4.2219999999999995</v>
      </c>
      <c r="AA32" s="574">
        <f>'ARP Quarterly'!Q5</f>
        <v>4.2219999999999995</v>
      </c>
      <c r="AB32" s="574">
        <f>'ARP Quarterly'!R5</f>
        <v>2.3719999999999999</v>
      </c>
      <c r="AC32" s="968">
        <f>'ARP Quarterly'!S5</f>
        <v>2.3719999999999999</v>
      </c>
    </row>
    <row r="33" spans="2:101" ht="22.4" customHeight="1" x14ac:dyDescent="0.35">
      <c r="B33" s="256" t="s">
        <v>218</v>
      </c>
      <c r="C33" s="689"/>
      <c r="D33" s="275"/>
      <c r="E33" s="245"/>
      <c r="F33" s="245"/>
      <c r="G33" s="245"/>
      <c r="H33" s="245"/>
      <c r="I33" s="245"/>
      <c r="J33" s="245"/>
      <c r="K33" s="245"/>
      <c r="L33" s="245"/>
      <c r="M33" s="509">
        <f>'ARP Quarterly'!C4</f>
        <v>0</v>
      </c>
      <c r="N33" s="509">
        <f>'ARP Quarterly'!D4</f>
        <v>0</v>
      </c>
      <c r="O33" s="509">
        <f>'ARP Quarterly'!E4</f>
        <v>3.1040000000000418</v>
      </c>
      <c r="P33" s="509">
        <f>'ARP Quarterly'!F4</f>
        <v>19.719000000000005</v>
      </c>
      <c r="Q33" s="509">
        <f>'ARP Quarterly'!G4</f>
        <v>19.719000000000005</v>
      </c>
      <c r="R33" s="509">
        <f>'ARP Quarterly'!H4</f>
        <v>19.719000000000005</v>
      </c>
      <c r="S33" s="509">
        <f>'ARP Quarterly'!I4</f>
        <v>19.719000000000005</v>
      </c>
      <c r="T33" s="509">
        <f>'ARP Quarterly'!J4</f>
        <v>1.4159999999999999</v>
      </c>
      <c r="U33" s="509">
        <f>'ARP Quarterly'!K4</f>
        <v>1.4159999999999999</v>
      </c>
      <c r="V33" s="509">
        <f>'ARP Quarterly'!L4</f>
        <v>1.4159999999999999</v>
      </c>
      <c r="W33" s="673">
        <f>'ARP Quarterly'!M4</f>
        <v>1.4159999999999999</v>
      </c>
      <c r="X33" s="673">
        <f>'ARP Quarterly'!N4</f>
        <v>1.4790000000000001</v>
      </c>
      <c r="Y33" s="673">
        <f>'ARP Quarterly'!O4</f>
        <v>1.4790000000000001</v>
      </c>
      <c r="Z33" s="673">
        <f>'ARP Quarterly'!P4</f>
        <v>1.4790000000000001</v>
      </c>
      <c r="AA33" s="673">
        <f>'ARP Quarterly'!Q4</f>
        <v>1.4790000000000001</v>
      </c>
      <c r="AB33" s="673">
        <f>'ARP Quarterly'!R4</f>
        <v>1.63</v>
      </c>
      <c r="AC33" s="971">
        <f>'ARP Quarterly'!S4</f>
        <v>1.63</v>
      </c>
      <c r="AE33" s="689"/>
      <c r="AF33" s="689"/>
      <c r="AG33" s="689"/>
      <c r="AH33" s="689"/>
      <c r="AI33" s="689"/>
      <c r="AJ33" s="689"/>
      <c r="AK33" s="689"/>
      <c r="AL33" s="689"/>
      <c r="AM33" s="689"/>
      <c r="AN33" s="689"/>
      <c r="AO33" s="689"/>
      <c r="AP33" s="689"/>
      <c r="AQ33" s="689"/>
      <c r="AR33" s="689"/>
      <c r="AS33" s="689"/>
      <c r="AT33" s="689"/>
      <c r="AU33" s="689"/>
      <c r="AV33" s="689"/>
      <c r="AW33" s="689"/>
      <c r="AX33" s="689"/>
      <c r="AY33" s="689"/>
      <c r="AZ33" s="689"/>
      <c r="BA33" s="689"/>
      <c r="BB33" s="689"/>
      <c r="BC33" s="689"/>
      <c r="BD33" s="689"/>
      <c r="BE33" s="689"/>
      <c r="BF33" s="689"/>
      <c r="BG33" s="689"/>
      <c r="BH33" s="689"/>
      <c r="BI33" s="689"/>
      <c r="BJ33" s="689"/>
      <c r="BK33" s="689"/>
      <c r="BL33" s="689"/>
      <c r="BM33" s="689"/>
      <c r="BN33" s="689"/>
      <c r="BO33" s="689"/>
      <c r="BP33" s="689"/>
      <c r="BQ33" s="689"/>
      <c r="BR33" s="689"/>
      <c r="BS33" s="689"/>
      <c r="BT33" s="689"/>
      <c r="BU33" s="689"/>
      <c r="BV33" s="689"/>
      <c r="BW33" s="689"/>
      <c r="BX33" s="689"/>
      <c r="BY33" s="689"/>
      <c r="BZ33" s="689"/>
      <c r="CA33" s="689"/>
      <c r="CB33" s="689"/>
      <c r="CC33" s="689"/>
      <c r="CD33" s="689"/>
      <c r="CE33" s="689"/>
      <c r="CF33" s="689"/>
      <c r="CG33" s="689"/>
      <c r="CH33" s="689"/>
      <c r="CI33" s="689"/>
      <c r="CJ33" s="689"/>
      <c r="CK33" s="689"/>
      <c r="CL33" s="689"/>
      <c r="CM33" s="689"/>
      <c r="CN33" s="689"/>
      <c r="CO33" s="689"/>
      <c r="CP33" s="689"/>
      <c r="CQ33" s="689"/>
      <c r="CR33" s="689"/>
      <c r="CS33" s="689"/>
      <c r="CT33" s="689"/>
      <c r="CU33" s="689"/>
      <c r="CV33" s="689"/>
      <c r="CW33" s="689"/>
    </row>
    <row r="34" spans="2:101" ht="36.65" customHeight="1" x14ac:dyDescent="0.35">
      <c r="B34" s="256" t="s">
        <v>1427</v>
      </c>
      <c r="C34" s="249"/>
      <c r="D34" s="276">
        <f>D85</f>
        <v>0</v>
      </c>
      <c r="E34" s="233">
        <f t="shared" ref="E34:AC34" si="12">E85</f>
        <v>0</v>
      </c>
      <c r="F34" s="233">
        <f t="shared" si="12"/>
        <v>0</v>
      </c>
      <c r="G34" s="233">
        <f t="shared" si="12"/>
        <v>0</v>
      </c>
      <c r="H34" s="233">
        <f t="shared" si="12"/>
        <v>0</v>
      </c>
      <c r="I34" s="509">
        <f t="shared" si="12"/>
        <v>6.9120000000000061</v>
      </c>
      <c r="J34" s="509">
        <f t="shared" si="12"/>
        <v>50.955000000000005</v>
      </c>
      <c r="K34" s="509">
        <f t="shared" si="12"/>
        <v>51.173999999999999</v>
      </c>
      <c r="L34" s="509">
        <f t="shared" si="12"/>
        <v>51.893999999999998</v>
      </c>
      <c r="M34" s="509">
        <f t="shared" si="12"/>
        <v>91.075000000000017</v>
      </c>
      <c r="N34" s="509">
        <f t="shared" si="12"/>
        <v>100.63400000000001</v>
      </c>
      <c r="O34" s="509">
        <f t="shared" si="12"/>
        <v>93.89100000000002</v>
      </c>
      <c r="P34" s="509">
        <f t="shared" si="12"/>
        <v>100.22800000000001</v>
      </c>
      <c r="Q34" s="509">
        <f t="shared" si="12"/>
        <v>76.838999999999999</v>
      </c>
      <c r="R34" s="509">
        <f t="shared" si="12"/>
        <v>73.637</v>
      </c>
      <c r="S34" s="509">
        <f t="shared" si="12"/>
        <v>70.649000000000001</v>
      </c>
      <c r="T34" s="509">
        <f t="shared" si="12"/>
        <v>91.718000000000018</v>
      </c>
      <c r="U34" s="509">
        <f t="shared" si="12"/>
        <v>83.695999999999998</v>
      </c>
      <c r="V34" s="509">
        <f>V85</f>
        <v>51.979000000000006</v>
      </c>
      <c r="W34" s="673">
        <f>W85</f>
        <v>51.979000000000006</v>
      </c>
      <c r="X34" s="673">
        <f t="shared" si="12"/>
        <v>51.979000000000006</v>
      </c>
      <c r="Y34" s="673">
        <f t="shared" si="12"/>
        <v>51.979000000000006</v>
      </c>
      <c r="Z34" s="673">
        <f t="shared" si="12"/>
        <v>51.979000000000006</v>
      </c>
      <c r="AA34" s="673">
        <f t="shared" si="12"/>
        <v>51.979000000000006</v>
      </c>
      <c r="AB34" s="673">
        <f t="shared" si="12"/>
        <v>51.979000000000006</v>
      </c>
      <c r="AC34" s="971">
        <f t="shared" si="12"/>
        <v>51.979000000000006</v>
      </c>
      <c r="AE34" s="249"/>
      <c r="AF34" s="249"/>
      <c r="AG34" s="249"/>
      <c r="AH34" s="249"/>
      <c r="AI34" s="249"/>
      <c r="AJ34" s="249"/>
      <c r="AK34" s="249"/>
      <c r="AL34" s="249"/>
      <c r="AM34" s="249"/>
      <c r="AN34" s="249"/>
      <c r="AO34" s="249"/>
      <c r="AP34" s="249"/>
      <c r="AQ34" s="249"/>
      <c r="AR34" s="249"/>
      <c r="AS34" s="249"/>
      <c r="AT34" s="249"/>
      <c r="AU34" s="249"/>
      <c r="AV34" s="249"/>
      <c r="AW34" s="249"/>
      <c r="AX34" s="249"/>
      <c r="AY34" s="249"/>
      <c r="AZ34" s="249"/>
      <c r="BA34" s="249"/>
      <c r="BB34" s="249"/>
      <c r="BC34" s="249"/>
      <c r="BD34" s="249"/>
      <c r="BE34" s="249"/>
      <c r="BF34" s="249"/>
      <c r="BG34" s="249"/>
      <c r="BH34" s="249"/>
      <c r="BI34" s="249"/>
      <c r="BJ34" s="249"/>
      <c r="BK34" s="249"/>
      <c r="BL34" s="249"/>
      <c r="BM34" s="249"/>
      <c r="BN34" s="249"/>
      <c r="BO34" s="249"/>
      <c r="BP34" s="249"/>
      <c r="BQ34" s="249"/>
      <c r="BR34" s="249"/>
      <c r="BS34" s="249"/>
      <c r="BT34" s="249"/>
      <c r="BU34" s="249"/>
      <c r="BV34" s="249"/>
      <c r="BW34" s="249"/>
      <c r="BX34" s="249"/>
      <c r="BY34" s="249"/>
      <c r="BZ34" s="249"/>
      <c r="CA34" s="249"/>
      <c r="CB34" s="249"/>
      <c r="CC34" s="249"/>
      <c r="CD34" s="249"/>
      <c r="CE34" s="249"/>
      <c r="CF34" s="249"/>
      <c r="CG34" s="249"/>
      <c r="CH34" s="249"/>
      <c r="CI34" s="249"/>
      <c r="CJ34" s="249"/>
      <c r="CK34" s="249"/>
      <c r="CL34" s="249"/>
      <c r="CM34" s="249"/>
      <c r="CN34" s="249"/>
      <c r="CO34" s="249"/>
      <c r="CP34" s="249"/>
      <c r="CQ34" s="249"/>
      <c r="CR34" s="249"/>
      <c r="CS34" s="249"/>
      <c r="CT34" s="249"/>
      <c r="CU34" s="249"/>
      <c r="CV34" s="249"/>
    </row>
    <row r="35" spans="2:101" ht="15.65" customHeight="1" x14ac:dyDescent="0.35">
      <c r="B35" s="977" t="s">
        <v>796</v>
      </c>
      <c r="C35" s="249" t="s">
        <v>823</v>
      </c>
      <c r="D35" s="275">
        <v>30</v>
      </c>
      <c r="E35" s="245">
        <v>30</v>
      </c>
      <c r="F35" s="245">
        <v>30</v>
      </c>
      <c r="G35" s="245">
        <v>30</v>
      </c>
      <c r="H35" s="245">
        <v>30</v>
      </c>
      <c r="I35" s="245">
        <v>30</v>
      </c>
      <c r="J35" s="245">
        <v>30</v>
      </c>
      <c r="K35" s="241">
        <v>30.2</v>
      </c>
      <c r="L35" s="241">
        <v>30.2</v>
      </c>
      <c r="M35" s="241">
        <f>'Haver Pivoted'!GX89</f>
        <v>34.4</v>
      </c>
      <c r="N35" s="241">
        <f>'Haver Pivoted'!GY89</f>
        <v>34.4</v>
      </c>
      <c r="O35" s="241">
        <f>'Haver Pivoted'!GZ89</f>
        <v>218.933333333333</v>
      </c>
      <c r="P35" s="241">
        <f>'Haver Pivoted'!HA89</f>
        <v>223.13333333333301</v>
      </c>
      <c r="Q35" s="241">
        <f>'Haver Pivoted'!HB89</f>
        <v>94.3</v>
      </c>
      <c r="R35" s="241">
        <f>'Haver Pivoted'!HC89</f>
        <v>94.3</v>
      </c>
      <c r="S35" s="467">
        <f>'Haver Pivoted'!HD89</f>
        <v>94.3</v>
      </c>
      <c r="T35" s="467">
        <f>'Haver Pivoted'!HE89</f>
        <v>94.3</v>
      </c>
      <c r="U35" s="673">
        <v>34</v>
      </c>
      <c r="V35" s="509">
        <v>34</v>
      </c>
      <c r="W35" s="673">
        <v>34</v>
      </c>
      <c r="X35" s="673">
        <v>34</v>
      </c>
      <c r="Y35" s="673">
        <v>34</v>
      </c>
      <c r="Z35" s="673">
        <v>34</v>
      </c>
      <c r="AA35" s="673">
        <v>34</v>
      </c>
      <c r="AB35" s="673">
        <v>34</v>
      </c>
      <c r="AC35" s="971">
        <v>34</v>
      </c>
    </row>
    <row r="36" spans="2:101" ht="21.65" customHeight="1" x14ac:dyDescent="0.35">
      <c r="B36" s="256" t="s">
        <v>468</v>
      </c>
      <c r="C36" s="249"/>
      <c r="D36" s="276"/>
      <c r="E36" s="233"/>
      <c r="F36" s="233"/>
      <c r="G36" s="233"/>
      <c r="H36" s="509"/>
      <c r="I36" s="509"/>
      <c r="J36" s="509">
        <f>'PPP (expired)'!J53</f>
        <v>57.2</v>
      </c>
      <c r="K36" s="509">
        <f>'PPP (expired)'!K53</f>
        <v>81.2</v>
      </c>
      <c r="L36" s="509">
        <f>'PPP (expired)'!L53</f>
        <v>24.4</v>
      </c>
      <c r="M36" s="509">
        <f>'PPP (expired)'!M53</f>
        <v>11.7</v>
      </c>
      <c r="N36" s="509">
        <f>'PPP (expired)'!N53</f>
        <v>28.5</v>
      </c>
      <c r="O36" s="509">
        <f>'PPP (expired)'!O53</f>
        <v>18.8</v>
      </c>
      <c r="P36" s="509">
        <f>'PPP (expired)'!P53</f>
        <v>1.6</v>
      </c>
      <c r="Q36" s="509">
        <f>'PPP (expired)'!Q53</f>
        <v>0</v>
      </c>
      <c r="R36" s="509">
        <f>'PPP (expired)'!Q61</f>
        <v>0</v>
      </c>
      <c r="S36" s="509">
        <f>'PPP (expired)'!S53</f>
        <v>0</v>
      </c>
      <c r="T36" s="509">
        <f>'PPP (expired)'!T53</f>
        <v>0</v>
      </c>
      <c r="U36" s="509">
        <f>'PPP (expired)'!U53</f>
        <v>0</v>
      </c>
      <c r="V36" s="509">
        <f>'PPP (expired)'!V53</f>
        <v>0</v>
      </c>
      <c r="W36" s="673">
        <f>'PPP (expired)'!W53</f>
        <v>0</v>
      </c>
      <c r="X36" s="673">
        <f>'PPP (expired)'!X53</f>
        <v>0</v>
      </c>
      <c r="Y36" s="673">
        <f>'PPP (expired)'!Y53</f>
        <v>0</v>
      </c>
      <c r="Z36" s="673">
        <f>'PPP (expired)'!Z53</f>
        <v>0</v>
      </c>
      <c r="AA36" s="673">
        <f>'PPP (expired)'!AA53</f>
        <v>0</v>
      </c>
      <c r="AB36" s="673">
        <f>'PPP (expired)'!AB53</f>
        <v>0</v>
      </c>
      <c r="AC36" s="971">
        <f>'PPP (expired)'!AC53</f>
        <v>0</v>
      </c>
    </row>
    <row r="37" spans="2:101" ht="21.65" customHeight="1" x14ac:dyDescent="0.35">
      <c r="B37" s="291" t="s">
        <v>797</v>
      </c>
      <c r="C37" s="249"/>
      <c r="D37" s="599">
        <f t="shared" ref="D37:AC37" si="13">D109</f>
        <v>0</v>
      </c>
      <c r="E37" s="509">
        <f t="shared" si="13"/>
        <v>0</v>
      </c>
      <c r="F37" s="509">
        <f t="shared" si="13"/>
        <v>0</v>
      </c>
      <c r="G37" s="509">
        <f t="shared" si="13"/>
        <v>0</v>
      </c>
      <c r="H37" s="509">
        <f t="shared" si="13"/>
        <v>0</v>
      </c>
      <c r="I37" s="509">
        <f t="shared" si="13"/>
        <v>-6.9120000000000346</v>
      </c>
      <c r="J37" s="509">
        <f t="shared" si="13"/>
        <v>-37.9549999999997</v>
      </c>
      <c r="K37" s="509">
        <f t="shared" si="13"/>
        <v>85.725999999999658</v>
      </c>
      <c r="L37" s="509">
        <f t="shared" si="13"/>
        <v>18.405999999999722</v>
      </c>
      <c r="M37" s="509">
        <f t="shared" si="13"/>
        <v>20.282000000000153</v>
      </c>
      <c r="N37" s="509">
        <f t="shared" si="13"/>
        <v>-8.5988400000003367</v>
      </c>
      <c r="O37" s="509">
        <f t="shared" si="13"/>
        <v>-12.537493333333487</v>
      </c>
      <c r="P37" s="509">
        <f t="shared" si="13"/>
        <v>-32.38033333333351</v>
      </c>
      <c r="Q37" s="509">
        <f t="shared" si="13"/>
        <v>72.734879999999521</v>
      </c>
      <c r="R37" s="509">
        <f t="shared" si="13"/>
        <v>75.236879999999019</v>
      </c>
      <c r="S37" s="509">
        <f t="shared" si="13"/>
        <v>65.424879999999348</v>
      </c>
      <c r="T37" s="509">
        <f t="shared" si="13"/>
        <v>112.01587999999924</v>
      </c>
      <c r="U37" s="974">
        <f t="shared" si="13"/>
        <v>77.109026999999287</v>
      </c>
      <c r="V37" s="509">
        <f>V109</f>
        <v>91.266026999999212</v>
      </c>
      <c r="W37" s="673">
        <f t="shared" si="13"/>
        <v>91.266026999999212</v>
      </c>
      <c r="X37" s="673">
        <f t="shared" si="13"/>
        <v>91.266026999999212</v>
      </c>
      <c r="Y37" s="673">
        <f t="shared" si="13"/>
        <v>91.266026999999212</v>
      </c>
      <c r="Z37" s="673">
        <f t="shared" si="13"/>
        <v>91.266026999999212</v>
      </c>
      <c r="AA37" s="673">
        <f t="shared" si="13"/>
        <v>91.266026999999212</v>
      </c>
      <c r="AB37" s="673">
        <f t="shared" si="13"/>
        <v>91.266026999999212</v>
      </c>
      <c r="AC37" s="971">
        <f t="shared" si="13"/>
        <v>91.266026999999212</v>
      </c>
    </row>
    <row r="38" spans="2:101" ht="21" customHeight="1" x14ac:dyDescent="0.35">
      <c r="B38" s="272" t="s">
        <v>794</v>
      </c>
      <c r="C38" s="267"/>
      <c r="D38" s="721">
        <f t="shared" ref="D38:AC38" si="14">D33+D21</f>
        <v>0</v>
      </c>
      <c r="E38" s="639">
        <f t="shared" si="14"/>
        <v>0</v>
      </c>
      <c r="F38" s="639">
        <f t="shared" si="14"/>
        <v>0</v>
      </c>
      <c r="G38" s="639">
        <f t="shared" si="14"/>
        <v>0</v>
      </c>
      <c r="H38" s="639">
        <f t="shared" si="14"/>
        <v>0</v>
      </c>
      <c r="I38" s="639">
        <f t="shared" si="14"/>
        <v>0</v>
      </c>
      <c r="J38" s="639">
        <f t="shared" si="14"/>
        <v>160.9</v>
      </c>
      <c r="K38" s="639">
        <f t="shared" si="14"/>
        <v>58.4</v>
      </c>
      <c r="L38" s="639">
        <f t="shared" si="14"/>
        <v>34.5</v>
      </c>
      <c r="M38" s="639">
        <f t="shared" si="14"/>
        <v>21.4</v>
      </c>
      <c r="N38" s="639">
        <f t="shared" si="14"/>
        <v>13.3</v>
      </c>
      <c r="O38" s="639">
        <f t="shared" si="14"/>
        <v>21.804000000000041</v>
      </c>
      <c r="P38" s="572">
        <f t="shared" si="14"/>
        <v>51.919000000000011</v>
      </c>
      <c r="Q38" s="639">
        <f t="shared" si="14"/>
        <v>46.619</v>
      </c>
      <c r="R38" s="639">
        <f t="shared" si="14"/>
        <v>39.719000000000008</v>
      </c>
      <c r="S38" s="639">
        <f t="shared" si="14"/>
        <v>27.819000000000003</v>
      </c>
      <c r="T38" s="572">
        <f t="shared" si="14"/>
        <v>6.3160000000000007</v>
      </c>
      <c r="U38" s="572">
        <f t="shared" si="14"/>
        <v>1.4159999999999999</v>
      </c>
      <c r="V38" s="976">
        <f t="shared" si="14"/>
        <v>1.4159999999999999</v>
      </c>
      <c r="W38" s="574">
        <f t="shared" si="14"/>
        <v>1.4159999999999999</v>
      </c>
      <c r="X38" s="574">
        <f t="shared" si="14"/>
        <v>1.4790000000000001</v>
      </c>
      <c r="Y38" s="574">
        <f t="shared" si="14"/>
        <v>1.4790000000000001</v>
      </c>
      <c r="Z38" s="574">
        <f t="shared" si="14"/>
        <v>1.4790000000000001</v>
      </c>
      <c r="AA38" s="574">
        <f t="shared" si="14"/>
        <v>1.4790000000000001</v>
      </c>
      <c r="AB38" s="574">
        <f t="shared" si="14"/>
        <v>1.63</v>
      </c>
      <c r="AC38" s="574">
        <f t="shared" si="14"/>
        <v>1.63</v>
      </c>
    </row>
    <row r="39" spans="2:101" ht="44.9" customHeight="1" x14ac:dyDescent="0.35">
      <c r="B39" s="256" t="s">
        <v>801</v>
      </c>
      <c r="C39" s="249"/>
      <c r="D39" s="599">
        <f t="shared" ref="D39:AC39" si="15">D101</f>
        <v>1410.9</v>
      </c>
      <c r="E39" s="509">
        <f t="shared" si="15"/>
        <v>1470.7000000000003</v>
      </c>
      <c r="F39" s="509">
        <f t="shared" si="15"/>
        <v>1475.8999999999996</v>
      </c>
      <c r="G39" s="509">
        <f t="shared" si="15"/>
        <v>1482.6999999999998</v>
      </c>
      <c r="H39" s="509">
        <f t="shared" si="15"/>
        <v>1490.8000000000002</v>
      </c>
      <c r="I39" s="509">
        <f t="shared" si="15"/>
        <v>1542.4</v>
      </c>
      <c r="J39" s="509">
        <f t="shared" si="15"/>
        <v>1549.1000000000001</v>
      </c>
      <c r="K39" s="509">
        <f t="shared" si="15"/>
        <v>1555.8000000000002</v>
      </c>
      <c r="L39" s="509">
        <f t="shared" si="15"/>
        <v>1562.5000000000002</v>
      </c>
      <c r="M39" s="509">
        <f t="shared" si="15"/>
        <v>1586.8430000000003</v>
      </c>
      <c r="N39" s="509">
        <f t="shared" si="15"/>
        <v>1593.5430000000003</v>
      </c>
      <c r="O39" s="509">
        <f t="shared" si="15"/>
        <v>1600.2430000000004</v>
      </c>
      <c r="P39" s="509">
        <f t="shared" si="15"/>
        <v>1606.9430000000004</v>
      </c>
      <c r="Q39" s="509">
        <f t="shared" si="15"/>
        <v>1685.5501200000006</v>
      </c>
      <c r="R39" s="509">
        <f t="shared" si="15"/>
        <v>1692.2501200000006</v>
      </c>
      <c r="S39" s="509">
        <f t="shared" si="15"/>
        <v>1698.9501200000007</v>
      </c>
      <c r="T39" s="509">
        <f t="shared" si="15"/>
        <v>1705.6501200000007</v>
      </c>
      <c r="U39" s="509">
        <f t="shared" si="15"/>
        <v>1818.9789730000007</v>
      </c>
      <c r="V39" s="509">
        <f t="shared" si="15"/>
        <v>1825.6789730000007</v>
      </c>
      <c r="W39" s="673">
        <f t="shared" si="15"/>
        <v>1832.3789730000008</v>
      </c>
      <c r="X39" s="673">
        <f t="shared" si="15"/>
        <v>1839.0789730000008</v>
      </c>
      <c r="Y39" s="673">
        <f t="shared" si="15"/>
        <v>1888.4225177000008</v>
      </c>
      <c r="Z39" s="673">
        <f t="shared" si="15"/>
        <v>1895.1225177000008</v>
      </c>
      <c r="AA39" s="673">
        <f t="shared" si="15"/>
        <v>1901.8225177000008</v>
      </c>
      <c r="AB39" s="673">
        <f t="shared" si="15"/>
        <v>1908.5225177000009</v>
      </c>
      <c r="AC39" s="971">
        <f t="shared" si="15"/>
        <v>1944.8697280960009</v>
      </c>
    </row>
    <row r="40" spans="2:101" ht="44.9" customHeight="1" x14ac:dyDescent="0.35">
      <c r="B40" s="433" t="s">
        <v>1179</v>
      </c>
      <c r="D40" s="599"/>
      <c r="E40" s="509"/>
      <c r="F40" s="509"/>
      <c r="G40" s="509"/>
      <c r="H40" s="509"/>
      <c r="I40" s="509"/>
      <c r="J40" s="509"/>
      <c r="K40" s="509"/>
      <c r="L40" s="509"/>
      <c r="M40" s="509"/>
      <c r="N40" s="509"/>
      <c r="O40" s="509"/>
      <c r="P40" s="509"/>
      <c r="Q40" s="509"/>
      <c r="R40" s="509"/>
      <c r="S40" s="677">
        <f>'IRA and CHIPS'!E191</f>
        <v>-0.622</v>
      </c>
      <c r="T40" s="677">
        <f>'IRA and CHIPS'!F191</f>
        <v>21.89</v>
      </c>
      <c r="U40" s="677">
        <f>'IRA and CHIPS'!G191</f>
        <v>21.89</v>
      </c>
      <c r="V40" s="677">
        <f>'IRA and CHIPS'!H191</f>
        <v>21.89</v>
      </c>
      <c r="W40" s="688">
        <f>'IRA and CHIPS'!I191</f>
        <v>21.89</v>
      </c>
      <c r="X40" s="688">
        <f>'IRA and CHIPS'!J191</f>
        <v>15.439</v>
      </c>
      <c r="Y40" s="688">
        <f>'IRA and CHIPS'!K191</f>
        <v>15.439</v>
      </c>
      <c r="Z40" s="688">
        <f>'IRA and CHIPS'!L191</f>
        <v>15.439</v>
      </c>
      <c r="AA40" s="688">
        <f>'IRA and CHIPS'!M191</f>
        <v>15.439</v>
      </c>
      <c r="AB40" s="688">
        <f>'IRA and CHIPS'!N191</f>
        <v>16.966999999999999</v>
      </c>
      <c r="AC40" s="980">
        <f>'IRA and CHIPS'!O191</f>
        <v>16.966999999999999</v>
      </c>
    </row>
    <row r="41" spans="2:101" ht="31.4" customHeight="1" x14ac:dyDescent="0.35">
      <c r="B41" s="588" t="s">
        <v>798</v>
      </c>
      <c r="C41" s="267"/>
      <c r="D41" s="572">
        <f t="shared" ref="D41:R41" si="16">D39+SUM(D34:D37)+D40</f>
        <v>1440.9</v>
      </c>
      <c r="E41" s="572">
        <f t="shared" si="16"/>
        <v>1500.7000000000003</v>
      </c>
      <c r="F41" s="572">
        <f t="shared" si="16"/>
        <v>1505.8999999999996</v>
      </c>
      <c r="G41" s="572">
        <f t="shared" si="16"/>
        <v>1512.6999999999998</v>
      </c>
      <c r="H41" s="572">
        <f t="shared" si="16"/>
        <v>1520.8000000000002</v>
      </c>
      <c r="I41" s="572">
        <f t="shared" si="16"/>
        <v>1572.4</v>
      </c>
      <c r="J41" s="572">
        <f t="shared" si="16"/>
        <v>1649.3000000000004</v>
      </c>
      <c r="K41" s="572">
        <f t="shared" si="16"/>
        <v>1804.1</v>
      </c>
      <c r="L41" s="572">
        <f t="shared" si="16"/>
        <v>1687.3999999999999</v>
      </c>
      <c r="M41" s="572">
        <f t="shared" si="16"/>
        <v>1744.3000000000004</v>
      </c>
      <c r="N41" s="572">
        <f t="shared" si="16"/>
        <v>1748.4781600000001</v>
      </c>
      <c r="O41" s="572">
        <f t="shared" si="16"/>
        <v>1919.3298399999999</v>
      </c>
      <c r="P41" s="572">
        <f t="shared" si="16"/>
        <v>1899.5239999999999</v>
      </c>
      <c r="Q41" s="572">
        <f t="shared" si="16"/>
        <v>1929.424</v>
      </c>
      <c r="R41" s="572">
        <f t="shared" si="16"/>
        <v>1935.4239999999995</v>
      </c>
      <c r="S41" s="572">
        <f>S39+SUM(S34:S37)+S40</f>
        <v>1928.702</v>
      </c>
      <c r="T41" s="699">
        <f>T39+SUM(T34:T37)+T40</f>
        <v>2025.5740000000001</v>
      </c>
      <c r="U41" s="699">
        <f>U39+SUM(U34:U37)+U40</f>
        <v>2035.674</v>
      </c>
      <c r="V41" s="976">
        <f>V39+SUM(V34:V37)+V40</f>
        <v>2024.8140000000001</v>
      </c>
      <c r="W41" s="574">
        <f t="shared" ref="W41:AC41" si="17">W39+SUM(W34:W37)+W40</f>
        <v>2031.5140000000001</v>
      </c>
      <c r="X41" s="574">
        <f t="shared" si="17"/>
        <v>2031.7630000000001</v>
      </c>
      <c r="Y41" s="574">
        <f t="shared" si="17"/>
        <v>2081.1065446999996</v>
      </c>
      <c r="Z41" s="574">
        <f t="shared" si="17"/>
        <v>2087.8065446999999</v>
      </c>
      <c r="AA41" s="574">
        <f t="shared" si="17"/>
        <v>2094.5065446999997</v>
      </c>
      <c r="AB41" s="574">
        <f t="shared" si="17"/>
        <v>2102.7345447000002</v>
      </c>
      <c r="AC41" s="574">
        <f t="shared" si="17"/>
        <v>2139.0817550960001</v>
      </c>
    </row>
    <row r="42" spans="2:101" ht="31.4" customHeight="1" x14ac:dyDescent="0.35">
      <c r="B42" s="588"/>
      <c r="C42" s="267"/>
      <c r="D42" s="572"/>
      <c r="E42" s="572"/>
      <c r="F42" s="572"/>
      <c r="G42" s="572"/>
      <c r="H42" s="572"/>
      <c r="I42" s="572"/>
      <c r="J42" s="572"/>
      <c r="K42" s="572"/>
      <c r="L42" s="572"/>
      <c r="M42" s="572"/>
      <c r="N42" s="572"/>
      <c r="O42" s="572"/>
      <c r="P42" s="572"/>
      <c r="Q42" s="572"/>
      <c r="R42" s="572"/>
      <c r="S42" s="572"/>
      <c r="T42" s="572"/>
      <c r="U42" s="572"/>
      <c r="V42" s="572">
        <f>V12-SUM(V14,V17,V18,V21,V32,V33,V34,V35)+V40</f>
        <v>1938.835</v>
      </c>
      <c r="W42" s="574"/>
      <c r="X42" s="574"/>
      <c r="Y42" s="574"/>
      <c r="Z42" s="574"/>
      <c r="AA42" s="574"/>
      <c r="AB42" s="574"/>
      <c r="AC42" s="574"/>
    </row>
    <row r="43" spans="2:101" ht="31.4" customHeight="1" x14ac:dyDescent="0.35">
      <c r="B43" s="1410" t="s">
        <v>471</v>
      </c>
      <c r="C43" s="1411"/>
      <c r="D43" s="584"/>
      <c r="E43" s="585"/>
      <c r="F43" s="585"/>
      <c r="G43" s="585"/>
      <c r="H43" s="585"/>
      <c r="I43" s="585"/>
      <c r="J43" s="585"/>
      <c r="K43" s="585"/>
      <c r="L43" s="585"/>
      <c r="M43" s="585"/>
      <c r="N43" s="585"/>
      <c r="O43" s="585"/>
      <c r="P43" s="585"/>
      <c r="Q43" s="585"/>
      <c r="R43" s="585"/>
      <c r="S43" s="585"/>
      <c r="T43" s="572"/>
      <c r="U43" s="585"/>
      <c r="V43" s="572">
        <f>V39+V37</f>
        <v>1916.9449999999999</v>
      </c>
      <c r="W43" s="574"/>
      <c r="X43" s="574"/>
      <c r="Y43" s="574"/>
      <c r="Z43" s="574"/>
      <c r="AA43" s="574"/>
      <c r="AB43" s="574"/>
      <c r="AC43" s="968"/>
    </row>
    <row r="44" spans="2:101" x14ac:dyDescent="0.35">
      <c r="B44" s="291" t="s">
        <v>803</v>
      </c>
      <c r="C44" s="249" t="s">
        <v>472</v>
      </c>
      <c r="D44" s="276">
        <f>'Haver Pivoted'!GO37</f>
        <v>733.6</v>
      </c>
      <c r="E44" s="233">
        <f>'Haver Pivoted'!GP37</f>
        <v>744.3</v>
      </c>
      <c r="F44" s="233">
        <f>'Haver Pivoted'!GQ37</f>
        <v>762.3</v>
      </c>
      <c r="G44" s="233">
        <f>'Haver Pivoted'!GR37</f>
        <v>772.2</v>
      </c>
      <c r="H44" s="233">
        <f>'Haver Pivoted'!GS37</f>
        <v>772.1</v>
      </c>
      <c r="I44" s="233">
        <f>'Haver Pivoted'!GT37</f>
        <v>760.8</v>
      </c>
      <c r="J44" s="233">
        <f>'Haver Pivoted'!GU37</f>
        <v>811.3</v>
      </c>
      <c r="K44" s="233">
        <f>'Haver Pivoted'!GV37</f>
        <v>850.3</v>
      </c>
      <c r="L44" s="233">
        <f>'Haver Pivoted'!GW37</f>
        <v>840.3</v>
      </c>
      <c r="M44" s="233">
        <f>'Haver Pivoted'!GX37</f>
        <v>869.7</v>
      </c>
      <c r="N44" s="233">
        <f>'Haver Pivoted'!GY37</f>
        <v>913.8</v>
      </c>
      <c r="O44" s="233">
        <f>'Haver Pivoted'!GZ37</f>
        <v>923.8</v>
      </c>
      <c r="P44" s="233">
        <f>'Haver Pivoted'!HA37</f>
        <v>923.5</v>
      </c>
      <c r="Q44" s="233">
        <f>'Haver Pivoted'!HB37</f>
        <v>973.6</v>
      </c>
      <c r="R44" s="233">
        <f>'Haver Pivoted'!HC37</f>
        <v>1010.5</v>
      </c>
      <c r="S44" s="214">
        <f>'Haver Pivoted'!HD37</f>
        <v>1032.5999999999999</v>
      </c>
      <c r="T44" s="214">
        <f>'Haver Pivoted'!HE37</f>
        <v>1096.5999999999999</v>
      </c>
      <c r="U44" s="214">
        <f>'Haver Pivoted'!HF37</f>
        <v>1083.2</v>
      </c>
      <c r="V44" s="214">
        <f>'Haver Pivoted'!HG37</f>
        <v>1111.0999999999999</v>
      </c>
      <c r="W44" s="294"/>
      <c r="X44" s="294"/>
      <c r="Y44" s="294"/>
      <c r="Z44" s="294"/>
      <c r="AA44" s="294"/>
      <c r="AB44" s="294"/>
      <c r="AC44" s="745"/>
    </row>
    <row r="45" spans="2:101" x14ac:dyDescent="0.35">
      <c r="B45" s="571" t="s">
        <v>209</v>
      </c>
      <c r="C45" s="249"/>
      <c r="D45" s="599">
        <f>Medicaid!D26</f>
        <v>589.5</v>
      </c>
      <c r="E45" s="509">
        <f>Medicaid!E26</f>
        <v>598.70000000000005</v>
      </c>
      <c r="F45" s="509">
        <f>Medicaid!F26</f>
        <v>614.4</v>
      </c>
      <c r="G45" s="509">
        <f>Medicaid!G26</f>
        <v>622.4</v>
      </c>
      <c r="H45" s="509">
        <f>Medicaid!H26</f>
        <v>620.6</v>
      </c>
      <c r="I45" s="509">
        <f>Medicaid!I26</f>
        <v>606.5</v>
      </c>
      <c r="J45" s="509">
        <f>Medicaid!J26</f>
        <v>654.6</v>
      </c>
      <c r="K45" s="509">
        <f>Medicaid!K26</f>
        <v>690.8</v>
      </c>
      <c r="L45" s="509">
        <f>Medicaid!L26</f>
        <v>678.6</v>
      </c>
      <c r="M45" s="509">
        <f>Medicaid!M26</f>
        <v>704.9</v>
      </c>
      <c r="N45" s="509">
        <f>Medicaid!N26</f>
        <v>745.6</v>
      </c>
      <c r="O45" s="509">
        <f>Medicaid!O26</f>
        <v>749.2</v>
      </c>
      <c r="P45" s="509">
        <f>Medicaid!P26</f>
        <v>746.3</v>
      </c>
      <c r="Q45" s="509">
        <f>Medicaid!Q26</f>
        <v>791.9</v>
      </c>
      <c r="R45" s="509">
        <f>Medicaid!R26</f>
        <v>819.2</v>
      </c>
      <c r="S45" s="214">
        <f>Medicaid!S26</f>
        <v>819</v>
      </c>
      <c r="T45" s="509">
        <f>Medicaid!T26</f>
        <v>827.5</v>
      </c>
      <c r="U45" s="509">
        <f>Medicaid!U26</f>
        <v>877.6</v>
      </c>
      <c r="V45" s="509">
        <f>Medicaid!V26</f>
        <v>911.6</v>
      </c>
      <c r="W45" s="673">
        <f>Medicaid!W26</f>
        <v>867.2</v>
      </c>
      <c r="X45" s="673">
        <f>Medicaid!X26</f>
        <v>856.2</v>
      </c>
      <c r="Y45" s="673">
        <f>Medicaid!Y26</f>
        <v>904.8</v>
      </c>
      <c r="Z45" s="673">
        <f>Medicaid!Z26</f>
        <v>924.7</v>
      </c>
      <c r="AA45" s="673">
        <f>Medicaid!AA26</f>
        <v>932.4</v>
      </c>
      <c r="AB45" s="673">
        <f>Medicaid!AB26</f>
        <v>944.8</v>
      </c>
      <c r="AC45" s="971">
        <f>Medicaid!AC26</f>
        <v>957.6</v>
      </c>
    </row>
    <row r="46" spans="2:101" ht="14.9" customHeight="1" x14ac:dyDescent="0.35">
      <c r="B46" s="588" t="s">
        <v>804</v>
      </c>
      <c r="C46" s="267"/>
      <c r="D46" s="598">
        <f>D44-D45</f>
        <v>144.10000000000002</v>
      </c>
      <c r="E46" s="572">
        <f t="shared" ref="E46:O46" si="18">E44-E45</f>
        <v>145.59999999999991</v>
      </c>
      <c r="F46" s="572">
        <f t="shared" si="18"/>
        <v>147.89999999999998</v>
      </c>
      <c r="G46" s="572">
        <f t="shared" si="18"/>
        <v>149.80000000000007</v>
      </c>
      <c r="H46" s="572">
        <f t="shared" si="18"/>
        <v>151.5</v>
      </c>
      <c r="I46" s="572">
        <f t="shared" si="18"/>
        <v>154.29999999999995</v>
      </c>
      <c r="J46" s="572">
        <f t="shared" si="18"/>
        <v>156.69999999999993</v>
      </c>
      <c r="K46" s="572">
        <f t="shared" si="18"/>
        <v>159.5</v>
      </c>
      <c r="L46" s="572">
        <f t="shared" si="18"/>
        <v>161.69999999999993</v>
      </c>
      <c r="M46" s="572">
        <f t="shared" si="18"/>
        <v>164.80000000000007</v>
      </c>
      <c r="N46" s="572">
        <f t="shared" si="18"/>
        <v>168.19999999999993</v>
      </c>
      <c r="O46" s="572">
        <f t="shared" si="18"/>
        <v>174.59999999999991</v>
      </c>
      <c r="P46" s="572">
        <f>P44-P45</f>
        <v>177.20000000000005</v>
      </c>
      <c r="Q46" s="572">
        <f>Q44-Q45</f>
        <v>181.70000000000005</v>
      </c>
      <c r="R46" s="572">
        <f>R44-R45</f>
        <v>191.29999999999995</v>
      </c>
      <c r="S46" s="214">
        <f>S44-S45</f>
        <v>213.59999999999991</v>
      </c>
      <c r="T46" s="214">
        <f>T44-T45</f>
        <v>269.09999999999991</v>
      </c>
      <c r="U46" s="572">
        <f>T46*(1+AVERAGE($F$48:$I$48))+U47</f>
        <v>203.03380700109631</v>
      </c>
      <c r="V46" s="976">
        <f>U46*(1+AVERAGE($F$48:$I$48))+V47</f>
        <v>206.0018330562437</v>
      </c>
      <c r="W46" s="574">
        <f t="shared" ref="W46:AC46" si="19">V46*(1+AVERAGE($F$48:$I$48))</f>
        <v>209.01324685451698</v>
      </c>
      <c r="X46" s="574">
        <f t="shared" si="19"/>
        <v>212.06868265458453</v>
      </c>
      <c r="Y46" s="574">
        <f t="shared" si="19"/>
        <v>215.16878398695127</v>
      </c>
      <c r="Z46" s="574">
        <f t="shared" si="19"/>
        <v>218.31420378949775</v>
      </c>
      <c r="AA46" s="574">
        <f t="shared" si="19"/>
        <v>221.50560454500092</v>
      </c>
      <c r="AB46" s="574">
        <f t="shared" si="19"/>
        <v>224.74365842066501</v>
      </c>
      <c r="AC46" s="968">
        <f t="shared" si="19"/>
        <v>228.02904740969223</v>
      </c>
    </row>
    <row r="47" spans="2:101" ht="14.9" customHeight="1" x14ac:dyDescent="0.35">
      <c r="B47" s="588" t="s">
        <v>1688</v>
      </c>
      <c r="C47" s="267"/>
      <c r="D47" s="598"/>
      <c r="E47" s="572"/>
      <c r="F47" s="572"/>
      <c r="G47" s="572"/>
      <c r="H47" s="572"/>
      <c r="I47" s="572"/>
      <c r="J47" s="572"/>
      <c r="K47" s="572"/>
      <c r="L47" s="572"/>
      <c r="M47" s="572"/>
      <c r="N47" s="572"/>
      <c r="O47" s="572"/>
      <c r="P47" s="572"/>
      <c r="Q47" s="572"/>
      <c r="R47" s="572"/>
      <c r="S47" s="214"/>
      <c r="T47" s="572"/>
      <c r="U47" s="572">
        <v>-70</v>
      </c>
      <c r="V47" s="572"/>
      <c r="W47" s="574"/>
      <c r="X47" s="574"/>
      <c r="Y47" s="574"/>
      <c r="Z47" s="574"/>
      <c r="AA47" s="574"/>
      <c r="AB47" s="574"/>
      <c r="AC47" s="968"/>
    </row>
    <row r="48" spans="2:101" x14ac:dyDescent="0.35">
      <c r="B48" s="718" t="s">
        <v>805</v>
      </c>
      <c r="C48" s="370"/>
      <c r="D48" s="600"/>
      <c r="E48" s="587">
        <f>E46/D46-1</f>
        <v>1.0409437890353201E-2</v>
      </c>
      <c r="F48" s="587">
        <f t="shared" ref="F48:N48" si="20">F46/E46-1</f>
        <v>1.5796703296703685E-2</v>
      </c>
      <c r="G48" s="587">
        <f t="shared" si="20"/>
        <v>1.2846517917512346E-2</v>
      </c>
      <c r="H48" s="587">
        <f t="shared" si="20"/>
        <v>1.1348464619492127E-2</v>
      </c>
      <c r="I48" s="587">
        <f t="shared" si="20"/>
        <v>1.8481848184818128E-2</v>
      </c>
      <c r="J48" s="587">
        <f t="shared" si="20"/>
        <v>1.5554115359688758E-2</v>
      </c>
      <c r="K48" s="587">
        <f t="shared" si="20"/>
        <v>1.7868538608807105E-2</v>
      </c>
      <c r="L48" s="587">
        <f t="shared" si="20"/>
        <v>1.3793103448275446E-2</v>
      </c>
      <c r="M48" s="587">
        <f t="shared" si="20"/>
        <v>1.9171304885591489E-2</v>
      </c>
      <c r="N48" s="587">
        <f t="shared" si="20"/>
        <v>2.0631067961164318E-2</v>
      </c>
      <c r="O48" s="587">
        <f>O46/N46-1</f>
        <v>3.8049940546967864E-2</v>
      </c>
      <c r="P48" s="587">
        <f t="shared" ref="P48:S48" si="21">P46/O46-1</f>
        <v>1.4891179839634283E-2</v>
      </c>
      <c r="Q48" s="587">
        <f t="shared" si="21"/>
        <v>2.5395033860045046E-2</v>
      </c>
      <c r="R48" s="587">
        <f t="shared" si="21"/>
        <v>5.2834342322509054E-2</v>
      </c>
      <c r="S48" s="658">
        <f t="shared" si="21"/>
        <v>0.11657083115525335</v>
      </c>
      <c r="T48" s="573"/>
      <c r="U48" s="573"/>
      <c r="V48" s="573"/>
      <c r="W48" s="595"/>
      <c r="X48" s="595"/>
      <c r="Y48" s="595"/>
      <c r="Z48" s="595"/>
      <c r="AA48" s="595"/>
      <c r="AB48" s="595"/>
      <c r="AC48" s="967"/>
    </row>
    <row r="51" spans="2:39" x14ac:dyDescent="0.35">
      <c r="B51" s="1357"/>
      <c r="C51" s="1357"/>
      <c r="U51" s="233"/>
      <c r="V51" s="233"/>
      <c r="W51" s="233"/>
      <c r="X51" s="233"/>
      <c r="Y51" s="233"/>
      <c r="Z51" s="233"/>
      <c r="AA51" s="233"/>
      <c r="AB51" s="233"/>
      <c r="AC51" s="233"/>
    </row>
    <row r="52" spans="2:39" x14ac:dyDescent="0.35">
      <c r="B52" s="234"/>
      <c r="C52" s="249"/>
      <c r="U52" s="509"/>
      <c r="V52" s="509">
        <f>V40+V39+V34+V35+V36+V37</f>
        <v>2024.8140000000001</v>
      </c>
      <c r="W52" s="509"/>
      <c r="X52" s="509"/>
      <c r="Y52" s="509"/>
      <c r="Z52" s="509"/>
      <c r="AA52" s="509"/>
      <c r="AB52" s="509"/>
      <c r="AC52" s="509"/>
      <c r="AD52" s="532"/>
      <c r="AE52" s="532"/>
      <c r="AF52" s="532"/>
      <c r="AG52" s="532"/>
      <c r="AH52" s="532"/>
      <c r="AI52" s="532"/>
      <c r="AJ52" s="532"/>
      <c r="AK52" s="532"/>
      <c r="AL52" s="532"/>
      <c r="AM52" s="532"/>
    </row>
    <row r="53" spans="2:39" x14ac:dyDescent="0.35">
      <c r="B53" s="234"/>
      <c r="C53" s="249"/>
      <c r="U53" s="233"/>
      <c r="V53" s="233"/>
      <c r="W53" s="233"/>
      <c r="X53" s="233"/>
      <c r="Y53" s="233"/>
      <c r="Z53" s="233"/>
      <c r="AA53" s="233"/>
      <c r="AB53" s="233"/>
      <c r="AC53" s="233"/>
      <c r="AD53" s="532"/>
      <c r="AE53" s="532"/>
      <c r="AF53" s="532"/>
      <c r="AG53" s="532"/>
      <c r="AH53" s="532"/>
      <c r="AI53" s="532"/>
      <c r="AJ53" s="532"/>
      <c r="AK53" s="532"/>
      <c r="AL53" s="532"/>
      <c r="AM53" s="532"/>
    </row>
    <row r="54" spans="2:39" ht="28.5" customHeight="1" x14ac:dyDescent="0.35">
      <c r="B54" s="257"/>
      <c r="C54" s="249"/>
      <c r="U54" s="509"/>
      <c r="V54" s="509"/>
      <c r="W54" s="509"/>
      <c r="X54" s="509"/>
      <c r="Y54" s="509"/>
      <c r="Z54" s="509"/>
      <c r="AA54" s="509"/>
      <c r="AB54" s="509"/>
      <c r="AC54" s="509"/>
      <c r="AD54" s="532"/>
      <c r="AE54" s="532"/>
      <c r="AF54" s="532"/>
      <c r="AG54" s="532"/>
      <c r="AH54" s="532"/>
      <c r="AI54" s="532"/>
      <c r="AJ54" s="532"/>
      <c r="AK54" s="532"/>
      <c r="AL54" s="532"/>
      <c r="AM54" s="532"/>
    </row>
    <row r="55" spans="2:39" x14ac:dyDescent="0.35">
      <c r="B55" s="257"/>
      <c r="C55" s="249"/>
      <c r="U55" s="509"/>
      <c r="V55" s="509"/>
      <c r="W55" s="509"/>
      <c r="X55" s="509"/>
      <c r="Y55" s="509"/>
      <c r="Z55" s="509"/>
      <c r="AA55" s="509"/>
      <c r="AB55" s="509"/>
      <c r="AC55" s="509"/>
      <c r="AD55" s="532"/>
      <c r="AE55" s="532"/>
      <c r="AF55" s="532"/>
      <c r="AG55" s="532"/>
      <c r="AH55" s="532"/>
      <c r="AI55" s="532"/>
      <c r="AJ55" s="532"/>
      <c r="AK55" s="532"/>
      <c r="AL55" s="532"/>
      <c r="AM55" s="532"/>
    </row>
    <row r="56" spans="2:39" x14ac:dyDescent="0.35">
      <c r="B56" s="234"/>
      <c r="C56" s="249"/>
      <c r="U56" s="509"/>
      <c r="V56" s="509"/>
      <c r="W56" s="509"/>
      <c r="X56" s="509"/>
      <c r="Y56" s="509"/>
      <c r="Z56" s="509"/>
      <c r="AA56" s="509"/>
      <c r="AB56" s="509"/>
      <c r="AC56" s="509"/>
      <c r="AD56" s="532"/>
      <c r="AE56" s="532"/>
      <c r="AF56" s="532"/>
      <c r="AG56" s="532"/>
      <c r="AH56" s="532"/>
      <c r="AI56" s="532"/>
      <c r="AJ56" s="532"/>
      <c r="AK56" s="532"/>
      <c r="AL56" s="532"/>
      <c r="AM56" s="532"/>
    </row>
    <row r="57" spans="2:39" x14ac:dyDescent="0.35">
      <c r="B57" s="262"/>
      <c r="C57" s="267"/>
      <c r="U57" s="572"/>
      <c r="V57" s="572"/>
      <c r="W57" s="572"/>
      <c r="X57" s="572"/>
      <c r="Y57" s="572"/>
      <c r="Z57" s="572"/>
      <c r="AA57" s="572"/>
      <c r="AB57" s="572"/>
      <c r="AC57" s="572"/>
      <c r="AD57" s="532"/>
      <c r="AE57" s="532"/>
      <c r="AF57" s="532"/>
      <c r="AG57" s="532"/>
      <c r="AH57" s="532"/>
      <c r="AI57" s="532"/>
      <c r="AJ57" s="532"/>
      <c r="AK57" s="532"/>
      <c r="AL57" s="532"/>
      <c r="AM57" s="532"/>
    </row>
    <row r="58" spans="2:39" x14ac:dyDescent="0.35">
      <c r="B58" s="257"/>
      <c r="C58" s="689"/>
      <c r="U58" s="509"/>
      <c r="V58" s="509"/>
      <c r="W58" s="509"/>
      <c r="X58" s="509"/>
      <c r="Y58" s="509"/>
      <c r="Z58" s="509"/>
      <c r="AA58" s="509"/>
      <c r="AB58" s="509"/>
      <c r="AC58" s="509"/>
      <c r="AD58" s="532"/>
      <c r="AE58" s="532"/>
      <c r="AF58" s="532"/>
      <c r="AG58" s="532"/>
      <c r="AH58" s="532"/>
      <c r="AI58" s="532"/>
      <c r="AJ58" s="532"/>
      <c r="AK58" s="532"/>
      <c r="AL58" s="532"/>
      <c r="AM58" s="532"/>
    </row>
    <row r="59" spans="2:39" x14ac:dyDescent="0.35">
      <c r="B59" s="257"/>
      <c r="C59" s="689"/>
      <c r="U59" s="245"/>
      <c r="V59" s="245"/>
      <c r="W59" s="245"/>
      <c r="X59" s="245"/>
      <c r="Y59" s="245"/>
      <c r="Z59" s="245"/>
      <c r="AA59" s="245"/>
      <c r="AB59" s="245"/>
      <c r="AC59" s="245"/>
      <c r="AD59" s="532"/>
      <c r="AE59" s="532"/>
      <c r="AF59" s="532"/>
      <c r="AG59" s="532"/>
      <c r="AH59" s="532"/>
      <c r="AI59" s="532"/>
      <c r="AJ59" s="532"/>
      <c r="AK59" s="532"/>
      <c r="AL59" s="532"/>
      <c r="AM59" s="532"/>
    </row>
    <row r="60" spans="2:39" x14ac:dyDescent="0.35">
      <c r="B60" s="257"/>
      <c r="C60" s="249"/>
      <c r="U60" s="509"/>
      <c r="V60" s="509"/>
      <c r="W60" s="509"/>
      <c r="X60" s="509"/>
      <c r="Y60" s="509"/>
      <c r="Z60" s="509"/>
      <c r="AA60" s="509"/>
      <c r="AB60" s="509"/>
      <c r="AC60" s="509"/>
      <c r="AD60" s="532"/>
      <c r="AE60" s="532"/>
      <c r="AF60" s="532"/>
      <c r="AG60" s="532"/>
      <c r="AH60" s="532"/>
      <c r="AI60" s="532"/>
      <c r="AJ60" s="532"/>
      <c r="AK60" s="532"/>
      <c r="AL60" s="532"/>
      <c r="AM60" s="532"/>
    </row>
    <row r="61" spans="2:39" x14ac:dyDescent="0.35">
      <c r="B61" s="257"/>
      <c r="C61" s="249"/>
      <c r="U61" s="509"/>
      <c r="V61" s="509"/>
      <c r="W61" s="509"/>
      <c r="X61" s="509"/>
      <c r="Y61" s="509"/>
      <c r="Z61" s="509"/>
      <c r="AA61" s="509"/>
      <c r="AB61" s="509"/>
      <c r="AC61" s="509"/>
      <c r="AD61" s="532"/>
      <c r="AE61" s="532"/>
      <c r="AF61" s="532"/>
      <c r="AG61" s="532"/>
      <c r="AH61" s="532"/>
      <c r="AI61" s="532"/>
      <c r="AJ61" s="532"/>
      <c r="AK61" s="532"/>
      <c r="AL61" s="532"/>
      <c r="AM61" s="532"/>
    </row>
    <row r="62" spans="2:39" x14ac:dyDescent="0.35">
      <c r="B62" s="257"/>
      <c r="C62" s="249"/>
      <c r="U62" s="509"/>
      <c r="V62" s="509"/>
      <c r="W62" s="509"/>
      <c r="X62" s="509"/>
      <c r="Y62" s="509"/>
      <c r="Z62" s="509"/>
      <c r="AA62" s="509"/>
      <c r="AB62" s="509"/>
      <c r="AC62" s="509"/>
      <c r="AD62" s="532"/>
      <c r="AE62" s="532"/>
      <c r="AF62" s="532"/>
      <c r="AG62" s="532"/>
      <c r="AH62" s="532"/>
      <c r="AI62" s="532"/>
      <c r="AJ62" s="532"/>
      <c r="AK62" s="532"/>
      <c r="AL62" s="532"/>
      <c r="AM62" s="532"/>
    </row>
    <row r="63" spans="2:39" x14ac:dyDescent="0.35">
      <c r="B63" s="234"/>
      <c r="C63" s="249"/>
      <c r="U63" s="509"/>
      <c r="V63" s="509"/>
      <c r="W63" s="509"/>
      <c r="X63" s="509"/>
      <c r="Y63" s="509"/>
      <c r="Z63" s="509"/>
      <c r="AA63" s="509"/>
      <c r="AB63" s="509"/>
      <c r="AC63" s="509"/>
      <c r="AD63" s="532"/>
      <c r="AE63" s="532"/>
      <c r="AF63" s="532"/>
      <c r="AG63" s="532"/>
      <c r="AH63" s="532"/>
      <c r="AI63" s="532"/>
      <c r="AJ63" s="532"/>
      <c r="AK63" s="532"/>
      <c r="AL63" s="532"/>
      <c r="AM63" s="532"/>
    </row>
    <row r="64" spans="2:39" x14ac:dyDescent="0.35">
      <c r="B64" s="262"/>
      <c r="C64" s="267"/>
      <c r="U64" s="639"/>
      <c r="V64" s="639"/>
      <c r="W64" s="639"/>
      <c r="X64" s="639"/>
      <c r="Y64" s="639"/>
      <c r="Z64" s="639"/>
      <c r="AA64" s="639"/>
      <c r="AB64" s="639"/>
      <c r="AC64" s="639"/>
      <c r="AD64" s="532"/>
      <c r="AE64" s="532"/>
      <c r="AF64" s="532"/>
      <c r="AG64" s="532"/>
      <c r="AH64" s="532"/>
      <c r="AI64" s="532"/>
      <c r="AJ64" s="532"/>
      <c r="AK64" s="532"/>
      <c r="AL64" s="532"/>
      <c r="AM64" s="532"/>
    </row>
    <row r="65" spans="2:39" ht="28.5" customHeight="1" x14ac:dyDescent="0.35">
      <c r="B65" s="257"/>
      <c r="C65" s="249"/>
      <c r="U65" s="509"/>
      <c r="V65" s="509"/>
      <c r="W65" s="509"/>
      <c r="X65" s="509"/>
      <c r="Y65" s="509"/>
      <c r="Z65" s="509"/>
      <c r="AA65" s="509"/>
      <c r="AB65" s="509"/>
      <c r="AC65" s="509"/>
      <c r="AD65" s="532"/>
      <c r="AE65" s="532"/>
      <c r="AF65" s="532"/>
      <c r="AG65" s="532"/>
      <c r="AH65" s="532"/>
      <c r="AI65" s="532"/>
      <c r="AJ65" s="532"/>
      <c r="AK65" s="532"/>
      <c r="AL65" s="532"/>
      <c r="AM65" s="532"/>
    </row>
    <row r="66" spans="2:39" x14ac:dyDescent="0.35">
      <c r="B66" s="390"/>
      <c r="C66" s="56"/>
      <c r="U66" s="677"/>
      <c r="V66" s="677"/>
      <c r="W66" s="677"/>
      <c r="X66" s="677"/>
      <c r="Y66" s="677"/>
      <c r="Z66" s="677"/>
      <c r="AA66" s="677"/>
      <c r="AB66" s="677"/>
      <c r="AC66" s="677"/>
      <c r="AD66" s="532"/>
      <c r="AE66" s="532"/>
      <c r="AF66" s="532"/>
      <c r="AG66" s="532"/>
      <c r="AH66" s="532"/>
      <c r="AI66" s="532"/>
      <c r="AJ66" s="532"/>
      <c r="AK66" s="532"/>
      <c r="AL66" s="532"/>
      <c r="AM66" s="532"/>
    </row>
    <row r="67" spans="2:39" x14ac:dyDescent="0.35">
      <c r="B67" s="267"/>
      <c r="C67" s="267"/>
      <c r="U67" s="572"/>
      <c r="V67" s="572"/>
      <c r="W67" s="572"/>
      <c r="X67" s="572"/>
      <c r="Y67" s="572"/>
      <c r="Z67" s="572"/>
      <c r="AA67" s="572"/>
      <c r="AB67" s="572"/>
      <c r="AC67" s="572"/>
      <c r="AD67" s="532"/>
      <c r="AE67" s="532"/>
      <c r="AF67" s="532"/>
      <c r="AG67" s="532"/>
      <c r="AH67" s="532"/>
      <c r="AI67" s="532"/>
      <c r="AJ67" s="532"/>
      <c r="AK67" s="532"/>
      <c r="AL67" s="532"/>
      <c r="AM67" s="532"/>
    </row>
    <row r="68" spans="2:39" x14ac:dyDescent="0.35">
      <c r="B68" s="1357"/>
      <c r="C68" s="1357"/>
      <c r="U68" s="572"/>
      <c r="V68" s="572"/>
      <c r="W68" s="572"/>
      <c r="X68" s="572"/>
      <c r="Y68" s="572"/>
      <c r="Z68" s="572"/>
      <c r="AA68" s="572"/>
      <c r="AB68" s="572"/>
      <c r="AC68" s="572"/>
      <c r="AD68" s="532"/>
      <c r="AE68" s="532"/>
      <c r="AF68" s="532"/>
      <c r="AG68" s="532"/>
      <c r="AH68" s="532"/>
      <c r="AI68" s="532"/>
      <c r="AJ68" s="532"/>
      <c r="AK68" s="532"/>
      <c r="AL68" s="532"/>
      <c r="AM68" s="532"/>
    </row>
    <row r="69" spans="2:39" x14ac:dyDescent="0.35">
      <c r="B69" s="234"/>
      <c r="C69" s="249"/>
      <c r="U69" s="249"/>
      <c r="V69" s="249"/>
      <c r="W69" s="249"/>
      <c r="X69" s="249"/>
      <c r="Y69" s="249"/>
      <c r="Z69" s="249"/>
      <c r="AA69" s="249"/>
      <c r="AB69" s="249"/>
      <c r="AC69" s="249"/>
      <c r="AD69" s="532"/>
      <c r="AE69" s="532"/>
      <c r="AF69" s="532"/>
      <c r="AG69" s="532"/>
      <c r="AH69" s="532"/>
      <c r="AI69" s="532"/>
      <c r="AJ69" s="532"/>
      <c r="AK69" s="532"/>
      <c r="AL69" s="532"/>
      <c r="AM69" s="532"/>
    </row>
    <row r="70" spans="2:39" x14ac:dyDescent="0.35">
      <c r="B70" s="249"/>
      <c r="C70" s="249"/>
      <c r="U70" s="509"/>
      <c r="V70" s="509"/>
      <c r="W70" s="509"/>
      <c r="X70" s="509"/>
      <c r="Y70" s="509"/>
      <c r="Z70" s="509"/>
      <c r="AA70" s="509"/>
      <c r="AB70" s="509"/>
      <c r="AC70" s="509"/>
      <c r="AD70" s="532"/>
      <c r="AE70" s="532"/>
      <c r="AF70" s="532"/>
      <c r="AG70" s="532"/>
      <c r="AH70" s="532"/>
      <c r="AI70" s="532"/>
      <c r="AJ70" s="532"/>
      <c r="AK70" s="532"/>
      <c r="AL70" s="532"/>
      <c r="AM70" s="532"/>
    </row>
    <row r="71" spans="2:39" x14ac:dyDescent="0.35">
      <c r="B71" s="267"/>
      <c r="C71" s="267"/>
      <c r="U71" s="572"/>
      <c r="V71" s="572"/>
      <c r="W71" s="572"/>
      <c r="X71" s="572"/>
      <c r="Y71" s="572"/>
      <c r="Z71" s="572"/>
      <c r="AA71" s="572"/>
      <c r="AB71" s="572"/>
      <c r="AC71" s="572"/>
      <c r="AD71" s="532"/>
      <c r="AE71" s="532"/>
      <c r="AF71" s="532"/>
      <c r="AG71" s="532"/>
      <c r="AH71" s="532"/>
      <c r="AI71" s="532"/>
      <c r="AJ71" s="532"/>
      <c r="AK71" s="532"/>
      <c r="AL71" s="532"/>
      <c r="AM71" s="532"/>
    </row>
    <row r="72" spans="2:39" x14ac:dyDescent="0.35">
      <c r="B72" s="267"/>
      <c r="C72" s="267"/>
      <c r="U72" s="572"/>
      <c r="V72" s="572"/>
      <c r="W72" s="572"/>
      <c r="X72" s="572"/>
      <c r="Y72" s="572"/>
      <c r="Z72" s="572"/>
      <c r="AA72" s="572"/>
      <c r="AB72" s="572"/>
      <c r="AC72" s="572"/>
      <c r="AD72" s="532"/>
      <c r="AE72" s="532"/>
      <c r="AF72" s="532"/>
      <c r="AG72" s="532"/>
      <c r="AH72" s="532"/>
      <c r="AI72" s="532"/>
      <c r="AJ72" s="532"/>
      <c r="AK72" s="532"/>
      <c r="AL72" s="532"/>
      <c r="AM72" s="532"/>
    </row>
    <row r="73" spans="2:39" x14ac:dyDescent="0.35">
      <c r="B73" s="973"/>
      <c r="C73" s="249"/>
      <c r="U73" s="509"/>
      <c r="V73" s="509"/>
      <c r="W73" s="509"/>
      <c r="X73" s="509"/>
      <c r="Y73" s="509"/>
      <c r="Z73" s="509"/>
      <c r="AA73" s="509"/>
      <c r="AB73" s="509"/>
      <c r="AC73" s="509"/>
      <c r="AD73" s="532"/>
      <c r="AE73" s="532"/>
      <c r="AF73" s="532"/>
      <c r="AG73" s="532"/>
      <c r="AH73" s="532"/>
      <c r="AI73" s="532"/>
      <c r="AJ73" s="532"/>
      <c r="AK73" s="532"/>
      <c r="AL73" s="532"/>
      <c r="AM73" s="532"/>
    </row>
    <row r="75" spans="2:39" x14ac:dyDescent="0.35">
      <c r="U75" s="1441"/>
      <c r="V75" s="1441"/>
      <c r="W75" s="1441"/>
      <c r="X75" s="1441"/>
    </row>
    <row r="76" spans="2:39" x14ac:dyDescent="0.35">
      <c r="U76" s="1441"/>
      <c r="V76" s="1441"/>
      <c r="W76" s="1441"/>
      <c r="X76" s="1441"/>
    </row>
    <row r="77" spans="2:39" x14ac:dyDescent="0.35">
      <c r="U77" s="1441"/>
      <c r="V77" s="1441"/>
      <c r="W77" s="1441"/>
      <c r="X77" s="1441"/>
    </row>
    <row r="79" spans="2:39" x14ac:dyDescent="0.35">
      <c r="P79" s="499"/>
      <c r="Q79" s="499"/>
    </row>
    <row r="80" spans="2:39" x14ac:dyDescent="0.35">
      <c r="B80" s="529" t="s">
        <v>351</v>
      </c>
      <c r="D80" s="509"/>
      <c r="E80" s="509"/>
      <c r="F80" s="509"/>
      <c r="G80" s="509"/>
      <c r="H80" s="509"/>
      <c r="I80" s="509"/>
      <c r="J80" s="509"/>
      <c r="K80" s="509"/>
      <c r="L80" s="509"/>
      <c r="M80" s="509"/>
      <c r="N80" s="509"/>
      <c r="O80" s="509"/>
      <c r="P80" s="509"/>
      <c r="Q80" s="509"/>
      <c r="R80" s="509"/>
      <c r="S80" s="509"/>
      <c r="T80" s="509"/>
      <c r="U80" s="509"/>
      <c r="V80" s="509"/>
      <c r="W80" s="509"/>
      <c r="X80" s="509"/>
      <c r="Y80" s="509"/>
      <c r="Z80" s="509"/>
      <c r="AA80" s="509"/>
      <c r="AB80" s="509"/>
      <c r="AC80" s="509"/>
    </row>
    <row r="81" spans="2:33" ht="45.75" customHeight="1" x14ac:dyDescent="0.35">
      <c r="B81" s="1412" t="s">
        <v>475</v>
      </c>
      <c r="C81" s="1412"/>
      <c r="D81" s="1412"/>
      <c r="E81" s="1412"/>
      <c r="F81" s="1412"/>
      <c r="G81" s="1412"/>
      <c r="H81" s="1412"/>
      <c r="I81" s="1412"/>
      <c r="J81" s="1412"/>
      <c r="K81" s="1412"/>
      <c r="L81" s="1412"/>
      <c r="M81" s="1412"/>
      <c r="N81" s="1412"/>
      <c r="O81" s="1412"/>
      <c r="P81" s="1412"/>
      <c r="Q81" s="1412"/>
      <c r="R81" s="1412"/>
      <c r="S81" s="1412"/>
      <c r="T81" s="1412"/>
      <c r="U81" s="1412"/>
      <c r="V81" s="1412"/>
      <c r="W81" s="1412"/>
      <c r="X81" s="1412"/>
      <c r="Y81" s="1412"/>
      <c r="Z81" s="1412"/>
      <c r="AA81" s="1412"/>
      <c r="AB81" s="1412"/>
      <c r="AC81" s="1412"/>
    </row>
    <row r="82" spans="2:33" ht="14.9" customHeight="1" x14ac:dyDescent="0.35">
      <c r="B82" s="1325" t="s">
        <v>476</v>
      </c>
      <c r="C82" s="1326"/>
      <c r="D82" s="1347" t="s">
        <v>279</v>
      </c>
      <c r="E82" s="1348"/>
      <c r="F82" s="1348"/>
      <c r="G82" s="1348"/>
      <c r="H82" s="1348"/>
      <c r="I82" s="1348"/>
      <c r="J82" s="1348"/>
      <c r="K82" s="1348"/>
      <c r="L82" s="1348"/>
      <c r="M82" s="1348"/>
      <c r="N82" s="1348"/>
      <c r="O82" s="1348"/>
      <c r="P82" s="1348"/>
      <c r="Q82" s="1348"/>
      <c r="R82" s="1348"/>
      <c r="S82" s="1348"/>
      <c r="T82" s="1348"/>
      <c r="U82" s="1348"/>
      <c r="V82" s="1349"/>
      <c r="W82" s="1408" t="s">
        <v>280</v>
      </c>
      <c r="X82" s="1406"/>
      <c r="Y82" s="1406"/>
      <c r="Z82" s="1406"/>
      <c r="AA82" s="1406"/>
      <c r="AB82" s="1406"/>
      <c r="AC82" s="1406"/>
      <c r="AD82" s="1406"/>
      <c r="AE82" s="1406"/>
      <c r="AF82" s="1406"/>
      <c r="AG82" s="1406"/>
    </row>
    <row r="83" spans="2:33" x14ac:dyDescent="0.35">
      <c r="B83" s="1325"/>
      <c r="C83" s="1326"/>
      <c r="D83" s="296">
        <v>2018</v>
      </c>
      <c r="E83" s="1342">
        <v>2019</v>
      </c>
      <c r="F83" s="1343"/>
      <c r="G83" s="1343"/>
      <c r="H83" s="1344"/>
      <c r="I83" s="1342">
        <v>2020</v>
      </c>
      <c r="J83" s="1343"/>
      <c r="K83" s="1343"/>
      <c r="L83" s="1343"/>
      <c r="M83" s="1342">
        <v>2021</v>
      </c>
      <c r="N83" s="1343"/>
      <c r="O83" s="1343"/>
      <c r="P83" s="1343"/>
      <c r="Q83" s="1342">
        <v>2022</v>
      </c>
      <c r="R83" s="1354"/>
      <c r="S83" s="1354"/>
      <c r="T83" s="1344"/>
      <c r="U83" s="302"/>
      <c r="V83" s="442">
        <v>2023</v>
      </c>
      <c r="W83" s="638"/>
      <c r="X83" s="335"/>
      <c r="Y83" s="1329">
        <v>2024</v>
      </c>
      <c r="Z83" s="1335"/>
      <c r="AA83" s="1335"/>
      <c r="AB83" s="1334"/>
      <c r="AC83" s="1329">
        <v>2025</v>
      </c>
      <c r="AD83" s="1335"/>
      <c r="AE83" s="1335"/>
      <c r="AF83" s="1334"/>
      <c r="AG83" s="972">
        <v>2026</v>
      </c>
    </row>
    <row r="84" spans="2:33" x14ac:dyDescent="0.35">
      <c r="B84" s="1327"/>
      <c r="C84" s="1328"/>
      <c r="D84" s="225" t="s">
        <v>281</v>
      </c>
      <c r="E84" s="225" t="s">
        <v>282</v>
      </c>
      <c r="F84" s="226" t="s">
        <v>283</v>
      </c>
      <c r="G84" s="226" t="s">
        <v>238</v>
      </c>
      <c r="H84" s="232" t="s">
        <v>281</v>
      </c>
      <c r="I84" s="226" t="s">
        <v>282</v>
      </c>
      <c r="J84" s="226" t="s">
        <v>283</v>
      </c>
      <c r="K84" s="226" t="s">
        <v>238</v>
      </c>
      <c r="L84" s="226" t="s">
        <v>281</v>
      </c>
      <c r="M84" s="225" t="s">
        <v>282</v>
      </c>
      <c r="N84" s="226" t="s">
        <v>283</v>
      </c>
      <c r="O84" s="226" t="s">
        <v>238</v>
      </c>
      <c r="P84" s="226" t="s">
        <v>281</v>
      </c>
      <c r="Q84" s="225" t="s">
        <v>282</v>
      </c>
      <c r="R84" s="226" t="s">
        <v>283</v>
      </c>
      <c r="S84" s="226" t="s">
        <v>238</v>
      </c>
      <c r="T84" s="232" t="s">
        <v>281</v>
      </c>
      <c r="U84" s="226" t="s">
        <v>282</v>
      </c>
      <c r="V84" s="287" t="s">
        <v>283</v>
      </c>
      <c r="W84" s="273" t="s">
        <v>238</v>
      </c>
      <c r="X84" s="301" t="s">
        <v>281</v>
      </c>
      <c r="Y84" s="299" t="s">
        <v>282</v>
      </c>
      <c r="Z84" s="271" t="s">
        <v>283</v>
      </c>
      <c r="AA84" s="273" t="s">
        <v>238</v>
      </c>
      <c r="AB84" s="273" t="s">
        <v>281</v>
      </c>
      <c r="AC84" s="299" t="s">
        <v>282</v>
      </c>
      <c r="AD84" s="271" t="s">
        <v>283</v>
      </c>
      <c r="AE84" s="273" t="s">
        <v>238</v>
      </c>
      <c r="AF84" s="273" t="s">
        <v>281</v>
      </c>
      <c r="AG84" s="299" t="s">
        <v>282</v>
      </c>
    </row>
    <row r="85" spans="2:33" x14ac:dyDescent="0.35">
      <c r="B85" s="571" t="s">
        <v>1428</v>
      </c>
      <c r="D85" s="260"/>
      <c r="E85" s="320"/>
      <c r="F85" s="320"/>
      <c r="G85" s="320"/>
      <c r="H85" s="320"/>
      <c r="I85" s="582">
        <f>(I86-AVERAGE($E86:$H86))</f>
        <v>6.9120000000000061</v>
      </c>
      <c r="J85" s="582">
        <f t="shared" ref="J85:U85" si="22">(J86-AVERAGE($E86:$H86))</f>
        <v>50.955000000000005</v>
      </c>
      <c r="K85" s="582">
        <f t="shared" si="22"/>
        <v>51.173999999999999</v>
      </c>
      <c r="L85" s="582">
        <f t="shared" si="22"/>
        <v>51.893999999999998</v>
      </c>
      <c r="M85" s="582">
        <f t="shared" si="22"/>
        <v>91.075000000000017</v>
      </c>
      <c r="N85" s="582">
        <f t="shared" si="22"/>
        <v>100.63400000000001</v>
      </c>
      <c r="O85" s="582">
        <f t="shared" si="22"/>
        <v>93.89100000000002</v>
      </c>
      <c r="P85" s="582">
        <f t="shared" si="22"/>
        <v>100.22800000000001</v>
      </c>
      <c r="Q85" s="582">
        <f t="shared" si="22"/>
        <v>76.838999999999999</v>
      </c>
      <c r="R85" s="582">
        <f t="shared" si="22"/>
        <v>73.637</v>
      </c>
      <c r="S85" s="583">
        <f t="shared" si="22"/>
        <v>70.649000000000001</v>
      </c>
      <c r="T85" s="668">
        <f t="shared" si="22"/>
        <v>91.718000000000018</v>
      </c>
      <c r="U85" s="583">
        <f t="shared" si="22"/>
        <v>83.695999999999998</v>
      </c>
      <c r="V85" s="583">
        <f>(V86-AVERAGE($E86:$H86))</f>
        <v>51.979000000000006</v>
      </c>
      <c r="W85" s="722">
        <f>V85</f>
        <v>51.979000000000006</v>
      </c>
      <c r="X85" s="722">
        <f t="shared" ref="X85:AG85" si="23">W85</f>
        <v>51.979000000000006</v>
      </c>
      <c r="Y85" s="722">
        <f t="shared" si="23"/>
        <v>51.979000000000006</v>
      </c>
      <c r="Z85" s="722">
        <f t="shared" si="23"/>
        <v>51.979000000000006</v>
      </c>
      <c r="AA85" s="722">
        <f t="shared" si="23"/>
        <v>51.979000000000006</v>
      </c>
      <c r="AB85" s="722">
        <f t="shared" si="23"/>
        <v>51.979000000000006</v>
      </c>
      <c r="AC85" s="952">
        <f t="shared" si="23"/>
        <v>51.979000000000006</v>
      </c>
      <c r="AD85" s="722">
        <f t="shared" si="23"/>
        <v>51.979000000000006</v>
      </c>
      <c r="AE85" s="722">
        <f t="shared" si="23"/>
        <v>51.979000000000006</v>
      </c>
      <c r="AF85" s="722">
        <f t="shared" si="23"/>
        <v>51.979000000000006</v>
      </c>
      <c r="AG85" s="722">
        <f t="shared" si="23"/>
        <v>51.979000000000006</v>
      </c>
    </row>
    <row r="86" spans="2:33" x14ac:dyDescent="0.35">
      <c r="B86" s="571" t="s">
        <v>160</v>
      </c>
      <c r="C86" s="249" t="s">
        <v>477</v>
      </c>
      <c r="D86" s="276">
        <f>'Haver Pivoted'!GO66</f>
        <v>57.017000000000003</v>
      </c>
      <c r="E86" s="233">
        <f>'Haver Pivoted'!GP66</f>
        <v>55.875</v>
      </c>
      <c r="F86" s="233">
        <f>'Haver Pivoted'!GQ66</f>
        <v>54.335999999999999</v>
      </c>
      <c r="G86" s="233">
        <f>'Haver Pivoted'!GR66</f>
        <v>54.345999999999997</v>
      </c>
      <c r="H86" s="233">
        <f>'Haver Pivoted'!GS66</f>
        <v>54.290999999999997</v>
      </c>
      <c r="I86" s="233">
        <f>'Haver Pivoted'!GT66</f>
        <v>61.624000000000002</v>
      </c>
      <c r="J86" s="233">
        <f>'Haver Pivoted'!GU66</f>
        <v>105.667</v>
      </c>
      <c r="K86" s="233">
        <f>'Haver Pivoted'!GV66</f>
        <v>105.886</v>
      </c>
      <c r="L86" s="233">
        <f>'Haver Pivoted'!GW66</f>
        <v>106.60599999999999</v>
      </c>
      <c r="M86" s="233">
        <f>'Haver Pivoted'!GX66</f>
        <v>145.78700000000001</v>
      </c>
      <c r="N86" s="233">
        <f>'Haver Pivoted'!GY66</f>
        <v>155.346</v>
      </c>
      <c r="O86" s="233">
        <f>'Haver Pivoted'!GZ66</f>
        <v>148.60300000000001</v>
      </c>
      <c r="P86" s="233">
        <f>'Haver Pivoted'!HA66</f>
        <v>154.94</v>
      </c>
      <c r="Q86" s="233">
        <f>'Haver Pivoted'!HB66</f>
        <v>131.55099999999999</v>
      </c>
      <c r="R86" s="233">
        <f>'Haver Pivoted'!HC66</f>
        <v>128.34899999999999</v>
      </c>
      <c r="S86" s="226">
        <f>'Haver Pivoted'!HD66</f>
        <v>125.361</v>
      </c>
      <c r="T86" s="226">
        <f>'Haver Pivoted'!HE66</f>
        <v>146.43</v>
      </c>
      <c r="U86" s="226">
        <f>'Haver Pivoted'!HF66</f>
        <v>138.40799999999999</v>
      </c>
      <c r="V86" s="226">
        <f>'Haver Pivoted'!HG66</f>
        <v>106.691</v>
      </c>
      <c r="W86" s="329"/>
      <c r="X86" s="329"/>
      <c r="Y86" s="329"/>
      <c r="Z86" s="329"/>
      <c r="AA86" s="329"/>
      <c r="AB86" s="329"/>
      <c r="AC86" s="329"/>
      <c r="AD86" s="229"/>
      <c r="AE86" s="229"/>
      <c r="AF86" s="229"/>
      <c r="AG86" s="229"/>
    </row>
    <row r="87" spans="2:33" ht="29.15" customHeight="1" x14ac:dyDescent="0.35">
      <c r="B87" s="570" t="s">
        <v>478</v>
      </c>
      <c r="C87" s="370"/>
      <c r="D87" s="719"/>
      <c r="E87" s="568"/>
      <c r="F87" s="568"/>
      <c r="G87" s="568"/>
      <c r="H87" s="568"/>
      <c r="I87" s="568"/>
      <c r="J87" s="568">
        <f t="shared" ref="J87:V87" si="24">J86-$H86</f>
        <v>51.376000000000005</v>
      </c>
      <c r="K87" s="568">
        <f t="shared" si="24"/>
        <v>51.594999999999999</v>
      </c>
      <c r="L87" s="568">
        <f t="shared" si="24"/>
        <v>52.314999999999998</v>
      </c>
      <c r="M87" s="568">
        <f t="shared" si="24"/>
        <v>91.496000000000009</v>
      </c>
      <c r="N87" s="568">
        <f>N86-$H86</f>
        <v>101.05500000000001</v>
      </c>
      <c r="O87" s="568">
        <f>O86-$H86</f>
        <v>94.312000000000012</v>
      </c>
      <c r="P87" s="568">
        <f t="shared" si="24"/>
        <v>100.649</v>
      </c>
      <c r="Q87" s="568">
        <f t="shared" si="24"/>
        <v>77.259999999999991</v>
      </c>
      <c r="R87" s="568">
        <f t="shared" si="24"/>
        <v>74.057999999999993</v>
      </c>
      <c r="S87" s="287">
        <f t="shared" si="24"/>
        <v>71.070000000000007</v>
      </c>
      <c r="T87" s="287">
        <f t="shared" si="24"/>
        <v>92.13900000000001</v>
      </c>
      <c r="U87" s="287">
        <f t="shared" si="24"/>
        <v>84.11699999999999</v>
      </c>
      <c r="V87" s="287">
        <f t="shared" si="24"/>
        <v>52.400000000000006</v>
      </c>
      <c r="W87" s="273"/>
      <c r="X87" s="273"/>
      <c r="Y87" s="273"/>
      <c r="Z87" s="273"/>
      <c r="AA87" s="273"/>
      <c r="AB87" s="273"/>
      <c r="AC87" s="273"/>
      <c r="AD87" s="229"/>
      <c r="AE87" s="229"/>
      <c r="AF87" s="229"/>
      <c r="AG87" s="229"/>
    </row>
    <row r="88" spans="2:33" ht="29.15" customHeight="1" x14ac:dyDescent="0.35">
      <c r="B88" s="249"/>
      <c r="C88" s="249"/>
      <c r="D88" s="233"/>
      <c r="E88" s="233"/>
      <c r="F88" s="233"/>
      <c r="G88" s="233"/>
      <c r="H88" s="233"/>
      <c r="I88" s="233"/>
      <c r="J88" s="233"/>
      <c r="K88" s="233"/>
      <c r="L88" s="233"/>
      <c r="M88" s="233"/>
      <c r="N88" s="233"/>
      <c r="O88" s="233"/>
      <c r="P88" s="233"/>
      <c r="Q88" s="233"/>
      <c r="R88" s="233"/>
      <c r="S88" s="233"/>
      <c r="T88" s="233"/>
      <c r="U88" s="233"/>
      <c r="V88" s="233"/>
      <c r="W88" s="233"/>
      <c r="X88" s="233"/>
      <c r="Y88" s="233"/>
      <c r="Z88" s="233"/>
      <c r="AA88" s="233"/>
      <c r="AB88" s="233"/>
      <c r="AC88" s="233"/>
    </row>
    <row r="89" spans="2:33" ht="29.15" customHeight="1" x14ac:dyDescent="0.35">
      <c r="B89" s="249"/>
      <c r="C89" s="249"/>
      <c r="D89" s="233"/>
      <c r="E89" s="233"/>
      <c r="F89" s="233"/>
      <c r="G89" s="233"/>
      <c r="H89" s="233"/>
      <c r="I89" s="233"/>
      <c r="J89" s="233"/>
      <c r="K89" s="233"/>
      <c r="L89" s="233"/>
      <c r="M89" s="233"/>
      <c r="N89" s="233"/>
      <c r="O89" s="233"/>
      <c r="P89" s="233"/>
      <c r="Q89" s="233"/>
      <c r="R89" s="233"/>
      <c r="S89" s="233"/>
      <c r="T89" s="233"/>
      <c r="U89" s="233"/>
      <c r="V89" s="233"/>
      <c r="W89" s="233"/>
      <c r="X89" s="233"/>
      <c r="Y89" s="233"/>
      <c r="Z89" s="233"/>
      <c r="AA89" s="233"/>
      <c r="AB89" s="233"/>
      <c r="AC89" s="233"/>
    </row>
    <row r="90" spans="2:33" ht="29.15" customHeight="1" x14ac:dyDescent="0.35">
      <c r="B90" s="249"/>
      <c r="C90" s="249"/>
      <c r="D90" s="233"/>
      <c r="E90" s="233"/>
      <c r="F90" s="233"/>
      <c r="G90" s="233"/>
      <c r="H90" s="233"/>
      <c r="I90" s="233"/>
      <c r="J90" s="233"/>
      <c r="K90" s="233"/>
      <c r="L90" s="233"/>
      <c r="M90" s="233"/>
      <c r="N90" s="233"/>
      <c r="O90" s="233"/>
      <c r="P90" s="233"/>
      <c r="Q90" s="233"/>
      <c r="R90" s="233"/>
      <c r="S90" s="233"/>
      <c r="T90" s="233"/>
      <c r="U90" s="233"/>
      <c r="V90" s="233"/>
      <c r="W90" s="233"/>
      <c r="X90" s="233"/>
      <c r="Y90" s="233"/>
      <c r="Z90" s="233"/>
      <c r="AA90" s="233"/>
      <c r="AB90" s="233"/>
      <c r="AC90" s="233"/>
    </row>
    <row r="91" spans="2:33" ht="35.9" customHeight="1" x14ac:dyDescent="0.35"/>
    <row r="92" spans="2:33" x14ac:dyDescent="0.35">
      <c r="B92" s="529" t="s">
        <v>364</v>
      </c>
    </row>
    <row r="93" spans="2:33" x14ac:dyDescent="0.35">
      <c r="B93" s="1413" t="s">
        <v>802</v>
      </c>
      <c r="C93" s="1414"/>
      <c r="D93" s="1327" t="s">
        <v>279</v>
      </c>
      <c r="E93" s="1369"/>
      <c r="F93" s="1369"/>
      <c r="G93" s="1369"/>
      <c r="H93" s="1369"/>
      <c r="I93" s="1369"/>
      <c r="J93" s="1369"/>
      <c r="K93" s="1369"/>
      <c r="L93" s="1369"/>
      <c r="M93" s="1369"/>
      <c r="N93" s="1369"/>
      <c r="O93" s="1369"/>
      <c r="P93" s="1369"/>
      <c r="Q93" s="1369"/>
      <c r="R93" s="1369"/>
      <c r="S93" s="1369"/>
      <c r="T93" s="1369"/>
      <c r="U93" s="1369"/>
      <c r="V93" s="1328"/>
      <c r="W93" s="1408" t="s">
        <v>280</v>
      </c>
      <c r="X93" s="1406"/>
      <c r="Y93" s="1406"/>
      <c r="Z93" s="1406"/>
      <c r="AA93" s="1406"/>
      <c r="AB93" s="1406"/>
      <c r="AC93" s="1406"/>
      <c r="AD93" s="1406"/>
      <c r="AE93" s="1406"/>
      <c r="AF93" s="1406"/>
      <c r="AG93" s="1406"/>
    </row>
    <row r="94" spans="2:33" x14ac:dyDescent="0.35">
      <c r="B94" s="1415"/>
      <c r="C94" s="1416"/>
      <c r="D94" s="296">
        <v>2018</v>
      </c>
      <c r="E94" s="1342">
        <v>2019</v>
      </c>
      <c r="F94" s="1343"/>
      <c r="G94" s="1343"/>
      <c r="H94" s="1344"/>
      <c r="I94" s="1342">
        <v>2020</v>
      </c>
      <c r="J94" s="1343"/>
      <c r="K94" s="1343"/>
      <c r="L94" s="1343"/>
      <c r="M94" s="1342">
        <v>2021</v>
      </c>
      <c r="N94" s="1343"/>
      <c r="O94" s="1343"/>
      <c r="P94" s="1343"/>
      <c r="Q94" s="1342">
        <v>2022</v>
      </c>
      <c r="R94" s="1354"/>
      <c r="S94" s="1354"/>
      <c r="T94" s="1344"/>
      <c r="U94" s="302"/>
      <c r="V94" s="442">
        <v>2023</v>
      </c>
      <c r="W94" s="638"/>
      <c r="X94" s="335"/>
      <c r="Y94" s="1329">
        <v>2024</v>
      </c>
      <c r="Z94" s="1335"/>
      <c r="AA94" s="1335"/>
      <c r="AB94" s="1334"/>
      <c r="AC94" s="1329">
        <v>2025</v>
      </c>
      <c r="AD94" s="1335"/>
      <c r="AE94" s="1335"/>
      <c r="AF94" s="1334"/>
      <c r="AG94" s="972">
        <v>2026</v>
      </c>
    </row>
    <row r="95" spans="2:33" x14ac:dyDescent="0.35">
      <c r="B95" s="1415"/>
      <c r="C95" s="1416"/>
      <c r="D95" s="225" t="s">
        <v>281</v>
      </c>
      <c r="E95" s="225" t="s">
        <v>282</v>
      </c>
      <c r="F95" s="226" t="s">
        <v>283</v>
      </c>
      <c r="G95" s="226" t="s">
        <v>238</v>
      </c>
      <c r="H95" s="232" t="s">
        <v>281</v>
      </c>
      <c r="I95" s="226" t="s">
        <v>282</v>
      </c>
      <c r="J95" s="226" t="s">
        <v>283</v>
      </c>
      <c r="K95" s="226" t="s">
        <v>238</v>
      </c>
      <c r="L95" s="226" t="s">
        <v>281</v>
      </c>
      <c r="M95" s="225" t="s">
        <v>282</v>
      </c>
      <c r="N95" s="226" t="s">
        <v>283</v>
      </c>
      <c r="O95" s="226" t="s">
        <v>238</v>
      </c>
      <c r="P95" s="226" t="s">
        <v>281</v>
      </c>
      <c r="Q95" s="225" t="s">
        <v>282</v>
      </c>
      <c r="R95" s="226" t="s">
        <v>283</v>
      </c>
      <c r="S95" s="226" t="s">
        <v>238</v>
      </c>
      <c r="T95" s="232" t="s">
        <v>281</v>
      </c>
      <c r="U95" s="226" t="s">
        <v>282</v>
      </c>
      <c r="V95" s="287" t="s">
        <v>283</v>
      </c>
      <c r="W95" s="273" t="s">
        <v>238</v>
      </c>
      <c r="X95" s="301" t="s">
        <v>281</v>
      </c>
      <c r="Y95" s="299" t="s">
        <v>282</v>
      </c>
      <c r="Z95" s="271" t="s">
        <v>283</v>
      </c>
      <c r="AA95" s="273" t="s">
        <v>238</v>
      </c>
      <c r="AB95" s="273" t="s">
        <v>281</v>
      </c>
      <c r="AC95" s="299" t="s">
        <v>282</v>
      </c>
      <c r="AD95" s="271" t="s">
        <v>283</v>
      </c>
      <c r="AE95" s="273" t="s">
        <v>238</v>
      </c>
      <c r="AF95" s="273" t="s">
        <v>281</v>
      </c>
      <c r="AG95" s="299" t="s">
        <v>282</v>
      </c>
    </row>
    <row r="96" spans="2:33" ht="25.75" customHeight="1" x14ac:dyDescent="0.35">
      <c r="B96" s="686" t="s">
        <v>465</v>
      </c>
      <c r="C96" s="667" t="s">
        <v>466</v>
      </c>
      <c r="D96" s="377">
        <f>'Haver Pivoted'!GO31</f>
        <v>2223</v>
      </c>
      <c r="E96" s="378">
        <f>'Haver Pivoted'!GP31</f>
        <v>2303.8000000000002</v>
      </c>
      <c r="F96" s="378">
        <f>'Haver Pivoted'!GQ31</f>
        <v>2321.6999999999998</v>
      </c>
      <c r="G96" s="378">
        <f>'Haver Pivoted'!GR31</f>
        <v>2337.1</v>
      </c>
      <c r="H96" s="378">
        <f>'Haver Pivoted'!GS31</f>
        <v>2349.5</v>
      </c>
      <c r="I96" s="378">
        <f>'Haver Pivoted'!GT31</f>
        <v>2414.4</v>
      </c>
      <c r="J96" s="378">
        <f>'Haver Pivoted'!GU31</f>
        <v>4654.1000000000004</v>
      </c>
      <c r="K96" s="378">
        <f>'Haver Pivoted'!GV31</f>
        <v>3504.7</v>
      </c>
      <c r="L96" s="378">
        <f>'Haver Pivoted'!GW31</f>
        <v>2888.4</v>
      </c>
      <c r="M96" s="378">
        <f>'Haver Pivoted'!GX31</f>
        <v>5138.1000000000004</v>
      </c>
      <c r="N96" s="378">
        <f>'Haver Pivoted'!GY31</f>
        <v>3397.8</v>
      </c>
      <c r="O96" s="378">
        <f>'Haver Pivoted'!GZ31</f>
        <v>3124.9</v>
      </c>
      <c r="P96" s="378">
        <f>'Haver Pivoted'!HA31</f>
        <v>2952.6</v>
      </c>
      <c r="Q96" s="378">
        <f>'Haver Pivoted'!HB31</f>
        <v>2970.9</v>
      </c>
      <c r="R96" s="378">
        <f>'Haver Pivoted'!HC31</f>
        <v>2976.2</v>
      </c>
      <c r="S96" s="379">
        <f>'Haver Pivoted'!HD31</f>
        <v>2970.4</v>
      </c>
      <c r="T96" s="694">
        <f>'Haver Pivoted'!HE31</f>
        <v>3024.4</v>
      </c>
      <c r="U96" s="379">
        <f>'Haver Pivoted'!HF31</f>
        <v>3038.4</v>
      </c>
      <c r="V96" s="379">
        <f>'Haver Pivoted'!HG31</f>
        <v>3049.1</v>
      </c>
      <c r="W96" s="964"/>
      <c r="X96" s="964"/>
      <c r="Y96" s="964"/>
      <c r="Z96" s="964"/>
      <c r="AA96" s="964"/>
      <c r="AB96" s="964"/>
      <c r="AC96" s="724"/>
      <c r="AD96" s="724"/>
      <c r="AE96" s="724"/>
      <c r="AF96" s="724"/>
      <c r="AG96" s="229"/>
    </row>
    <row r="97" spans="2:33" ht="25.75" customHeight="1" x14ac:dyDescent="0.35">
      <c r="B97" s="494" t="s">
        <v>1841</v>
      </c>
      <c r="C97" s="249"/>
      <c r="D97" s="717">
        <f>D98+D99</f>
        <v>812.1</v>
      </c>
      <c r="E97" s="462">
        <f>E98+E99</f>
        <v>833.1</v>
      </c>
      <c r="F97" s="462">
        <f>F98+F99</f>
        <v>845.8</v>
      </c>
      <c r="G97" s="462">
        <f t="shared" ref="G97:N97" si="25">G98+G99</f>
        <v>854.4</v>
      </c>
      <c r="H97" s="462">
        <f t="shared" si="25"/>
        <v>858.7</v>
      </c>
      <c r="I97" s="462">
        <f t="shared" si="25"/>
        <v>878.91200000000003</v>
      </c>
      <c r="J97" s="462">
        <f t="shared" si="25"/>
        <v>3142.9549999999999</v>
      </c>
      <c r="K97" s="462">
        <f t="shared" si="25"/>
        <v>1863.174</v>
      </c>
      <c r="L97" s="462">
        <f t="shared" si="25"/>
        <v>1307.4940000000001</v>
      </c>
      <c r="M97" s="462">
        <f t="shared" si="25"/>
        <v>3530.9749999999999</v>
      </c>
      <c r="N97" s="462">
        <f t="shared" si="25"/>
        <v>1812.8558400000002</v>
      </c>
      <c r="O97" s="462">
        <f>O98+O99</f>
        <v>1537.1944933333332</v>
      </c>
      <c r="P97" s="462">
        <f t="shared" ref="P97:R97" si="26">P98+P99</f>
        <v>1378.037333333333</v>
      </c>
      <c r="Q97" s="462">
        <f t="shared" si="26"/>
        <v>1212.615</v>
      </c>
      <c r="R97" s="462">
        <f t="shared" si="26"/>
        <v>1208.7130000000002</v>
      </c>
      <c r="S97" s="690">
        <f>S98+S99</f>
        <v>1206.0250000000001</v>
      </c>
      <c r="T97" s="690">
        <f t="shared" ref="T97:U97" si="27">T98+T99</f>
        <v>1206.7340000000002</v>
      </c>
      <c r="U97" s="690">
        <f t="shared" si="27"/>
        <v>1142.3120000000001</v>
      </c>
      <c r="V97" s="690">
        <f>V98+V99</f>
        <v>1132.155</v>
      </c>
      <c r="W97" s="674"/>
      <c r="X97" s="674"/>
      <c r="Y97" s="674"/>
      <c r="Z97" s="674"/>
      <c r="AA97" s="674"/>
      <c r="AB97" s="674"/>
      <c r="AC97" s="674"/>
      <c r="AD97" s="674"/>
      <c r="AE97" s="674"/>
      <c r="AF97" s="674"/>
      <c r="AG97" s="229"/>
    </row>
    <row r="98" spans="2:33" ht="25.75" customHeight="1" x14ac:dyDescent="0.35">
      <c r="B98" s="432" t="s">
        <v>1839</v>
      </c>
      <c r="C98" s="249"/>
      <c r="D98" s="717">
        <f t="shared" ref="D98:V98" si="28">D14+D17+D35</f>
        <v>812.1</v>
      </c>
      <c r="E98" s="717">
        <f t="shared" si="28"/>
        <v>833.1</v>
      </c>
      <c r="F98" s="462">
        <f t="shared" si="28"/>
        <v>845.8</v>
      </c>
      <c r="G98" s="462">
        <f t="shared" si="28"/>
        <v>854.4</v>
      </c>
      <c r="H98" s="462">
        <f t="shared" si="28"/>
        <v>858.7</v>
      </c>
      <c r="I98" s="462">
        <f t="shared" si="28"/>
        <v>872</v>
      </c>
      <c r="J98" s="462">
        <f t="shared" si="28"/>
        <v>1795.8</v>
      </c>
      <c r="K98" s="462">
        <f t="shared" si="28"/>
        <v>1656.8</v>
      </c>
      <c r="L98" s="462">
        <f t="shared" si="28"/>
        <v>1191.7</v>
      </c>
      <c r="M98" s="462">
        <f t="shared" si="28"/>
        <v>1473.1</v>
      </c>
      <c r="N98" s="462">
        <f t="shared" si="28"/>
        <v>1346.4</v>
      </c>
      <c r="O98" s="462">
        <f t="shared" si="28"/>
        <v>1318.833333333333</v>
      </c>
      <c r="P98" s="462">
        <f t="shared" si="28"/>
        <v>1157.333333333333</v>
      </c>
      <c r="Q98" s="462">
        <f t="shared" si="28"/>
        <v>1036.4000000000001</v>
      </c>
      <c r="R98" s="462">
        <f t="shared" si="28"/>
        <v>1042.6000000000001</v>
      </c>
      <c r="S98" s="690">
        <f t="shared" si="28"/>
        <v>1054.8</v>
      </c>
      <c r="T98" s="690">
        <f t="shared" si="28"/>
        <v>1078.7</v>
      </c>
      <c r="U98" s="690">
        <f t="shared" si="28"/>
        <v>1045.2</v>
      </c>
      <c r="V98" s="690">
        <f t="shared" si="28"/>
        <v>1066.76</v>
      </c>
      <c r="W98" s="674"/>
      <c r="X98" s="674"/>
      <c r="Y98" s="674"/>
      <c r="Z98" s="674"/>
      <c r="AA98" s="674"/>
      <c r="AB98" s="674"/>
      <c r="AC98" s="674"/>
      <c r="AD98" s="674"/>
      <c r="AE98" s="674"/>
      <c r="AF98" s="674"/>
      <c r="AG98" s="674"/>
    </row>
    <row r="99" spans="2:33" ht="36" customHeight="1" x14ac:dyDescent="0.35">
      <c r="B99" s="432" t="s">
        <v>1840</v>
      </c>
      <c r="C99" s="249"/>
      <c r="D99" s="462">
        <f t="shared" ref="D99:AG99" si="29">D18+D21+D32+D33+D34+D36</f>
        <v>0</v>
      </c>
      <c r="E99" s="462">
        <f t="shared" si="29"/>
        <v>0</v>
      </c>
      <c r="F99" s="462">
        <f t="shared" si="29"/>
        <v>0</v>
      </c>
      <c r="G99" s="462">
        <f t="shared" si="29"/>
        <v>0</v>
      </c>
      <c r="H99" s="462">
        <f t="shared" si="29"/>
        <v>0</v>
      </c>
      <c r="I99" s="462">
        <f t="shared" si="29"/>
        <v>6.9120000000000061</v>
      </c>
      <c r="J99" s="462">
        <f t="shared" si="29"/>
        <v>1347.155</v>
      </c>
      <c r="K99" s="462">
        <f t="shared" si="29"/>
        <v>206.37400000000002</v>
      </c>
      <c r="L99" s="462">
        <f t="shared" si="29"/>
        <v>115.79400000000001</v>
      </c>
      <c r="M99" s="462">
        <f t="shared" si="29"/>
        <v>2057.875</v>
      </c>
      <c r="N99" s="462">
        <f t="shared" si="29"/>
        <v>466.45584000000008</v>
      </c>
      <c r="O99" s="462">
        <f t="shared" si="29"/>
        <v>218.3611600000001</v>
      </c>
      <c r="P99" s="462">
        <f t="shared" si="29"/>
        <v>220.70400000000004</v>
      </c>
      <c r="Q99" s="462">
        <f t="shared" si="29"/>
        <v>176.215</v>
      </c>
      <c r="R99" s="462">
        <f t="shared" si="29"/>
        <v>166.113</v>
      </c>
      <c r="S99" s="690">
        <f t="shared" si="29"/>
        <v>151.22500000000002</v>
      </c>
      <c r="T99" s="690">
        <f t="shared" si="29"/>
        <v>128.03400000000002</v>
      </c>
      <c r="U99" s="690">
        <f t="shared" si="29"/>
        <v>97.111999999999995</v>
      </c>
      <c r="V99" s="690">
        <f t="shared" si="29"/>
        <v>65.39500000000001</v>
      </c>
      <c r="W99" s="674">
        <f t="shared" si="29"/>
        <v>65.39500000000001</v>
      </c>
      <c r="X99" s="674">
        <f t="shared" si="29"/>
        <v>57.680000000000007</v>
      </c>
      <c r="Y99" s="674">
        <f t="shared" si="29"/>
        <v>57.680000000000007</v>
      </c>
      <c r="Z99" s="674">
        <f t="shared" si="29"/>
        <v>57.680000000000007</v>
      </c>
      <c r="AA99" s="674">
        <f t="shared" si="29"/>
        <v>57.680000000000007</v>
      </c>
      <c r="AB99" s="674">
        <f t="shared" si="29"/>
        <v>55.981000000000009</v>
      </c>
      <c r="AC99" s="674">
        <f t="shared" si="29"/>
        <v>55.981000000000009</v>
      </c>
      <c r="AD99" s="674">
        <f t="shared" si="29"/>
        <v>0</v>
      </c>
      <c r="AE99" s="674">
        <f t="shared" si="29"/>
        <v>0</v>
      </c>
      <c r="AF99" s="674">
        <f t="shared" si="29"/>
        <v>0</v>
      </c>
      <c r="AG99" s="674">
        <f t="shared" si="29"/>
        <v>0</v>
      </c>
    </row>
    <row r="100" spans="2:33" ht="25.75" customHeight="1" x14ac:dyDescent="0.35">
      <c r="B100" s="494" t="s">
        <v>799</v>
      </c>
      <c r="C100" s="249"/>
      <c r="D100" s="717">
        <f>D96-D97</f>
        <v>1410.9</v>
      </c>
      <c r="E100" s="462">
        <f t="shared" ref="E100:T100" si="30">E96-E97</f>
        <v>1470.7000000000003</v>
      </c>
      <c r="F100" s="462">
        <f t="shared" si="30"/>
        <v>1475.8999999999999</v>
      </c>
      <c r="G100" s="462">
        <f t="shared" si="30"/>
        <v>1482.6999999999998</v>
      </c>
      <c r="H100" s="462">
        <f t="shared" si="30"/>
        <v>1490.8</v>
      </c>
      <c r="I100" s="462">
        <f t="shared" si="30"/>
        <v>1535.4880000000001</v>
      </c>
      <c r="J100" s="462">
        <f t="shared" si="30"/>
        <v>1511.1450000000004</v>
      </c>
      <c r="K100" s="462">
        <f t="shared" si="30"/>
        <v>1641.5259999999998</v>
      </c>
      <c r="L100" s="462">
        <f t="shared" si="30"/>
        <v>1580.9059999999999</v>
      </c>
      <c r="M100" s="462">
        <f t="shared" si="30"/>
        <v>1607.1250000000005</v>
      </c>
      <c r="N100" s="462">
        <f t="shared" si="30"/>
        <v>1584.94416</v>
      </c>
      <c r="O100" s="462">
        <f t="shared" si="30"/>
        <v>1587.7055066666669</v>
      </c>
      <c r="P100" s="462">
        <f t="shared" si="30"/>
        <v>1574.5626666666669</v>
      </c>
      <c r="Q100" s="462">
        <f t="shared" si="30"/>
        <v>1758.2850000000001</v>
      </c>
      <c r="R100" s="462">
        <f t="shared" si="30"/>
        <v>1767.4869999999996</v>
      </c>
      <c r="S100" s="690">
        <f t="shared" si="30"/>
        <v>1764.375</v>
      </c>
      <c r="T100" s="690">
        <f t="shared" si="30"/>
        <v>1817.6659999999999</v>
      </c>
      <c r="U100" s="690">
        <f>U96-U97</f>
        <v>1896.088</v>
      </c>
      <c r="V100" s="690">
        <f>V96-V97</f>
        <v>1916.9449999999999</v>
      </c>
      <c r="W100" s="674"/>
      <c r="X100" s="674"/>
      <c r="Y100" s="674"/>
      <c r="Z100" s="674"/>
      <c r="AA100" s="674"/>
      <c r="AB100" s="674"/>
      <c r="AC100" s="674"/>
      <c r="AD100" s="674"/>
      <c r="AE100" s="674"/>
      <c r="AF100" s="674"/>
      <c r="AG100" s="229"/>
    </row>
    <row r="101" spans="2:33" ht="20.5" customHeight="1" x14ac:dyDescent="0.35">
      <c r="B101" s="700" t="s">
        <v>800</v>
      </c>
      <c r="C101" s="701"/>
      <c r="D101" s="707">
        <f t="shared" ref="D101:I101" si="31">D12-D14-D17-D35</f>
        <v>1410.9</v>
      </c>
      <c r="E101" s="678">
        <f t="shared" si="31"/>
        <v>1470.7000000000003</v>
      </c>
      <c r="F101" s="678">
        <f t="shared" si="31"/>
        <v>1475.8999999999996</v>
      </c>
      <c r="G101" s="678">
        <f t="shared" si="31"/>
        <v>1482.6999999999998</v>
      </c>
      <c r="H101" s="678">
        <f t="shared" si="31"/>
        <v>1490.8000000000002</v>
      </c>
      <c r="I101" s="678">
        <f t="shared" si="31"/>
        <v>1542.4</v>
      </c>
      <c r="J101" s="708">
        <f>I101+($H$101-$E$101)/3</f>
        <v>1549.1000000000001</v>
      </c>
      <c r="K101" s="708">
        <f>J101+($H$101-$E$101)/3</f>
        <v>1555.8000000000002</v>
      </c>
      <c r="L101" s="708">
        <f>K101+($H$101-$E$101)/3</f>
        <v>1562.5000000000002</v>
      </c>
      <c r="M101" s="709">
        <f>L101+($H$101-$E$101)/3 +(M105-L105)</f>
        <v>1586.8430000000003</v>
      </c>
      <c r="N101" s="708">
        <f>M101+($H$101-$E$101)/3</f>
        <v>1593.5430000000003</v>
      </c>
      <c r="O101" s="708">
        <f>N101+($H$101-$E$101)/3</f>
        <v>1600.2430000000004</v>
      </c>
      <c r="P101" s="708">
        <f>O101+($H$101-$E$101)/3</f>
        <v>1606.9430000000004</v>
      </c>
      <c r="Q101" s="709">
        <f>P101+($H$101-$E$101)/3 + 0.06*Q105</f>
        <v>1685.5501200000006</v>
      </c>
      <c r="R101" s="708">
        <f>Q101+($H$101-$E$101)/3</f>
        <v>1692.2501200000006</v>
      </c>
      <c r="S101" s="708">
        <f>R101+($H$101-$E$101)/3</f>
        <v>1698.9501200000007</v>
      </c>
      <c r="T101" s="708">
        <f>S101+($H$101-$E$101)/3</f>
        <v>1705.6501200000007</v>
      </c>
      <c r="U101" s="708">
        <f>T101+U102</f>
        <v>1818.9789730000007</v>
      </c>
      <c r="V101" s="708">
        <f>U101+V102</f>
        <v>1825.6789730000007</v>
      </c>
      <c r="W101" s="702">
        <f t="shared" ref="W101:AF101" si="32">V101+W102</f>
        <v>1832.3789730000008</v>
      </c>
      <c r="X101" s="702">
        <f t="shared" si="32"/>
        <v>1839.0789730000008</v>
      </c>
      <c r="Y101" s="702">
        <f t="shared" si="32"/>
        <v>1888.4225177000008</v>
      </c>
      <c r="Z101" s="702">
        <f t="shared" si="32"/>
        <v>1895.1225177000008</v>
      </c>
      <c r="AA101" s="702">
        <f t="shared" si="32"/>
        <v>1901.8225177000008</v>
      </c>
      <c r="AB101" s="702">
        <f t="shared" si="32"/>
        <v>1908.5225177000009</v>
      </c>
      <c r="AC101" s="702">
        <f t="shared" si="32"/>
        <v>1944.8697280960009</v>
      </c>
      <c r="AD101" s="702">
        <f t="shared" si="32"/>
        <v>1951.569728096001</v>
      </c>
      <c r="AE101" s="702">
        <f t="shared" si="32"/>
        <v>1958.269728096001</v>
      </c>
      <c r="AF101" s="702">
        <f t="shared" si="32"/>
        <v>1964.9697280960011</v>
      </c>
      <c r="AG101" s="229"/>
    </row>
    <row r="102" spans="2:33" ht="20.5" customHeight="1" x14ac:dyDescent="0.35">
      <c r="B102" s="703" t="s">
        <v>1800</v>
      </c>
      <c r="C102" s="249"/>
      <c r="D102" s="717"/>
      <c r="E102" s="462"/>
      <c r="F102" s="462"/>
      <c r="G102" s="462"/>
      <c r="H102" s="462"/>
      <c r="I102" s="462"/>
      <c r="J102" s="691"/>
      <c r="K102" s="691"/>
      <c r="L102" s="691"/>
      <c r="M102" s="710"/>
      <c r="N102" s="691"/>
      <c r="O102" s="691"/>
      <c r="P102" s="691"/>
      <c r="Q102" s="710"/>
      <c r="R102" s="691"/>
      <c r="S102" s="691"/>
      <c r="T102" s="691"/>
      <c r="U102" s="691">
        <f>U103+U104</f>
        <v>113.32885299999995</v>
      </c>
      <c r="V102" s="691">
        <f>V103+V104</f>
        <v>6.69999999999997</v>
      </c>
      <c r="W102" s="674">
        <f t="shared" ref="W102:AF102" si="33">W103+W108*W105</f>
        <v>6.69999999999997</v>
      </c>
      <c r="X102" s="674">
        <f t="shared" si="33"/>
        <v>6.69999999999997</v>
      </c>
      <c r="Y102" s="674">
        <f t="shared" si="33"/>
        <v>49.34354469999996</v>
      </c>
      <c r="Z102" s="674">
        <f t="shared" si="33"/>
        <v>6.69999999999997</v>
      </c>
      <c r="AA102" s="674">
        <f t="shared" si="33"/>
        <v>6.69999999999997</v>
      </c>
      <c r="AB102" s="674">
        <f t="shared" si="33"/>
        <v>6.69999999999997</v>
      </c>
      <c r="AC102" s="674">
        <f t="shared" si="33"/>
        <v>36.347210395999973</v>
      </c>
      <c r="AD102" s="674">
        <f t="shared" si="33"/>
        <v>6.69999999999997</v>
      </c>
      <c r="AE102" s="674">
        <f t="shared" si="33"/>
        <v>6.69999999999997</v>
      </c>
      <c r="AF102" s="674">
        <f t="shared" si="33"/>
        <v>6.69999999999997</v>
      </c>
      <c r="AG102" s="229"/>
    </row>
    <row r="103" spans="2:33" ht="28.4" customHeight="1" x14ac:dyDescent="0.35">
      <c r="B103" s="704" t="s">
        <v>1797</v>
      </c>
      <c r="C103" s="249"/>
      <c r="D103" s="717"/>
      <c r="E103" s="462"/>
      <c r="F103" s="462"/>
      <c r="G103" s="462"/>
      <c r="H103" s="462"/>
      <c r="I103" s="462"/>
      <c r="J103" s="691"/>
      <c r="K103" s="691"/>
      <c r="L103" s="691"/>
      <c r="M103" s="710"/>
      <c r="N103" s="691"/>
      <c r="O103" s="691"/>
      <c r="P103" s="691"/>
      <c r="Q103" s="710"/>
      <c r="R103" s="691"/>
      <c r="S103" s="691"/>
      <c r="T103" s="691"/>
      <c r="U103" s="691">
        <f>($H$101-$E$101)/3</f>
        <v>6.69999999999997</v>
      </c>
      <c r="V103" s="691">
        <f>($H$101-$E$101)/3</f>
        <v>6.69999999999997</v>
      </c>
      <c r="W103" s="674">
        <f t="shared" ref="W103:AF103" si="34">V103</f>
        <v>6.69999999999997</v>
      </c>
      <c r="X103" s="674">
        <f t="shared" si="34"/>
        <v>6.69999999999997</v>
      </c>
      <c r="Y103" s="674">
        <f t="shared" si="34"/>
        <v>6.69999999999997</v>
      </c>
      <c r="Z103" s="674">
        <f t="shared" si="34"/>
        <v>6.69999999999997</v>
      </c>
      <c r="AA103" s="674">
        <f t="shared" si="34"/>
        <v>6.69999999999997</v>
      </c>
      <c r="AB103" s="674">
        <f t="shared" si="34"/>
        <v>6.69999999999997</v>
      </c>
      <c r="AC103" s="674">
        <f t="shared" si="34"/>
        <v>6.69999999999997</v>
      </c>
      <c r="AD103" s="674">
        <f t="shared" si="34"/>
        <v>6.69999999999997</v>
      </c>
      <c r="AE103" s="674">
        <f t="shared" si="34"/>
        <v>6.69999999999997</v>
      </c>
      <c r="AF103" s="674">
        <f t="shared" si="34"/>
        <v>6.69999999999997</v>
      </c>
      <c r="AG103" s="229"/>
    </row>
    <row r="104" spans="2:33" ht="30.65" customHeight="1" x14ac:dyDescent="0.35">
      <c r="B104" s="705" t="s">
        <v>1798</v>
      </c>
      <c r="C104" s="706"/>
      <c r="D104" s="711"/>
      <c r="E104" s="679"/>
      <c r="F104" s="679"/>
      <c r="G104" s="679"/>
      <c r="H104" s="679"/>
      <c r="I104" s="679"/>
      <c r="J104" s="712"/>
      <c r="K104" s="712"/>
      <c r="L104" s="712"/>
      <c r="M104" s="713"/>
      <c r="N104" s="712"/>
      <c r="O104" s="712"/>
      <c r="P104" s="712"/>
      <c r="Q104" s="713"/>
      <c r="R104" s="712"/>
      <c r="S104" s="712"/>
      <c r="T104" s="712"/>
      <c r="U104" s="712">
        <f>U108*T105</f>
        <v>106.62885299999998</v>
      </c>
      <c r="V104" s="712">
        <f>V108*U105</f>
        <v>0</v>
      </c>
      <c r="W104" s="714">
        <f t="shared" ref="W104:AF104" si="35">W108*V105</f>
        <v>0</v>
      </c>
      <c r="X104" s="714">
        <f t="shared" si="35"/>
        <v>0</v>
      </c>
      <c r="Y104" s="714">
        <f>Y108*X105</f>
        <v>41.168489999999998</v>
      </c>
      <c r="Z104" s="714">
        <f t="shared" si="35"/>
        <v>0</v>
      </c>
      <c r="AA104" s="714">
        <f t="shared" si="35"/>
        <v>0</v>
      </c>
      <c r="AB104" s="714">
        <f t="shared" si="35"/>
        <v>0</v>
      </c>
      <c r="AC104" s="714">
        <f t="shared" si="35"/>
        <v>28.909029799999999</v>
      </c>
      <c r="AD104" s="714">
        <f t="shared" si="35"/>
        <v>0</v>
      </c>
      <c r="AE104" s="714">
        <f t="shared" si="35"/>
        <v>0</v>
      </c>
      <c r="AF104" s="714">
        <f t="shared" si="35"/>
        <v>0</v>
      </c>
      <c r="AG104" s="229"/>
    </row>
    <row r="105" spans="2:33" ht="17.5" customHeight="1" x14ac:dyDescent="0.35">
      <c r="B105" s="571" t="s">
        <v>473</v>
      </c>
      <c r="C105" s="249" t="s">
        <v>474</v>
      </c>
      <c r="D105" s="717">
        <f>'Haver Pivoted'!GO88/1000</f>
        <v>983.86099999999999</v>
      </c>
      <c r="E105" s="462">
        <f>'Haver Pivoted'!GP88/1000</f>
        <v>1019.19</v>
      </c>
      <c r="F105" s="462">
        <f>'Haver Pivoted'!GQ88/1000</f>
        <v>1026.704</v>
      </c>
      <c r="G105" s="462">
        <f>'Haver Pivoted'!GR88/1000</f>
        <v>1034.4169999999999</v>
      </c>
      <c r="H105" s="462">
        <f>'Haver Pivoted'!GS88/1000</f>
        <v>1042.6610000000001</v>
      </c>
      <c r="I105" s="462">
        <f>'Haver Pivoted'!GT88/1000</f>
        <v>1068.201</v>
      </c>
      <c r="J105" s="462">
        <f>'Haver Pivoted'!GU88/1000</f>
        <v>1075.075</v>
      </c>
      <c r="K105" s="462">
        <f>'Haver Pivoted'!GV88/1000</f>
        <v>1080.441</v>
      </c>
      <c r="L105" s="462">
        <f>'Haver Pivoted'!GW88/1000</f>
        <v>1087.9949999999999</v>
      </c>
      <c r="M105" s="462">
        <f>'Haver Pivoted'!GX88/1000</f>
        <v>1105.6379999999999</v>
      </c>
      <c r="N105" s="462">
        <f>'Haver Pivoted'!GY88/1000</f>
        <v>1109.6400000000001</v>
      </c>
      <c r="O105" s="462">
        <f>'Haver Pivoted'!GZ88/1000</f>
        <v>1116.9480000000001</v>
      </c>
      <c r="P105" s="462">
        <f>'Haver Pivoted'!HA88/1000</f>
        <v>1126.174</v>
      </c>
      <c r="Q105" s="462">
        <f>'Haver Pivoted'!HB88/1000</f>
        <v>1198.452</v>
      </c>
      <c r="R105" s="462">
        <f>'Haver Pivoted'!HC88/1000</f>
        <v>1207.163</v>
      </c>
      <c r="S105" s="690">
        <f>'Haver Pivoted'!HD88/1000</f>
        <v>1214.7809999999999</v>
      </c>
      <c r="T105" s="690">
        <f>'Haver Pivoted'!HE88/1000</f>
        <v>1225.6189999999999</v>
      </c>
      <c r="U105" s="690">
        <f>'Haver Pivoted'!HF88/1000</f>
        <v>1339.904</v>
      </c>
      <c r="V105" s="690">
        <f>'Haver Pivoted'!HG88/1000</f>
        <v>1353.2829999999999</v>
      </c>
      <c r="W105" s="674">
        <f t="shared" ref="W105:AF105" si="36">V105+W106</f>
        <v>1364.2829999999999</v>
      </c>
      <c r="X105" s="674">
        <f t="shared" si="36"/>
        <v>1372.2829999999999</v>
      </c>
      <c r="Y105" s="674">
        <f t="shared" si="36"/>
        <v>1421.4514899999999</v>
      </c>
      <c r="Z105" s="674">
        <f t="shared" si="36"/>
        <v>1429.4514899999999</v>
      </c>
      <c r="AA105" s="674">
        <f t="shared" si="36"/>
        <v>1437.4514899999999</v>
      </c>
      <c r="AB105" s="674">
        <f t="shared" si="36"/>
        <v>1445.4514899999999</v>
      </c>
      <c r="AC105" s="674">
        <f t="shared" si="36"/>
        <v>1482.3605198</v>
      </c>
      <c r="AD105" s="674">
        <f t="shared" si="36"/>
        <v>1491.3605198</v>
      </c>
      <c r="AE105" s="674">
        <f t="shared" si="36"/>
        <v>1501.3605198</v>
      </c>
      <c r="AF105" s="674">
        <f t="shared" si="36"/>
        <v>1512.3605198</v>
      </c>
      <c r="AG105" s="229"/>
    </row>
    <row r="106" spans="2:33" ht="17.5" customHeight="1" x14ac:dyDescent="0.35">
      <c r="B106" s="432" t="s">
        <v>1799</v>
      </c>
      <c r="C106" s="249"/>
      <c r="D106" s="717"/>
      <c r="E106" s="462"/>
      <c r="F106" s="462"/>
      <c r="G106" s="462"/>
      <c r="H106" s="462"/>
      <c r="I106" s="462"/>
      <c r="J106" s="462"/>
      <c r="K106" s="462"/>
      <c r="L106" s="462"/>
      <c r="M106" s="462"/>
      <c r="N106" s="462"/>
      <c r="O106" s="462"/>
      <c r="P106" s="462"/>
      <c r="Q106" s="462"/>
      <c r="R106" s="462"/>
      <c r="S106" s="690"/>
      <c r="T106" s="690"/>
      <c r="U106" s="690">
        <f>U104+U107</f>
        <v>114.62885299999998</v>
      </c>
      <c r="V106" s="690">
        <f>V104+V107</f>
        <v>8</v>
      </c>
      <c r="W106" s="674">
        <f t="shared" ref="W106:AF106" si="37">W104+W107</f>
        <v>11</v>
      </c>
      <c r="X106" s="674">
        <f t="shared" si="37"/>
        <v>8</v>
      </c>
      <c r="Y106" s="674">
        <f>Y104+Y107</f>
        <v>49.168489999999998</v>
      </c>
      <c r="Z106" s="674">
        <f t="shared" si="37"/>
        <v>8</v>
      </c>
      <c r="AA106" s="674">
        <f t="shared" si="37"/>
        <v>8</v>
      </c>
      <c r="AB106" s="674">
        <f t="shared" si="37"/>
        <v>8</v>
      </c>
      <c r="AC106" s="674">
        <f t="shared" si="37"/>
        <v>36.909029799999999</v>
      </c>
      <c r="AD106" s="674">
        <f t="shared" si="37"/>
        <v>9</v>
      </c>
      <c r="AE106" s="674">
        <f t="shared" si="37"/>
        <v>10</v>
      </c>
      <c r="AF106" s="674">
        <f t="shared" si="37"/>
        <v>11</v>
      </c>
      <c r="AG106" s="229"/>
    </row>
    <row r="107" spans="2:33" ht="17.5" customHeight="1" x14ac:dyDescent="0.35">
      <c r="B107" s="424" t="s">
        <v>1802</v>
      </c>
      <c r="C107" s="249"/>
      <c r="D107" s="717"/>
      <c r="E107" s="462"/>
      <c r="F107" s="462"/>
      <c r="G107" s="462"/>
      <c r="H107" s="462"/>
      <c r="I107" s="462"/>
      <c r="J107" s="462"/>
      <c r="K107" s="462"/>
      <c r="L107" s="462"/>
      <c r="M107" s="462"/>
      <c r="N107" s="462"/>
      <c r="O107" s="462"/>
      <c r="P107" s="462"/>
      <c r="Q107" s="462"/>
      <c r="R107" s="462"/>
      <c r="S107" s="690"/>
      <c r="T107" s="690"/>
      <c r="U107" s="690">
        <v>8</v>
      </c>
      <c r="V107" s="690">
        <v>8</v>
      </c>
      <c r="W107" s="674">
        <v>11</v>
      </c>
      <c r="X107" s="674">
        <v>8</v>
      </c>
      <c r="Y107" s="674">
        <v>8</v>
      </c>
      <c r="Z107" s="674">
        <v>8</v>
      </c>
      <c r="AA107" s="674">
        <v>8</v>
      </c>
      <c r="AB107" s="674">
        <v>8</v>
      </c>
      <c r="AC107" s="674">
        <v>8</v>
      </c>
      <c r="AD107" s="674">
        <v>9</v>
      </c>
      <c r="AE107" s="674">
        <v>10</v>
      </c>
      <c r="AF107" s="674">
        <v>11</v>
      </c>
      <c r="AG107" s="229"/>
    </row>
    <row r="108" spans="2:33" ht="39" customHeight="1" x14ac:dyDescent="0.35">
      <c r="B108" s="424" t="s">
        <v>1803</v>
      </c>
      <c r="C108" s="249"/>
      <c r="D108" s="717"/>
      <c r="E108" s="462"/>
      <c r="F108" s="462"/>
      <c r="G108" s="462"/>
      <c r="H108" s="462"/>
      <c r="I108" s="679"/>
      <c r="J108" s="679"/>
      <c r="K108" s="679"/>
      <c r="L108" s="679"/>
      <c r="M108" s="679"/>
      <c r="N108" s="679"/>
      <c r="O108" s="679"/>
      <c r="P108" s="679"/>
      <c r="Q108" s="679"/>
      <c r="R108" s="679"/>
      <c r="S108" s="715"/>
      <c r="T108" s="715"/>
      <c r="U108" s="692">
        <v>8.6999999999999994E-2</v>
      </c>
      <c r="V108" s="680">
        <v>0</v>
      </c>
      <c r="W108" s="716">
        <v>0</v>
      </c>
      <c r="X108" s="716">
        <v>0</v>
      </c>
      <c r="Y108" s="716">
        <v>0.03</v>
      </c>
      <c r="Z108" s="716">
        <v>0</v>
      </c>
      <c r="AA108" s="716">
        <v>0</v>
      </c>
      <c r="AB108" s="716">
        <v>0</v>
      </c>
      <c r="AC108" s="716">
        <v>0.02</v>
      </c>
      <c r="AD108" s="716">
        <v>0</v>
      </c>
      <c r="AE108" s="716">
        <v>0</v>
      </c>
      <c r="AF108" s="716">
        <v>0</v>
      </c>
      <c r="AG108" s="229"/>
    </row>
    <row r="109" spans="2:33" ht="49.75" customHeight="1" x14ac:dyDescent="0.35">
      <c r="B109" s="494" t="s">
        <v>1426</v>
      </c>
      <c r="C109" s="249"/>
      <c r="D109" s="717">
        <f t="shared" ref="D109:T109" si="38">D100-D101</f>
        <v>0</v>
      </c>
      <c r="E109" s="462">
        <f t="shared" si="38"/>
        <v>0</v>
      </c>
      <c r="F109" s="462">
        <f t="shared" si="38"/>
        <v>0</v>
      </c>
      <c r="G109" s="462">
        <f t="shared" si="38"/>
        <v>0</v>
      </c>
      <c r="H109" s="462">
        <f t="shared" si="38"/>
        <v>0</v>
      </c>
      <c r="I109" s="462">
        <f t="shared" si="38"/>
        <v>-6.9120000000000346</v>
      </c>
      <c r="J109" s="462">
        <f t="shared" si="38"/>
        <v>-37.9549999999997</v>
      </c>
      <c r="K109" s="462">
        <f t="shared" si="38"/>
        <v>85.725999999999658</v>
      </c>
      <c r="L109" s="462">
        <f t="shared" si="38"/>
        <v>18.405999999999722</v>
      </c>
      <c r="M109" s="462">
        <f t="shared" si="38"/>
        <v>20.282000000000153</v>
      </c>
      <c r="N109" s="462">
        <f t="shared" si="38"/>
        <v>-8.5988400000003367</v>
      </c>
      <c r="O109" s="462">
        <f t="shared" si="38"/>
        <v>-12.537493333333487</v>
      </c>
      <c r="P109" s="462">
        <f t="shared" si="38"/>
        <v>-32.38033333333351</v>
      </c>
      <c r="Q109" s="462">
        <f t="shared" si="38"/>
        <v>72.734879999999521</v>
      </c>
      <c r="R109" s="462">
        <f t="shared" si="38"/>
        <v>75.236879999999019</v>
      </c>
      <c r="S109" s="690">
        <f t="shared" si="38"/>
        <v>65.424879999999348</v>
      </c>
      <c r="T109" s="690">
        <f t="shared" si="38"/>
        <v>112.01587999999924</v>
      </c>
      <c r="U109" s="690">
        <f>U100-U101</f>
        <v>77.109026999999287</v>
      </c>
      <c r="V109" s="690">
        <f>V100-V101</f>
        <v>91.266026999999212</v>
      </c>
      <c r="W109" s="674">
        <f t="shared" ref="W109:AF109" si="39">V109</f>
        <v>91.266026999999212</v>
      </c>
      <c r="X109" s="674">
        <f t="shared" si="39"/>
        <v>91.266026999999212</v>
      </c>
      <c r="Y109" s="674">
        <f t="shared" si="39"/>
        <v>91.266026999999212</v>
      </c>
      <c r="Z109" s="674">
        <f t="shared" si="39"/>
        <v>91.266026999999212</v>
      </c>
      <c r="AA109" s="674">
        <f t="shared" si="39"/>
        <v>91.266026999999212</v>
      </c>
      <c r="AB109" s="674">
        <f t="shared" si="39"/>
        <v>91.266026999999212</v>
      </c>
      <c r="AC109" s="674">
        <f t="shared" si="39"/>
        <v>91.266026999999212</v>
      </c>
      <c r="AD109" s="674">
        <f t="shared" si="39"/>
        <v>91.266026999999212</v>
      </c>
      <c r="AE109" s="674">
        <f t="shared" si="39"/>
        <v>91.266026999999212</v>
      </c>
      <c r="AF109" s="674">
        <f t="shared" si="39"/>
        <v>91.266026999999212</v>
      </c>
      <c r="AG109" s="229"/>
    </row>
    <row r="110" spans="2:33" ht="29.5" customHeight="1" x14ac:dyDescent="0.35">
      <c r="B110" s="284"/>
      <c r="C110" s="249"/>
      <c r="D110" s="238"/>
      <c r="E110" s="238"/>
      <c r="F110" s="238"/>
      <c r="G110" s="238"/>
      <c r="H110" s="238"/>
      <c r="I110" s="238"/>
      <c r="J110" s="238"/>
      <c r="K110" s="238"/>
      <c r="L110" s="238"/>
      <c r="M110" s="238"/>
      <c r="N110" s="238"/>
      <c r="O110" s="238"/>
      <c r="P110" s="238"/>
      <c r="Q110" s="238"/>
      <c r="R110" s="238"/>
      <c r="S110" s="238"/>
      <c r="T110" s="238"/>
      <c r="U110" s="238"/>
      <c r="V110" s="238"/>
      <c r="W110" s="238"/>
      <c r="X110" s="238"/>
      <c r="Y110" s="238"/>
      <c r="Z110" s="238"/>
      <c r="AA110" s="238"/>
      <c r="AB110" s="238"/>
      <c r="AC110" s="238"/>
    </row>
    <row r="111" spans="2:33" ht="16.75" customHeight="1" x14ac:dyDescent="0.35">
      <c r="B111" s="249"/>
      <c r="C111" s="249"/>
      <c r="S111" s="509"/>
      <c r="T111" s="509"/>
      <c r="U111" s="249"/>
      <c r="V111" s="249"/>
      <c r="W111" s="249"/>
      <c r="X111" s="249"/>
      <c r="Y111" s="249"/>
      <c r="Z111" s="249"/>
      <c r="AA111" s="249"/>
      <c r="AB111" s="249"/>
      <c r="AC111" s="249"/>
    </row>
    <row r="112" spans="2:33" ht="16.75" customHeight="1" x14ac:dyDescent="0.35">
      <c r="B112" s="249"/>
      <c r="C112" s="249"/>
      <c r="S112" s="238"/>
      <c r="T112" s="238"/>
      <c r="U112" s="249"/>
      <c r="V112" s="249"/>
      <c r="W112" s="249"/>
      <c r="X112" s="249"/>
      <c r="Y112" s="249"/>
      <c r="Z112" s="249"/>
      <c r="AA112" s="249"/>
      <c r="AB112" s="249"/>
      <c r="AC112" s="249"/>
    </row>
    <row r="113" spans="2:30" ht="16.75" customHeight="1" x14ac:dyDescent="0.35">
      <c r="B113" s="249"/>
      <c r="C113" s="249"/>
      <c r="S113" s="238"/>
      <c r="T113" s="238"/>
      <c r="U113" s="249"/>
      <c r="V113" s="249"/>
      <c r="W113" s="249"/>
      <c r="X113" s="249"/>
      <c r="Y113" s="249"/>
      <c r="Z113" s="249"/>
      <c r="AA113" s="249"/>
      <c r="AB113" s="249"/>
      <c r="AC113" s="249"/>
    </row>
    <row r="114" spans="2:30" ht="16.75" customHeight="1" x14ac:dyDescent="0.35">
      <c r="B114" s="249"/>
      <c r="C114" s="249"/>
      <c r="S114" s="238"/>
      <c r="T114" s="238"/>
      <c r="U114" s="462"/>
      <c r="V114" s="462"/>
      <c r="W114" s="462"/>
      <c r="X114" s="462"/>
      <c r="Y114" s="462"/>
      <c r="Z114" s="462"/>
      <c r="AA114" s="462"/>
      <c r="AB114" s="462"/>
      <c r="AC114" s="462"/>
      <c r="AD114" s="532"/>
    </row>
    <row r="115" spans="2:30" ht="16.75" customHeight="1" x14ac:dyDescent="0.35">
      <c r="B115" s="234"/>
      <c r="C115" s="249"/>
      <c r="S115" s="238"/>
      <c r="T115" s="238"/>
      <c r="U115" s="238"/>
      <c r="V115" s="238"/>
      <c r="W115" s="238"/>
      <c r="X115" s="238"/>
      <c r="Y115" s="238"/>
      <c r="Z115" s="238"/>
      <c r="AA115" s="238"/>
      <c r="AB115" s="238"/>
      <c r="AC115" s="238"/>
      <c r="AD115" s="532"/>
    </row>
    <row r="116" spans="2:30" ht="16.75" customHeight="1" x14ac:dyDescent="0.35">
      <c r="B116" s="234"/>
      <c r="C116" s="249"/>
      <c r="S116" s="238"/>
      <c r="T116" s="238"/>
      <c r="U116" s="238"/>
      <c r="V116" s="238"/>
      <c r="W116" s="238"/>
      <c r="X116" s="238"/>
      <c r="Y116" s="238"/>
      <c r="Z116" s="238"/>
      <c r="AA116" s="238"/>
      <c r="AB116" s="238"/>
      <c r="AC116" s="238"/>
      <c r="AD116" s="532"/>
    </row>
    <row r="117" spans="2:30" ht="16.75" customHeight="1" x14ac:dyDescent="0.35">
      <c r="B117" s="234"/>
      <c r="C117" s="249"/>
      <c r="S117" s="238"/>
      <c r="T117" s="238"/>
      <c r="U117" s="238"/>
      <c r="V117" s="238"/>
      <c r="W117" s="238"/>
      <c r="X117" s="238"/>
      <c r="Y117" s="238"/>
      <c r="Z117" s="238"/>
      <c r="AA117" s="238"/>
      <c r="AB117" s="238"/>
      <c r="AC117" s="238"/>
      <c r="AD117" s="532"/>
    </row>
    <row r="118" spans="2:30" ht="16.75" customHeight="1" x14ac:dyDescent="0.35">
      <c r="B118" s="249"/>
      <c r="C118" s="249"/>
      <c r="S118" s="249"/>
      <c r="T118" s="249"/>
      <c r="U118" s="462"/>
      <c r="V118" s="462"/>
      <c r="W118" s="462"/>
      <c r="X118" s="462"/>
      <c r="Y118" s="462"/>
      <c r="Z118" s="462"/>
      <c r="AA118" s="462"/>
      <c r="AB118" s="462"/>
      <c r="AC118" s="462"/>
      <c r="AD118" s="532"/>
    </row>
    <row r="119" spans="2:30" ht="16.75" customHeight="1" x14ac:dyDescent="0.35">
      <c r="B119" s="234"/>
      <c r="C119" s="249"/>
      <c r="S119" s="249"/>
      <c r="T119" s="249"/>
      <c r="U119" s="462"/>
      <c r="V119" s="462"/>
      <c r="W119" s="462"/>
      <c r="X119" s="462"/>
      <c r="Y119" s="462"/>
      <c r="Z119" s="462"/>
      <c r="AA119" s="462"/>
      <c r="AB119" s="462"/>
      <c r="AC119" s="462"/>
      <c r="AD119" s="532"/>
    </row>
    <row r="120" spans="2:30" ht="16.75" customHeight="1" x14ac:dyDescent="0.35">
      <c r="B120" s="234"/>
      <c r="C120" s="249"/>
      <c r="S120" s="249"/>
      <c r="T120" s="249"/>
      <c r="U120" s="238"/>
      <c r="V120" s="238"/>
      <c r="W120" s="238"/>
      <c r="X120" s="238"/>
      <c r="Y120" s="238"/>
      <c r="Z120" s="238"/>
      <c r="AA120" s="238"/>
      <c r="AB120" s="238"/>
      <c r="AC120" s="238"/>
      <c r="AD120" s="532"/>
    </row>
    <row r="121" spans="2:30" ht="16.75" customHeight="1" x14ac:dyDescent="0.35">
      <c r="B121" s="234"/>
      <c r="C121" s="249"/>
      <c r="S121" s="249"/>
      <c r="T121" s="249"/>
      <c r="U121" s="693"/>
      <c r="V121" s="693"/>
      <c r="W121" s="693"/>
      <c r="X121" s="693"/>
      <c r="Y121" s="693"/>
      <c r="Z121" s="693"/>
      <c r="AA121" s="693"/>
      <c r="AB121" s="693"/>
      <c r="AC121" s="693"/>
      <c r="AD121" s="532"/>
    </row>
    <row r="122" spans="2:30" ht="16.75" customHeight="1" x14ac:dyDescent="0.35">
      <c r="B122" s="249"/>
      <c r="C122" s="249"/>
      <c r="S122" s="238"/>
      <c r="T122" s="238"/>
      <c r="U122" s="238"/>
      <c r="V122" s="238"/>
      <c r="W122" s="238"/>
      <c r="X122" s="238"/>
      <c r="Y122" s="238"/>
      <c r="Z122" s="238"/>
      <c r="AA122" s="238"/>
      <c r="AB122" s="238"/>
      <c r="AC122" s="238"/>
      <c r="AD122" s="532"/>
    </row>
    <row r="123" spans="2:30" ht="22.5" customHeight="1" x14ac:dyDescent="0.35">
      <c r="B123" s="284"/>
      <c r="C123" s="249"/>
      <c r="D123" s="238"/>
      <c r="E123" s="238"/>
      <c r="F123" s="238"/>
      <c r="G123" s="238"/>
      <c r="H123" s="238"/>
      <c r="I123" s="238"/>
      <c r="J123" s="238"/>
      <c r="K123" s="238"/>
      <c r="L123" s="238"/>
      <c r="M123" s="238"/>
      <c r="N123" s="238"/>
      <c r="O123" s="238"/>
      <c r="P123" s="238"/>
      <c r="Q123" s="238"/>
      <c r="R123" s="238"/>
      <c r="S123" s="238"/>
      <c r="T123" s="238"/>
      <c r="U123" s="238"/>
      <c r="V123" s="238"/>
      <c r="W123" s="238"/>
      <c r="X123" s="238"/>
      <c r="Y123" s="238"/>
      <c r="Z123" s="238"/>
      <c r="AA123" s="238"/>
      <c r="AB123" s="238"/>
      <c r="AC123" s="238"/>
    </row>
    <row r="124" spans="2:30" ht="22.5" customHeight="1" x14ac:dyDescent="0.35">
      <c r="B124" s="284"/>
      <c r="C124" s="249"/>
      <c r="D124" s="238"/>
      <c r="E124" s="238"/>
      <c r="F124" s="238"/>
      <c r="G124" s="238"/>
      <c r="H124" s="238"/>
      <c r="I124" s="238"/>
      <c r="J124" s="238"/>
      <c r="K124" s="238"/>
      <c r="L124" s="238"/>
      <c r="M124" s="238"/>
      <c r="N124" s="238"/>
      <c r="O124" s="238"/>
      <c r="P124" s="238"/>
      <c r="Q124" s="238"/>
      <c r="R124" s="238"/>
      <c r="S124" s="238"/>
      <c r="T124" s="238"/>
      <c r="U124" s="238"/>
      <c r="V124" s="238"/>
      <c r="W124" s="238"/>
      <c r="X124" s="238"/>
      <c r="Y124" s="238"/>
      <c r="Z124" s="238"/>
      <c r="AA124" s="238"/>
      <c r="AB124" s="238"/>
      <c r="AC124" s="238"/>
    </row>
    <row r="125" spans="2:30" ht="38.5" customHeight="1" x14ac:dyDescent="0.35">
      <c r="B125" s="503"/>
      <c r="C125" s="604">
        <v>2022</v>
      </c>
      <c r="D125" s="965">
        <v>2023</v>
      </c>
      <c r="E125" s="965">
        <v>2024</v>
      </c>
      <c r="F125" s="966">
        <v>2025</v>
      </c>
      <c r="G125" s="238">
        <v>2026</v>
      </c>
      <c r="H125" s="238"/>
      <c r="I125" s="238"/>
      <c r="J125" s="238"/>
      <c r="K125" s="238"/>
      <c r="L125" s="238"/>
      <c r="M125" s="238"/>
      <c r="N125" s="238"/>
      <c r="O125" s="238"/>
      <c r="P125" s="238"/>
      <c r="Q125" s="238"/>
      <c r="R125" s="238"/>
      <c r="S125" s="238"/>
      <c r="T125" s="238"/>
      <c r="U125" s="238"/>
      <c r="V125" s="238"/>
      <c r="W125" s="238"/>
      <c r="X125" s="238"/>
      <c r="Y125" s="238"/>
      <c r="Z125" s="238"/>
      <c r="AA125" s="238"/>
      <c r="AB125" s="238"/>
      <c r="AC125" s="238"/>
    </row>
    <row r="126" spans="2:30" ht="38.5" customHeight="1" x14ac:dyDescent="0.35">
      <c r="B126" s="539" t="s">
        <v>1796</v>
      </c>
      <c r="C126" s="270">
        <v>1212.4870000000001</v>
      </c>
      <c r="D126" s="270">
        <v>1344.7529999999999</v>
      </c>
      <c r="E126" s="270">
        <v>1456.7</v>
      </c>
      <c r="F126" s="270">
        <v>1553.5309999999999</v>
      </c>
      <c r="G126" s="270">
        <v>1643.9870000000001</v>
      </c>
      <c r="H126" s="238"/>
      <c r="I126" s="238"/>
      <c r="J126" s="238"/>
      <c r="K126" s="238"/>
      <c r="L126" s="238"/>
      <c r="M126" s="238"/>
      <c r="N126" s="238"/>
      <c r="O126" s="238"/>
      <c r="P126" s="238"/>
      <c r="Q126" s="238"/>
      <c r="R126" s="238"/>
      <c r="S126" s="238"/>
      <c r="T126" s="238"/>
      <c r="U126" s="238"/>
      <c r="V126" s="238"/>
      <c r="W126" s="238"/>
      <c r="X126" s="238"/>
      <c r="Y126" s="238"/>
      <c r="Z126" s="238"/>
      <c r="AA126" s="238"/>
      <c r="AB126" s="238"/>
      <c r="AC126" s="238"/>
    </row>
    <row r="127" spans="2:30" ht="69" customHeight="1" x14ac:dyDescent="0.35">
      <c r="B127" s="284"/>
      <c r="C127" s="249"/>
      <c r="D127" s="238"/>
      <c r="E127" s="238"/>
      <c r="F127" s="238"/>
      <c r="G127" s="238"/>
      <c r="H127" s="238"/>
      <c r="I127" s="238"/>
      <c r="J127" s="238"/>
      <c r="K127" s="238"/>
      <c r="L127" s="238"/>
      <c r="M127" s="238"/>
      <c r="N127" s="238"/>
      <c r="O127" s="238"/>
      <c r="P127" s="238"/>
      <c r="Q127" s="238"/>
      <c r="R127" s="238"/>
      <c r="S127" s="238"/>
      <c r="T127" s="238"/>
      <c r="U127" s="238"/>
      <c r="V127" s="238"/>
      <c r="W127" s="238"/>
      <c r="X127" s="238"/>
      <c r="Y127" s="238"/>
      <c r="Z127" s="238"/>
      <c r="AA127" s="238"/>
      <c r="AB127" s="238"/>
      <c r="AC127" s="238"/>
    </row>
    <row r="128" spans="2:30" x14ac:dyDescent="0.35">
      <c r="B128" s="69" t="s">
        <v>1425</v>
      </c>
      <c r="D128" s="249"/>
      <c r="E128" s="249"/>
      <c r="F128" s="249"/>
      <c r="G128" s="249"/>
      <c r="H128" s="249"/>
      <c r="I128" s="249"/>
      <c r="J128" s="249"/>
      <c r="K128" s="249"/>
      <c r="L128" s="249"/>
      <c r="M128" s="238"/>
      <c r="N128" s="238"/>
      <c r="O128" s="238"/>
      <c r="P128" s="249"/>
    </row>
    <row r="129" spans="2:18" x14ac:dyDescent="0.35">
      <c r="B129" s="578" t="s">
        <v>806</v>
      </c>
      <c r="C129" s="443"/>
      <c r="D129" s="957">
        <v>2021</v>
      </c>
      <c r="E129" s="957">
        <v>2022</v>
      </c>
      <c r="F129" s="957">
        <v>2023</v>
      </c>
      <c r="G129" s="958">
        <v>2024</v>
      </c>
      <c r="R129" s="532"/>
    </row>
    <row r="130" spans="2:18" x14ac:dyDescent="0.35">
      <c r="B130" s="634" t="s">
        <v>807</v>
      </c>
      <c r="C130" s="963"/>
      <c r="D130" s="953">
        <v>3605.8330000000001</v>
      </c>
      <c r="E130" s="953">
        <v>2900</v>
      </c>
      <c r="F130" s="953">
        <f>E130*1.02</f>
        <v>2958</v>
      </c>
      <c r="G130" s="954">
        <f>F130*1.06</f>
        <v>3135.48</v>
      </c>
    </row>
    <row r="131" spans="2:18" x14ac:dyDescent="0.35">
      <c r="B131" s="634" t="s">
        <v>810</v>
      </c>
      <c r="C131" s="955"/>
      <c r="D131" s="744">
        <f>AVERAGE(Medicare!L10:O10)</f>
        <v>862.99999999999989</v>
      </c>
      <c r="E131" s="744">
        <f>AVERAGE(Medicare!P10:S10)</f>
        <v>921</v>
      </c>
      <c r="F131" s="744">
        <f>AVERAGE(Medicare!T10:W10)</f>
        <v>990.32499999999993</v>
      </c>
      <c r="G131" s="961">
        <f>AVERAGE(Medicare!X10:AA10)</f>
        <v>1060.45</v>
      </c>
    </row>
    <row r="132" spans="2:18" ht="13.4" customHeight="1" x14ac:dyDescent="0.35">
      <c r="B132" s="634" t="s">
        <v>808</v>
      </c>
      <c r="C132" s="955"/>
      <c r="D132" s="744">
        <f>D130-D131</f>
        <v>2742.8330000000001</v>
      </c>
      <c r="E132" s="744">
        <f t="shared" ref="E132:G132" si="40">E130-E131</f>
        <v>1979</v>
      </c>
      <c r="F132" s="744">
        <f t="shared" si="40"/>
        <v>1967.6750000000002</v>
      </c>
      <c r="G132" s="961">
        <f t="shared" si="40"/>
        <v>2075.0299999999997</v>
      </c>
    </row>
    <row r="133" spans="2:18" x14ac:dyDescent="0.35">
      <c r="B133" s="634" t="s">
        <v>811</v>
      </c>
      <c r="C133" s="955"/>
      <c r="D133" s="744">
        <f>AVERAGE(L12:O12)</f>
        <v>3637.2999999999997</v>
      </c>
      <c r="E133" s="744">
        <f>AVERAGE(P12:S12)</f>
        <v>2967.5250000000001</v>
      </c>
      <c r="F133" s="744">
        <f>AVERAGE(T12:W12)</f>
        <v>3086.4962499999997</v>
      </c>
      <c r="G133" s="961">
        <f>AVERAGE(X12:AA12)</f>
        <v>3320.0816585250004</v>
      </c>
    </row>
    <row r="134" spans="2:18" x14ac:dyDescent="0.35">
      <c r="B134" s="634" t="s">
        <v>810</v>
      </c>
      <c r="C134" s="955"/>
      <c r="D134" s="744">
        <f>AVERAGE(Medicare!L10:O10)</f>
        <v>862.99999999999989</v>
      </c>
      <c r="E134" s="744">
        <f>AVERAGE(Medicare!P10:S10)</f>
        <v>921</v>
      </c>
      <c r="F134" s="744">
        <f>AVERAGE(Medicare!T10:W10)</f>
        <v>990.32499999999993</v>
      </c>
      <c r="G134" s="961">
        <f>AVERAGE(Medicare!X10:AA10)</f>
        <v>1060.45</v>
      </c>
    </row>
    <row r="135" spans="2:18" x14ac:dyDescent="0.35">
      <c r="B135" s="634" t="s">
        <v>530</v>
      </c>
      <c r="C135" s="955"/>
      <c r="D135" s="744">
        <f>AVERAGE(L39:O39)</f>
        <v>1585.7822500000004</v>
      </c>
      <c r="E135" s="744">
        <f>AVERAGE(P39:S39)</f>
        <v>1670.9233400000005</v>
      </c>
      <c r="F135" s="744">
        <f>AVERAGE(T39:W39)</f>
        <v>1795.6717597500008</v>
      </c>
      <c r="G135" s="961">
        <f>AVERAGE(X39:AA39)</f>
        <v>1881.1116315250006</v>
      </c>
    </row>
    <row r="136" spans="2:18" ht="27.65" customHeight="1" x14ac:dyDescent="0.35">
      <c r="B136" s="956" t="s">
        <v>809</v>
      </c>
      <c r="C136" s="570"/>
      <c r="D136" s="626"/>
      <c r="E136" s="959">
        <v>1.157</v>
      </c>
      <c r="F136" s="959">
        <v>1.0109999999999999</v>
      </c>
      <c r="G136" s="962">
        <v>1.0529999999999999</v>
      </c>
    </row>
    <row r="137" spans="2:18" x14ac:dyDescent="0.35">
      <c r="B137" s="249" t="s">
        <v>812</v>
      </c>
      <c r="D137" s="960">
        <f>D133-D130</f>
        <v>31.466999999999643</v>
      </c>
      <c r="E137" s="960">
        <f>E133-E130</f>
        <v>67.525000000000091</v>
      </c>
      <c r="F137" s="960">
        <f>F133-F130</f>
        <v>128.49624999999969</v>
      </c>
      <c r="G137" s="960">
        <f t="shared" ref="G137" si="41">G133-G130</f>
        <v>184.6016585250004</v>
      </c>
    </row>
    <row r="139" spans="2:18" x14ac:dyDescent="0.35">
      <c r="B139" t="s">
        <v>807</v>
      </c>
      <c r="D139">
        <v>3605.8330000000001</v>
      </c>
      <c r="E139">
        <v>2832.5949999999998</v>
      </c>
      <c r="F139">
        <v>2833.72</v>
      </c>
      <c r="G139">
        <v>2976.7339999999999</v>
      </c>
    </row>
  </sheetData>
  <mergeCells count="33">
    <mergeCell ref="B93:C95"/>
    <mergeCell ref="D93:V93"/>
    <mergeCell ref="W93:AG93"/>
    <mergeCell ref="E94:H94"/>
    <mergeCell ref="I94:L94"/>
    <mergeCell ref="M94:P94"/>
    <mergeCell ref="Q94:T94"/>
    <mergeCell ref="Y94:AB94"/>
    <mergeCell ref="AC94:AF94"/>
    <mergeCell ref="B82:C84"/>
    <mergeCell ref="D82:V82"/>
    <mergeCell ref="W82:AG82"/>
    <mergeCell ref="E83:H83"/>
    <mergeCell ref="I83:L83"/>
    <mergeCell ref="M83:P83"/>
    <mergeCell ref="Q83:T83"/>
    <mergeCell ref="Y83:AB83"/>
    <mergeCell ref="AC83:AF83"/>
    <mergeCell ref="B81:AC81"/>
    <mergeCell ref="B1:AC1"/>
    <mergeCell ref="B2:AC6"/>
    <mergeCell ref="P8:V8"/>
    <mergeCell ref="W8:AC8"/>
    <mergeCell ref="E9:H9"/>
    <mergeCell ref="I9:L9"/>
    <mergeCell ref="M9:P9"/>
    <mergeCell ref="Q9:T9"/>
    <mergeCell ref="Y9:AB9"/>
    <mergeCell ref="B11:C11"/>
    <mergeCell ref="B43:C43"/>
    <mergeCell ref="B51:C51"/>
    <mergeCell ref="B68:C68"/>
    <mergeCell ref="U75:X77"/>
  </mergeCells>
  <pageMargins left="0.7" right="0.7" top="0.75" bottom="0.75" header="0.3" footer="0.3"/>
  <pageSetup paperSize="9" orientation="portrait" horizontalDpi="300" verticalDpi="300"/>
  <drawing r:id="rId1"/>
  <legacy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5" tint="0.59999389629810485"/>
  </sheetPr>
  <dimension ref="M1:AA37"/>
  <sheetViews>
    <sheetView workbookViewId="0">
      <selection activeCell="N25" sqref="N25"/>
    </sheetView>
  </sheetViews>
  <sheetFormatPr defaultColWidth="10.90625" defaultRowHeight="14.5" x14ac:dyDescent="0.35"/>
  <sheetData>
    <row r="1" spans="13:27" x14ac:dyDescent="0.35">
      <c r="M1" s="69" t="s">
        <v>1852</v>
      </c>
      <c r="S1" s="69" t="s">
        <v>1853</v>
      </c>
      <c r="Z1" t="s">
        <v>1884</v>
      </c>
      <c r="AA1" t="s">
        <v>1885</v>
      </c>
    </row>
    <row r="2" spans="13:27" x14ac:dyDescent="0.35">
      <c r="M2" t="s">
        <v>1854</v>
      </c>
      <c r="Q2">
        <v>2952.3</v>
      </c>
      <c r="S2" t="s">
        <v>1854</v>
      </c>
      <c r="X2">
        <v>2952.3</v>
      </c>
      <c r="Z2">
        <v>2917.6753774795288</v>
      </c>
      <c r="AA2" s="673">
        <v>2928.3</v>
      </c>
    </row>
    <row r="3" spans="13:27" x14ac:dyDescent="0.35">
      <c r="M3" t="s">
        <v>1855</v>
      </c>
      <c r="P3" t="s">
        <v>1856</v>
      </c>
      <c r="Q3">
        <v>23.1</v>
      </c>
      <c r="S3" t="s">
        <v>1855</v>
      </c>
      <c r="W3" t="s">
        <v>1856</v>
      </c>
      <c r="X3">
        <v>23.1</v>
      </c>
      <c r="Z3">
        <v>22.62857142857143</v>
      </c>
      <c r="AA3">
        <v>22.62857142857143</v>
      </c>
    </row>
    <row r="4" spans="13:27" x14ac:dyDescent="0.35">
      <c r="M4" t="s">
        <v>55</v>
      </c>
      <c r="P4" t="s">
        <v>1856</v>
      </c>
      <c r="Q4">
        <v>967.3</v>
      </c>
      <c r="S4" t="s">
        <v>55</v>
      </c>
      <c r="W4" t="s">
        <v>1856</v>
      </c>
      <c r="X4">
        <v>967.3</v>
      </c>
      <c r="Z4">
        <v>944.50347271762462</v>
      </c>
      <c r="AA4">
        <v>946.3</v>
      </c>
    </row>
    <row r="5" spans="13:27" x14ac:dyDescent="0.35">
      <c r="M5" t="s">
        <v>56</v>
      </c>
      <c r="P5" t="s">
        <v>1856</v>
      </c>
      <c r="Q5">
        <v>0</v>
      </c>
      <c r="S5" t="s">
        <v>56</v>
      </c>
      <c r="W5" t="s">
        <v>1856</v>
      </c>
      <c r="X5">
        <v>0</v>
      </c>
      <c r="Z5">
        <v>0</v>
      </c>
      <c r="AA5">
        <v>0</v>
      </c>
    </row>
    <row r="6" spans="13:27" x14ac:dyDescent="0.35">
      <c r="M6" t="s">
        <v>1857</v>
      </c>
      <c r="P6" t="s">
        <v>1856</v>
      </c>
      <c r="Q6">
        <v>0</v>
      </c>
      <c r="S6" t="s">
        <v>1857</v>
      </c>
      <c r="W6" t="s">
        <v>1856</v>
      </c>
      <c r="X6">
        <v>0</v>
      </c>
      <c r="Z6">
        <v>0</v>
      </c>
      <c r="AA6">
        <v>0</v>
      </c>
    </row>
    <row r="7" spans="13:27" x14ac:dyDescent="0.35">
      <c r="Q7">
        <f>Q2-SUM(Q3:Q6)</f>
        <v>1961.9</v>
      </c>
      <c r="X7">
        <f>X2-SUM(X3:X6)</f>
        <v>1961.9</v>
      </c>
      <c r="Z7">
        <f>Z2-SUM(Z3:Z6)</f>
        <v>1950.5433333333328</v>
      </c>
      <c r="AA7">
        <f>AA2-SUM(AA3:AA6)</f>
        <v>1959.3714285714289</v>
      </c>
    </row>
    <row r="8" spans="13:27" x14ac:dyDescent="0.35">
      <c r="S8" t="s">
        <v>1858</v>
      </c>
      <c r="W8" t="s">
        <v>1856</v>
      </c>
      <c r="X8">
        <v>34</v>
      </c>
    </row>
    <row r="9" spans="13:27" x14ac:dyDescent="0.35">
      <c r="S9" t="s">
        <v>1858</v>
      </c>
      <c r="W9" t="s">
        <v>1859</v>
      </c>
      <c r="X9">
        <v>34</v>
      </c>
    </row>
    <row r="10" spans="13:27" x14ac:dyDescent="0.35">
      <c r="S10" t="s">
        <v>1860</v>
      </c>
      <c r="W10" t="s">
        <v>1856</v>
      </c>
      <c r="X10">
        <v>37.700000000000003</v>
      </c>
    </row>
    <row r="11" spans="13:27" x14ac:dyDescent="0.35">
      <c r="S11" t="s">
        <v>1860</v>
      </c>
      <c r="W11" t="s">
        <v>1859</v>
      </c>
      <c r="X11">
        <v>37.700000000000003</v>
      </c>
    </row>
    <row r="12" spans="13:27" x14ac:dyDescent="0.35">
      <c r="S12" t="s">
        <v>468</v>
      </c>
      <c r="W12" t="s">
        <v>1856</v>
      </c>
      <c r="X12">
        <v>0</v>
      </c>
    </row>
    <row r="13" spans="13:27" x14ac:dyDescent="0.35">
      <c r="S13" t="s">
        <v>468</v>
      </c>
      <c r="W13" t="s">
        <v>1859</v>
      </c>
      <c r="X13">
        <v>0</v>
      </c>
    </row>
    <row r="14" spans="13:27" x14ac:dyDescent="0.35">
      <c r="S14" t="s">
        <v>1862</v>
      </c>
      <c r="W14" t="s">
        <v>1856</v>
      </c>
      <c r="X14">
        <v>21.9</v>
      </c>
    </row>
    <row r="15" spans="13:27" x14ac:dyDescent="0.35">
      <c r="S15" t="s">
        <v>1862</v>
      </c>
      <c r="W15" t="s">
        <v>1859</v>
      </c>
      <c r="X15">
        <f>X8-X9+X10-X11+X12-X13+X14</f>
        <v>21.9</v>
      </c>
      <c r="Z15">
        <v>21.9</v>
      </c>
      <c r="AA15">
        <v>21.89</v>
      </c>
    </row>
    <row r="16" spans="13:27" x14ac:dyDescent="0.35">
      <c r="X16">
        <f>X7-X8+X9-X10+X11-X12+X13-X14+X15</f>
        <v>1961.9</v>
      </c>
    </row>
    <row r="17" spans="13:27" x14ac:dyDescent="0.35">
      <c r="S17" t="s">
        <v>1861</v>
      </c>
      <c r="W17" t="s">
        <v>1856</v>
      </c>
      <c r="X17">
        <v>12</v>
      </c>
      <c r="Z17">
        <v>12</v>
      </c>
      <c r="AA17">
        <v>12</v>
      </c>
    </row>
    <row r="18" spans="13:27" x14ac:dyDescent="0.35">
      <c r="S18" t="s">
        <v>218</v>
      </c>
      <c r="W18" t="s">
        <v>1856</v>
      </c>
      <c r="X18">
        <v>1.4</v>
      </c>
      <c r="Z18">
        <v>1.4</v>
      </c>
      <c r="AA18">
        <v>1.4</v>
      </c>
    </row>
    <row r="19" spans="13:27" x14ac:dyDescent="0.35">
      <c r="X19">
        <f>X16-X17-X18</f>
        <v>1948.5</v>
      </c>
      <c r="Z19">
        <f>Z7-Z17-Z18+Z15</f>
        <v>1959.0433333333328</v>
      </c>
      <c r="AA19">
        <f>AA7-AA17-AA18+AA15</f>
        <v>1967.8614285714289</v>
      </c>
    </row>
    <row r="21" spans="13:27" x14ac:dyDescent="0.35">
      <c r="M21" s="69" t="s">
        <v>1863</v>
      </c>
    </row>
    <row r="22" spans="13:27" x14ac:dyDescent="0.35">
      <c r="M22" s="892" t="s">
        <v>123</v>
      </c>
      <c r="N22" s="516"/>
      <c r="O22" s="516"/>
      <c r="P22" s="516"/>
      <c r="Q22" s="516"/>
      <c r="R22" s="516"/>
      <c r="S22" s="516"/>
      <c r="T22" s="516"/>
      <c r="U22" s="516"/>
      <c r="V22" s="516"/>
      <c r="W22" s="746"/>
    </row>
    <row r="23" spans="13:27" x14ac:dyDescent="0.35">
      <c r="M23" s="981" t="s">
        <v>1872</v>
      </c>
      <c r="W23" s="239"/>
    </row>
    <row r="24" spans="13:27" x14ac:dyDescent="0.35">
      <c r="M24" s="981" t="s">
        <v>1871</v>
      </c>
      <c r="N24" s="102"/>
      <c r="O24" s="102"/>
      <c r="P24" s="102"/>
      <c r="Q24" s="102"/>
      <c r="R24" s="102"/>
      <c r="S24" s="102"/>
      <c r="T24" s="102"/>
      <c r="U24" s="102"/>
      <c r="V24" s="102"/>
      <c r="W24" s="982"/>
      <c r="X24" s="102"/>
      <c r="Y24" s="102"/>
    </row>
    <row r="25" spans="13:27" x14ac:dyDescent="0.35">
      <c r="M25" s="41" t="s">
        <v>203</v>
      </c>
      <c r="W25" s="239"/>
    </row>
    <row r="26" spans="13:27" x14ac:dyDescent="0.35">
      <c r="M26" s="41" t="s">
        <v>205</v>
      </c>
      <c r="W26" s="239"/>
    </row>
    <row r="27" spans="13:27" x14ac:dyDescent="0.35">
      <c r="M27" s="41" t="s">
        <v>56</v>
      </c>
      <c r="W27" s="239"/>
    </row>
    <row r="28" spans="13:27" x14ac:dyDescent="0.35">
      <c r="M28" s="41" t="s">
        <v>214</v>
      </c>
      <c r="W28" s="239"/>
    </row>
    <row r="29" spans="13:27" x14ac:dyDescent="0.35">
      <c r="M29" s="41" t="s">
        <v>1864</v>
      </c>
      <c r="W29" s="239"/>
    </row>
    <row r="30" spans="13:27" x14ac:dyDescent="0.35">
      <c r="M30" s="983" t="s">
        <v>1865</v>
      </c>
      <c r="N30" s="35"/>
      <c r="O30" s="35"/>
      <c r="P30" s="35"/>
      <c r="Q30" s="35"/>
      <c r="R30" s="35"/>
      <c r="S30" s="35"/>
      <c r="T30" s="35"/>
      <c r="U30" s="35"/>
      <c r="V30" s="35"/>
      <c r="W30" s="240"/>
      <c r="X30" t="s">
        <v>1866</v>
      </c>
    </row>
    <row r="31" spans="13:27" x14ac:dyDescent="0.35">
      <c r="M31" s="984" t="s">
        <v>1861</v>
      </c>
      <c r="N31" s="516"/>
      <c r="O31" s="516"/>
      <c r="P31" s="516"/>
      <c r="Q31" s="516"/>
      <c r="R31" s="516"/>
      <c r="S31" s="516"/>
      <c r="T31" s="516"/>
      <c r="U31" s="516"/>
      <c r="V31" s="516"/>
      <c r="W31" s="746"/>
    </row>
    <row r="32" spans="13:27" x14ac:dyDescent="0.35">
      <c r="M32" s="983" t="s">
        <v>218</v>
      </c>
      <c r="N32" s="35"/>
      <c r="O32" s="35"/>
      <c r="P32" s="35"/>
      <c r="Q32" s="35"/>
      <c r="R32" s="35"/>
      <c r="S32" s="35"/>
      <c r="T32" s="35"/>
      <c r="U32" s="35"/>
      <c r="V32" s="35"/>
      <c r="W32" s="240"/>
      <c r="X32" t="s">
        <v>1867</v>
      </c>
    </row>
    <row r="33" spans="13:24" x14ac:dyDescent="0.35">
      <c r="M33" s="984" t="s">
        <v>135</v>
      </c>
      <c r="N33" s="516"/>
      <c r="O33" s="516"/>
      <c r="P33" s="516"/>
      <c r="Q33" s="516"/>
      <c r="R33" s="516"/>
      <c r="S33" s="516"/>
      <c r="T33" s="516"/>
      <c r="U33" s="516"/>
      <c r="V33" s="516"/>
      <c r="W33" s="746"/>
    </row>
    <row r="34" spans="13:24" x14ac:dyDescent="0.35">
      <c r="M34" s="41" t="s">
        <v>136</v>
      </c>
      <c r="W34" s="239"/>
    </row>
    <row r="35" spans="13:24" x14ac:dyDescent="0.35">
      <c r="M35" s="41" t="s">
        <v>1868</v>
      </c>
      <c r="W35" s="239"/>
    </row>
    <row r="36" spans="13:24" x14ac:dyDescent="0.35">
      <c r="M36" s="41" t="s">
        <v>129</v>
      </c>
      <c r="W36" s="239"/>
    </row>
    <row r="37" spans="13:24" x14ac:dyDescent="0.35">
      <c r="M37" s="983" t="s">
        <v>1869</v>
      </c>
      <c r="N37" s="35"/>
      <c r="O37" s="35"/>
      <c r="P37" s="35"/>
      <c r="Q37" s="35"/>
      <c r="R37" s="35"/>
      <c r="S37" s="35"/>
      <c r="T37" s="35"/>
      <c r="U37" s="35"/>
      <c r="V37" s="35"/>
      <c r="W37" s="240"/>
      <c r="X37" t="s">
        <v>1870</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5" tint="0.59999389629810485"/>
  </sheetPr>
  <dimension ref="G1:AC73"/>
  <sheetViews>
    <sheetView topLeftCell="G1" zoomScale="90" zoomScaleNormal="90" workbookViewId="0">
      <selection activeCell="T29" sqref="T29"/>
    </sheetView>
  </sheetViews>
  <sheetFormatPr defaultColWidth="10.90625" defaultRowHeight="14.5" x14ac:dyDescent="0.35"/>
  <cols>
    <col min="1" max="6" width="0" hidden="1" customWidth="1"/>
    <col min="8" max="8" width="22.453125" customWidth="1"/>
    <col min="9" max="9" width="11.453125" customWidth="1"/>
    <col min="10" max="10" width="13.1796875" customWidth="1"/>
    <col min="11" max="11" width="11.1796875" customWidth="1"/>
    <col min="12" max="12" width="10.1796875" customWidth="1"/>
    <col min="13" max="13" width="9.453125" customWidth="1"/>
    <col min="14" max="15" width="8.81640625" customWidth="1"/>
    <col min="16" max="16" width="11.81640625" customWidth="1"/>
    <col min="17" max="18" width="8.81640625" customWidth="1"/>
    <col min="19" max="19" width="9.453125" customWidth="1"/>
  </cols>
  <sheetData>
    <row r="1" spans="8:22" x14ac:dyDescent="0.35">
      <c r="H1" s="1318" t="s">
        <v>315</v>
      </c>
      <c r="I1" s="1318"/>
      <c r="J1" s="1318"/>
      <c r="K1" s="1318"/>
      <c r="L1" s="1318"/>
      <c r="M1" s="1318"/>
      <c r="N1" s="1318"/>
      <c r="O1" s="1318"/>
      <c r="P1" s="1318"/>
      <c r="Q1" s="1318"/>
      <c r="R1" s="1318"/>
      <c r="S1" s="1318"/>
    </row>
    <row r="2" spans="8:22" x14ac:dyDescent="0.35">
      <c r="H2" s="1360" t="s">
        <v>316</v>
      </c>
      <c r="I2" s="1360"/>
      <c r="J2" s="1360"/>
      <c r="K2" s="1360"/>
      <c r="L2" s="1360"/>
      <c r="M2" s="1360"/>
      <c r="N2" s="1360"/>
      <c r="O2" s="1360"/>
      <c r="P2" s="1360"/>
      <c r="Q2" s="1360"/>
      <c r="R2" s="1360"/>
      <c r="S2" s="1360"/>
    </row>
    <row r="3" spans="8:22" x14ac:dyDescent="0.35">
      <c r="H3" s="1360"/>
      <c r="I3" s="1360"/>
      <c r="J3" s="1360"/>
      <c r="K3" s="1360"/>
      <c r="L3" s="1360"/>
      <c r="M3" s="1360"/>
      <c r="N3" s="1360"/>
      <c r="O3" s="1360"/>
      <c r="P3" s="1360"/>
      <c r="Q3" s="1360"/>
      <c r="R3" s="1360"/>
      <c r="S3" s="1360"/>
    </row>
    <row r="4" spans="8:22" x14ac:dyDescent="0.35">
      <c r="H4" s="1360"/>
      <c r="I4" s="1360"/>
      <c r="J4" s="1360"/>
      <c r="K4" s="1360"/>
      <c r="L4" s="1360"/>
      <c r="M4" s="1360"/>
      <c r="N4" s="1360"/>
      <c r="O4" s="1360"/>
      <c r="P4" s="1360"/>
      <c r="Q4" s="1360"/>
      <c r="R4" s="1360"/>
      <c r="S4" s="1360"/>
    </row>
    <row r="5" spans="8:22" ht="54.75" customHeight="1" x14ac:dyDescent="0.35">
      <c r="H5" s="1360"/>
      <c r="I5" s="1360"/>
      <c r="J5" s="1360"/>
      <c r="K5" s="1360"/>
      <c r="L5" s="1360"/>
      <c r="M5" s="1360"/>
      <c r="N5" s="1360"/>
      <c r="O5" s="1360"/>
      <c r="P5" s="1360"/>
      <c r="Q5" s="1360"/>
      <c r="R5" s="1360"/>
      <c r="S5" s="1360"/>
    </row>
    <row r="6" spans="8:22" x14ac:dyDescent="0.35">
      <c r="H6" s="234"/>
      <c r="I6" s="234"/>
      <c r="J6" s="234"/>
      <c r="K6" s="234"/>
      <c r="L6" s="234"/>
      <c r="M6" s="234"/>
      <c r="N6" s="234"/>
      <c r="O6" s="234"/>
      <c r="P6" s="234"/>
      <c r="Q6" s="234"/>
      <c r="R6" s="234"/>
      <c r="S6" s="234"/>
    </row>
    <row r="7" spans="8:22" x14ac:dyDescent="0.35">
      <c r="H7" s="998" t="s">
        <v>317</v>
      </c>
    </row>
    <row r="8" spans="8:22" ht="16.399999999999999" customHeight="1" x14ac:dyDescent="0.35"/>
    <row r="9" spans="8:22" ht="15.75" customHeight="1" x14ac:dyDescent="0.35">
      <c r="L9" s="1342">
        <v>2020</v>
      </c>
      <c r="M9" s="1343"/>
      <c r="N9" s="1343"/>
      <c r="O9" s="442">
        <v>2021</v>
      </c>
      <c r="P9" s="442"/>
      <c r="Q9" s="442"/>
      <c r="R9" s="989"/>
    </row>
    <row r="10" spans="8:22" ht="41.9" customHeight="1" x14ac:dyDescent="0.35">
      <c r="H10" s="993" t="s">
        <v>318</v>
      </c>
      <c r="I10" s="993" t="s">
        <v>319</v>
      </c>
      <c r="J10" s="994" t="s">
        <v>320</v>
      </c>
      <c r="K10" s="245"/>
      <c r="L10" s="1003" t="s">
        <v>283</v>
      </c>
      <c r="M10" s="1004" t="s">
        <v>238</v>
      </c>
      <c r="N10" s="1004" t="s">
        <v>281</v>
      </c>
      <c r="O10" s="1004" t="s">
        <v>282</v>
      </c>
      <c r="P10" s="1004" t="s">
        <v>283</v>
      </c>
      <c r="Q10" s="1004" t="s">
        <v>238</v>
      </c>
      <c r="R10" s="992" t="s">
        <v>281</v>
      </c>
      <c r="S10" s="234" t="s">
        <v>321</v>
      </c>
      <c r="T10" s="245"/>
      <c r="U10" s="245"/>
      <c r="V10" s="245"/>
    </row>
    <row r="11" spans="8:22" x14ac:dyDescent="0.35">
      <c r="H11" s="995">
        <v>43934</v>
      </c>
      <c r="I11" s="233">
        <v>248</v>
      </c>
      <c r="J11" s="569">
        <f>I11</f>
        <v>248</v>
      </c>
      <c r="K11" s="233"/>
      <c r="L11" s="986">
        <f>S11/26*J11</f>
        <v>95.384615384615387</v>
      </c>
      <c r="M11" s="635">
        <f>13/26*J11</f>
        <v>124</v>
      </c>
      <c r="N11" s="635">
        <f>J11-SUM(L11:M11)</f>
        <v>28.615384615384613</v>
      </c>
      <c r="O11" s="635"/>
      <c r="P11" s="635"/>
      <c r="Q11" s="635"/>
      <c r="R11" s="610"/>
      <c r="S11" s="233">
        <v>10</v>
      </c>
      <c r="T11" s="233"/>
      <c r="U11" s="1000"/>
      <c r="V11" s="233"/>
    </row>
    <row r="12" spans="8:22" x14ac:dyDescent="0.35">
      <c r="H12" s="1001">
        <v>43937</v>
      </c>
      <c r="I12" s="233">
        <v>342</v>
      </c>
      <c r="J12" s="569">
        <f>I12-I11</f>
        <v>94</v>
      </c>
      <c r="K12" s="233"/>
      <c r="L12" s="986">
        <f t="shared" ref="L12:L20" si="0">S12/26*J12</f>
        <v>36.153846153846153</v>
      </c>
      <c r="M12" s="635">
        <f t="shared" ref="M12:M20" si="1">13/26*J12</f>
        <v>47</v>
      </c>
      <c r="N12" s="635">
        <f t="shared" ref="N12:N21" si="2">J12-SUM(L12:M12)</f>
        <v>10.84615384615384</v>
      </c>
      <c r="O12" s="635"/>
      <c r="P12" s="635"/>
      <c r="Q12" s="635"/>
      <c r="R12" s="610"/>
      <c r="S12" s="233">
        <v>10</v>
      </c>
      <c r="T12" s="233"/>
      <c r="U12" s="233"/>
      <c r="V12" s="233"/>
    </row>
    <row r="13" spans="8:22" x14ac:dyDescent="0.35">
      <c r="H13" s="1001">
        <v>43952</v>
      </c>
      <c r="I13" s="233">
        <v>518</v>
      </c>
      <c r="J13" s="569">
        <f>I13-I12</f>
        <v>176</v>
      </c>
      <c r="K13" s="233"/>
      <c r="L13" s="986">
        <f t="shared" si="0"/>
        <v>54.15384615384616</v>
      </c>
      <c r="M13" s="635">
        <f t="shared" si="1"/>
        <v>88</v>
      </c>
      <c r="N13" s="635">
        <f t="shared" si="2"/>
        <v>33.84615384615384</v>
      </c>
      <c r="O13" s="635"/>
      <c r="P13" s="635"/>
      <c r="Q13" s="635"/>
      <c r="R13" s="610"/>
      <c r="S13" s="233">
        <v>8</v>
      </c>
      <c r="T13" s="233"/>
      <c r="U13" s="233"/>
      <c r="V13" s="233"/>
    </row>
    <row r="14" spans="8:22" x14ac:dyDescent="0.35">
      <c r="H14" s="1001">
        <v>43959</v>
      </c>
      <c r="I14" s="233">
        <v>531</v>
      </c>
      <c r="J14" s="569">
        <f t="shared" ref="J14:J45" si="3">I14-I13</f>
        <v>13</v>
      </c>
      <c r="K14" s="233"/>
      <c r="L14" s="986">
        <f t="shared" si="0"/>
        <v>3.5</v>
      </c>
      <c r="M14" s="635">
        <f t="shared" si="1"/>
        <v>6.5</v>
      </c>
      <c r="N14" s="635">
        <f t="shared" si="2"/>
        <v>3</v>
      </c>
      <c r="O14" s="635"/>
      <c r="P14" s="635"/>
      <c r="Q14" s="635"/>
      <c r="R14" s="610"/>
      <c r="S14" s="233">
        <f t="shared" ref="S14:S20" si="4">S13-1</f>
        <v>7</v>
      </c>
      <c r="T14" s="233"/>
      <c r="U14" s="233"/>
      <c r="V14" s="233"/>
    </row>
    <row r="15" spans="8:22" x14ac:dyDescent="0.35">
      <c r="H15" s="1001">
        <v>43967</v>
      </c>
      <c r="I15" s="233">
        <v>513</v>
      </c>
      <c r="J15" s="569">
        <f t="shared" si="3"/>
        <v>-18</v>
      </c>
      <c r="K15" s="233"/>
      <c r="L15" s="986">
        <f t="shared" ref="L15:L17" si="5">S15/26*J15</f>
        <v>-4.1538461538461542</v>
      </c>
      <c r="M15" s="635">
        <f t="shared" ref="M15:M17" si="6">13/26*J15</f>
        <v>-9</v>
      </c>
      <c r="N15" s="635">
        <f t="shared" ref="N15:N17" si="7">J15-SUM(L15:M15)</f>
        <v>-4.8461538461538467</v>
      </c>
      <c r="O15" s="635"/>
      <c r="P15" s="635"/>
      <c r="Q15" s="635"/>
      <c r="R15" s="610"/>
      <c r="S15" s="233">
        <f t="shared" si="4"/>
        <v>6</v>
      </c>
      <c r="T15" s="233"/>
      <c r="U15" s="233"/>
      <c r="V15" s="233"/>
    </row>
    <row r="16" spans="8:22" x14ac:dyDescent="0.35">
      <c r="H16" s="1001">
        <v>43974</v>
      </c>
      <c r="I16" s="233">
        <v>511</v>
      </c>
      <c r="J16" s="569">
        <f t="shared" si="3"/>
        <v>-2</v>
      </c>
      <c r="K16" s="233"/>
      <c r="L16" s="986">
        <f t="shared" si="5"/>
        <v>-0.38461538461538464</v>
      </c>
      <c r="M16" s="635">
        <f t="shared" si="6"/>
        <v>-1</v>
      </c>
      <c r="N16" s="635">
        <f t="shared" si="7"/>
        <v>-0.61538461538461542</v>
      </c>
      <c r="O16" s="635"/>
      <c r="P16" s="635"/>
      <c r="Q16" s="635"/>
      <c r="R16" s="610"/>
      <c r="S16" s="233">
        <f t="shared" si="4"/>
        <v>5</v>
      </c>
      <c r="T16" s="233"/>
      <c r="U16" s="233"/>
      <c r="V16" s="233"/>
    </row>
    <row r="17" spans="8:22" x14ac:dyDescent="0.35">
      <c r="H17" s="1001">
        <v>43981</v>
      </c>
      <c r="I17" s="233">
        <v>510</v>
      </c>
      <c r="J17" s="569">
        <f t="shared" si="3"/>
        <v>-1</v>
      </c>
      <c r="K17" s="233"/>
      <c r="L17" s="986">
        <f t="shared" si="5"/>
        <v>-0.15384615384615385</v>
      </c>
      <c r="M17" s="635">
        <f t="shared" si="6"/>
        <v>-0.5</v>
      </c>
      <c r="N17" s="635">
        <f t="shared" si="7"/>
        <v>-0.34615384615384615</v>
      </c>
      <c r="O17" s="635"/>
      <c r="P17" s="635"/>
      <c r="Q17" s="635"/>
      <c r="R17" s="610"/>
      <c r="S17" s="233">
        <f t="shared" si="4"/>
        <v>4</v>
      </c>
      <c r="T17" s="233"/>
      <c r="U17" s="233"/>
      <c r="V17" s="233"/>
    </row>
    <row r="18" spans="8:22" x14ac:dyDescent="0.35">
      <c r="H18" s="1001">
        <v>43988</v>
      </c>
      <c r="I18" s="233">
        <v>511</v>
      </c>
      <c r="J18" s="569">
        <f t="shared" si="3"/>
        <v>1</v>
      </c>
      <c r="K18" s="233"/>
      <c r="L18" s="986">
        <f t="shared" si="0"/>
        <v>0.11538461538461539</v>
      </c>
      <c r="M18" s="635">
        <f t="shared" si="1"/>
        <v>0.5</v>
      </c>
      <c r="N18" s="635">
        <f t="shared" si="2"/>
        <v>0.38461538461538458</v>
      </c>
      <c r="O18" s="635"/>
      <c r="P18" s="635"/>
      <c r="Q18" s="635"/>
      <c r="R18" s="610"/>
      <c r="S18" s="233">
        <f t="shared" si="4"/>
        <v>3</v>
      </c>
      <c r="T18" s="233"/>
      <c r="U18" s="233"/>
      <c r="V18" s="233"/>
    </row>
    <row r="19" spans="8:22" x14ac:dyDescent="0.35">
      <c r="H19" s="1001">
        <v>43994</v>
      </c>
      <c r="I19" s="233">
        <v>512</v>
      </c>
      <c r="J19" s="569">
        <f t="shared" si="3"/>
        <v>1</v>
      </c>
      <c r="K19" s="233"/>
      <c r="L19" s="986">
        <f t="shared" si="0"/>
        <v>7.6923076923076927E-2</v>
      </c>
      <c r="M19" s="635">
        <f t="shared" si="1"/>
        <v>0.5</v>
      </c>
      <c r="N19" s="635">
        <f t="shared" si="2"/>
        <v>0.42307692307692313</v>
      </c>
      <c r="O19" s="635"/>
      <c r="P19" s="635"/>
      <c r="Q19" s="635"/>
      <c r="R19" s="610"/>
      <c r="S19" s="233">
        <f t="shared" si="4"/>
        <v>2</v>
      </c>
      <c r="T19" s="233"/>
      <c r="U19" s="233"/>
      <c r="V19" s="233"/>
    </row>
    <row r="20" spans="8:22" x14ac:dyDescent="0.35">
      <c r="H20" s="1001">
        <v>44002</v>
      </c>
      <c r="I20" s="233">
        <v>515</v>
      </c>
      <c r="J20" s="569">
        <f t="shared" si="3"/>
        <v>3</v>
      </c>
      <c r="K20" s="233"/>
      <c r="L20" s="986">
        <f t="shared" si="0"/>
        <v>0.11538461538461539</v>
      </c>
      <c r="M20" s="635">
        <f t="shared" si="1"/>
        <v>1.5</v>
      </c>
      <c r="N20" s="635">
        <f t="shared" si="2"/>
        <v>1.3846153846153846</v>
      </c>
      <c r="O20" s="635"/>
      <c r="P20" s="635"/>
      <c r="Q20" s="635"/>
      <c r="R20" s="610"/>
      <c r="S20" s="233">
        <f t="shared" si="4"/>
        <v>1</v>
      </c>
      <c r="T20" s="233"/>
      <c r="U20" s="233"/>
      <c r="V20" s="233"/>
    </row>
    <row r="21" spans="8:22" x14ac:dyDescent="0.35">
      <c r="H21" s="1001">
        <v>44009</v>
      </c>
      <c r="I21" s="233">
        <v>519</v>
      </c>
      <c r="J21" s="569">
        <f t="shared" si="3"/>
        <v>4</v>
      </c>
      <c r="K21" s="233"/>
      <c r="L21" s="986"/>
      <c r="M21" s="635">
        <f>S21/26*J21</f>
        <v>2</v>
      </c>
      <c r="N21" s="635">
        <f t="shared" si="2"/>
        <v>2</v>
      </c>
      <c r="O21" s="635"/>
      <c r="P21" s="635"/>
      <c r="Q21" s="635"/>
      <c r="R21" s="610"/>
      <c r="S21" s="233">
        <v>13</v>
      </c>
      <c r="T21" s="233"/>
      <c r="U21" s="233"/>
      <c r="V21" s="233"/>
    </row>
    <row r="22" spans="8:22" x14ac:dyDescent="0.35">
      <c r="H22" s="1001">
        <v>44012</v>
      </c>
      <c r="I22" s="233">
        <v>521</v>
      </c>
      <c r="J22" s="569">
        <f t="shared" si="3"/>
        <v>2</v>
      </c>
      <c r="K22" s="233"/>
      <c r="L22" s="986"/>
      <c r="M22" s="635">
        <f t="shared" ref="M22:M26" si="8">S22/26*J22</f>
        <v>1</v>
      </c>
      <c r="N22" s="635">
        <f>J22-SUM(L22:M22)</f>
        <v>1</v>
      </c>
      <c r="O22" s="635"/>
      <c r="P22" s="635"/>
      <c r="Q22" s="635"/>
      <c r="R22" s="610"/>
      <c r="S22" s="233">
        <v>13</v>
      </c>
      <c r="T22" s="233"/>
      <c r="U22" s="233"/>
      <c r="V22" s="233"/>
    </row>
    <row r="23" spans="8:22" x14ac:dyDescent="0.35">
      <c r="H23" s="1001">
        <v>44029</v>
      </c>
      <c r="I23" s="233">
        <v>518</v>
      </c>
      <c r="J23" s="569">
        <f t="shared" si="3"/>
        <v>-3</v>
      </c>
      <c r="K23" s="233"/>
      <c r="L23" s="986"/>
      <c r="M23" s="635">
        <f t="shared" ref="M23" si="9">S23/26*J23</f>
        <v>-1.153846153846154</v>
      </c>
      <c r="N23" s="635">
        <f t="shared" ref="N23" si="10">13/26*J23</f>
        <v>-1.5</v>
      </c>
      <c r="O23" s="635">
        <f t="shared" ref="O23" si="11">J23-N23-M23</f>
        <v>-0.34615384615384603</v>
      </c>
      <c r="P23" s="635"/>
      <c r="Q23" s="635"/>
      <c r="R23" s="610"/>
      <c r="S23" s="233">
        <f>S22-3</f>
        <v>10</v>
      </c>
      <c r="T23" s="233"/>
      <c r="U23" s="233"/>
      <c r="V23" s="233"/>
    </row>
    <row r="24" spans="8:22" x14ac:dyDescent="0.35">
      <c r="H24" s="1001">
        <v>44036</v>
      </c>
      <c r="I24" s="233">
        <v>520</v>
      </c>
      <c r="J24" s="569">
        <f t="shared" si="3"/>
        <v>2</v>
      </c>
      <c r="K24" s="233"/>
      <c r="L24" s="986"/>
      <c r="M24" s="635">
        <f t="shared" si="8"/>
        <v>0.69230769230769229</v>
      </c>
      <c r="N24" s="635">
        <f t="shared" ref="N24:N26" si="12">13/26*J24</f>
        <v>1</v>
      </c>
      <c r="O24" s="635">
        <f t="shared" ref="O24:O26" si="13">J24-N24-M24</f>
        <v>0.30769230769230771</v>
      </c>
      <c r="P24" s="635"/>
      <c r="Q24" s="635"/>
      <c r="R24" s="610"/>
      <c r="S24" s="233">
        <f>S23-1</f>
        <v>9</v>
      </c>
      <c r="T24" s="233"/>
      <c r="U24" s="233"/>
      <c r="V24" s="233"/>
    </row>
    <row r="25" spans="8:22" x14ac:dyDescent="0.35">
      <c r="H25" s="1001">
        <v>44043</v>
      </c>
      <c r="I25" s="233">
        <v>521</v>
      </c>
      <c r="J25" s="569">
        <f t="shared" si="3"/>
        <v>1</v>
      </c>
      <c r="K25" s="233"/>
      <c r="L25" s="986"/>
      <c r="M25" s="635">
        <f t="shared" si="8"/>
        <v>0.30769230769230771</v>
      </c>
      <c r="N25" s="635">
        <f t="shared" si="12"/>
        <v>0.5</v>
      </c>
      <c r="O25" s="635">
        <f t="shared" si="13"/>
        <v>0.19230769230769229</v>
      </c>
      <c r="P25" s="635"/>
      <c r="Q25" s="635"/>
      <c r="R25" s="610"/>
      <c r="S25" s="233">
        <f>S24-1</f>
        <v>8</v>
      </c>
      <c r="T25" s="233"/>
      <c r="U25" s="233"/>
      <c r="V25" s="233"/>
    </row>
    <row r="26" spans="8:22" x14ac:dyDescent="0.35">
      <c r="H26" s="1001">
        <v>44051</v>
      </c>
      <c r="I26" s="233">
        <v>525</v>
      </c>
      <c r="J26" s="569">
        <f t="shared" si="3"/>
        <v>4</v>
      </c>
      <c r="K26" s="233"/>
      <c r="L26" s="986"/>
      <c r="M26" s="635">
        <f t="shared" si="8"/>
        <v>1.0769230769230769</v>
      </c>
      <c r="N26" s="635">
        <f t="shared" si="12"/>
        <v>2</v>
      </c>
      <c r="O26" s="635">
        <f t="shared" si="13"/>
        <v>0.92307692307692313</v>
      </c>
      <c r="P26" s="635"/>
      <c r="Q26" s="635"/>
      <c r="R26" s="610"/>
      <c r="S26" s="233">
        <f>S25-1</f>
        <v>7</v>
      </c>
      <c r="T26" s="233"/>
      <c r="U26" s="233"/>
      <c r="V26" s="233"/>
    </row>
    <row r="27" spans="8:22" x14ac:dyDescent="0.35">
      <c r="H27" s="1001">
        <v>44220</v>
      </c>
      <c r="I27" s="233">
        <v>558</v>
      </c>
      <c r="J27" s="569">
        <f t="shared" si="3"/>
        <v>33</v>
      </c>
      <c r="K27" s="233"/>
      <c r="L27" s="986"/>
      <c r="M27" s="635"/>
      <c r="N27" s="635"/>
      <c r="O27" s="635">
        <f>S27/26*J27</f>
        <v>12.692307692307693</v>
      </c>
      <c r="P27" s="635">
        <f>J27/2</f>
        <v>16.5</v>
      </c>
      <c r="Q27" s="635">
        <f>J27-P27-O27</f>
        <v>3.8076923076923066</v>
      </c>
      <c r="R27" s="610"/>
      <c r="S27" s="233">
        <v>10</v>
      </c>
      <c r="T27" s="233">
        <v>10</v>
      </c>
      <c r="U27" s="233"/>
      <c r="V27" s="233"/>
    </row>
    <row r="28" spans="8:22" x14ac:dyDescent="0.35">
      <c r="H28" s="1001">
        <v>44227</v>
      </c>
      <c r="I28" s="233">
        <v>596</v>
      </c>
      <c r="J28" s="569">
        <f t="shared" si="3"/>
        <v>38</v>
      </c>
      <c r="K28" s="233"/>
      <c r="L28" s="986"/>
      <c r="M28" s="635"/>
      <c r="N28" s="635"/>
      <c r="O28" s="635">
        <f t="shared" ref="O28:O36" si="14">S28/26*J28</f>
        <v>13.153846153846153</v>
      </c>
      <c r="P28" s="635">
        <f t="shared" ref="P28:P36" si="15">J28/2</f>
        <v>19</v>
      </c>
      <c r="Q28" s="635">
        <f t="shared" ref="Q28:Q36" si="16">J28-P28-O28</f>
        <v>5.8461538461538467</v>
      </c>
      <c r="R28" s="610"/>
      <c r="S28" s="233">
        <f>S27-1</f>
        <v>9</v>
      </c>
      <c r="T28" s="233">
        <f>T27-1</f>
        <v>9</v>
      </c>
      <c r="U28" s="233"/>
      <c r="V28" s="233"/>
    </row>
    <row r="29" spans="8:22" x14ac:dyDescent="0.35">
      <c r="H29" s="1001">
        <v>44234</v>
      </c>
      <c r="I29" s="233">
        <v>623</v>
      </c>
      <c r="J29" s="569">
        <f t="shared" si="3"/>
        <v>27</v>
      </c>
      <c r="K29" s="233"/>
      <c r="L29" s="986"/>
      <c r="M29" s="635"/>
      <c r="N29" s="635"/>
      <c r="O29" s="635">
        <f t="shared" si="14"/>
        <v>8.3076923076923084</v>
      </c>
      <c r="P29" s="635">
        <f t="shared" si="15"/>
        <v>13.5</v>
      </c>
      <c r="Q29" s="635">
        <f t="shared" si="16"/>
        <v>5.1923076923076916</v>
      </c>
      <c r="R29" s="610"/>
      <c r="S29" s="233">
        <f t="shared" ref="S29:S36" si="17">S28-1</f>
        <v>8</v>
      </c>
      <c r="T29" s="233">
        <f t="shared" ref="T29:T36" si="18">T28-1</f>
        <v>8</v>
      </c>
      <c r="U29" s="233"/>
      <c r="V29" s="233"/>
    </row>
    <row r="30" spans="8:22" x14ac:dyDescent="0.35">
      <c r="H30" s="1001">
        <v>44242</v>
      </c>
      <c r="I30" s="233">
        <v>648</v>
      </c>
      <c r="J30" s="569">
        <f t="shared" si="3"/>
        <v>25</v>
      </c>
      <c r="K30" s="233"/>
      <c r="L30" s="986"/>
      <c r="M30" s="635"/>
      <c r="N30" s="635"/>
      <c r="O30" s="635">
        <f t="shared" si="14"/>
        <v>6.7307692307692308</v>
      </c>
      <c r="P30" s="635">
        <f t="shared" si="15"/>
        <v>12.5</v>
      </c>
      <c r="Q30" s="635">
        <f t="shared" si="16"/>
        <v>5.7692307692307692</v>
      </c>
      <c r="R30" s="610"/>
      <c r="S30" s="233">
        <f t="shared" si="17"/>
        <v>7</v>
      </c>
      <c r="T30" s="233">
        <f t="shared" si="18"/>
        <v>7</v>
      </c>
      <c r="U30" s="233"/>
      <c r="V30" s="233"/>
    </row>
    <row r="31" spans="8:22" x14ac:dyDescent="0.35">
      <c r="H31" s="1001">
        <v>44248</v>
      </c>
      <c r="I31" s="233">
        <v>663</v>
      </c>
      <c r="J31" s="569">
        <f t="shared" si="3"/>
        <v>15</v>
      </c>
      <c r="K31" s="233"/>
      <c r="L31" s="986"/>
      <c r="M31" s="635"/>
      <c r="N31" s="635"/>
      <c r="O31" s="635">
        <f t="shared" si="14"/>
        <v>3.4615384615384617</v>
      </c>
      <c r="P31" s="635">
        <f t="shared" si="15"/>
        <v>7.5</v>
      </c>
      <c r="Q31" s="635">
        <f t="shared" si="16"/>
        <v>4.0384615384615383</v>
      </c>
      <c r="R31" s="610"/>
      <c r="S31" s="233">
        <f t="shared" si="17"/>
        <v>6</v>
      </c>
      <c r="T31" s="233">
        <f t="shared" si="18"/>
        <v>6</v>
      </c>
      <c r="U31" s="233"/>
      <c r="V31" s="233"/>
    </row>
    <row r="32" spans="8:22" x14ac:dyDescent="0.35">
      <c r="H32" s="1001">
        <v>44255</v>
      </c>
      <c r="I32" s="233">
        <v>679</v>
      </c>
      <c r="J32" s="569">
        <f t="shared" si="3"/>
        <v>16</v>
      </c>
      <c r="K32" s="233"/>
      <c r="L32" s="986"/>
      <c r="M32" s="635"/>
      <c r="N32" s="635"/>
      <c r="O32" s="635">
        <f t="shared" si="14"/>
        <v>3.0769230769230771</v>
      </c>
      <c r="P32" s="635">
        <f t="shared" si="15"/>
        <v>8</v>
      </c>
      <c r="Q32" s="635">
        <f t="shared" si="16"/>
        <v>4.9230769230769234</v>
      </c>
      <c r="R32" s="610"/>
      <c r="S32" s="233">
        <f t="shared" si="17"/>
        <v>5</v>
      </c>
      <c r="T32" s="233">
        <f t="shared" si="18"/>
        <v>5</v>
      </c>
      <c r="U32" s="233"/>
      <c r="V32" s="233"/>
    </row>
    <row r="33" spans="8:22" x14ac:dyDescent="0.35">
      <c r="H33" s="1001">
        <v>44262</v>
      </c>
      <c r="I33" s="233">
        <v>687</v>
      </c>
      <c r="J33" s="569">
        <f t="shared" si="3"/>
        <v>8</v>
      </c>
      <c r="K33" s="233"/>
      <c r="L33" s="986"/>
      <c r="M33" s="635"/>
      <c r="N33" s="635"/>
      <c r="O33" s="635">
        <f t="shared" si="14"/>
        <v>1.2307692307692308</v>
      </c>
      <c r="P33" s="635">
        <f t="shared" si="15"/>
        <v>4</v>
      </c>
      <c r="Q33" s="635">
        <f t="shared" si="16"/>
        <v>2.7692307692307692</v>
      </c>
      <c r="R33" s="610"/>
      <c r="S33" s="233">
        <f t="shared" si="17"/>
        <v>4</v>
      </c>
      <c r="T33" s="233">
        <f t="shared" si="18"/>
        <v>4</v>
      </c>
      <c r="U33" s="233"/>
      <c r="V33" s="233"/>
    </row>
    <row r="34" spans="8:22" x14ac:dyDescent="0.35">
      <c r="H34" s="1001">
        <v>44269</v>
      </c>
      <c r="I34" s="233">
        <v>704</v>
      </c>
      <c r="J34" s="569">
        <f t="shared" si="3"/>
        <v>17</v>
      </c>
      <c r="K34" s="233"/>
      <c r="L34" s="986"/>
      <c r="M34" s="635"/>
      <c r="N34" s="635"/>
      <c r="O34" s="635">
        <f t="shared" si="14"/>
        <v>1.9615384615384617</v>
      </c>
      <c r="P34" s="635">
        <f t="shared" si="15"/>
        <v>8.5</v>
      </c>
      <c r="Q34" s="635">
        <f t="shared" si="16"/>
        <v>6.5384615384615383</v>
      </c>
      <c r="R34" s="610"/>
      <c r="S34" s="233">
        <f t="shared" si="17"/>
        <v>3</v>
      </c>
      <c r="T34" s="233">
        <f t="shared" si="18"/>
        <v>3</v>
      </c>
      <c r="U34" s="233"/>
      <c r="V34" s="233"/>
    </row>
    <row r="35" spans="8:22" x14ac:dyDescent="0.35">
      <c r="H35" s="1001">
        <v>44276</v>
      </c>
      <c r="I35" s="233">
        <v>718</v>
      </c>
      <c r="J35" s="569">
        <f t="shared" si="3"/>
        <v>14</v>
      </c>
      <c r="K35" s="233"/>
      <c r="L35" s="986"/>
      <c r="M35" s="635"/>
      <c r="N35" s="635"/>
      <c r="O35" s="635">
        <f t="shared" si="14"/>
        <v>1.0769230769230771</v>
      </c>
      <c r="P35" s="635">
        <f t="shared" si="15"/>
        <v>7</v>
      </c>
      <c r="Q35" s="635">
        <f t="shared" si="16"/>
        <v>5.9230769230769234</v>
      </c>
      <c r="R35" s="610"/>
      <c r="S35" s="233">
        <f t="shared" si="17"/>
        <v>2</v>
      </c>
      <c r="T35" s="233">
        <f t="shared" si="18"/>
        <v>2</v>
      </c>
      <c r="U35" s="233"/>
      <c r="V35" s="233"/>
    </row>
    <row r="36" spans="8:22" x14ac:dyDescent="0.35">
      <c r="H36" s="1001">
        <v>44283</v>
      </c>
      <c r="I36" s="233">
        <v>734</v>
      </c>
      <c r="J36" s="569">
        <f t="shared" si="3"/>
        <v>16</v>
      </c>
      <c r="K36" s="233"/>
      <c r="L36" s="986"/>
      <c r="M36" s="635"/>
      <c r="N36" s="635"/>
      <c r="O36" s="635">
        <f t="shared" si="14"/>
        <v>0.61538461538461542</v>
      </c>
      <c r="P36" s="635">
        <f t="shared" si="15"/>
        <v>8</v>
      </c>
      <c r="Q36" s="635">
        <f t="shared" si="16"/>
        <v>7.384615384615385</v>
      </c>
      <c r="R36" s="610"/>
      <c r="S36" s="233">
        <f t="shared" si="17"/>
        <v>1</v>
      </c>
      <c r="T36" s="233">
        <f t="shared" si="18"/>
        <v>1</v>
      </c>
      <c r="U36" s="233"/>
      <c r="V36" s="233"/>
    </row>
    <row r="37" spans="8:22" x14ac:dyDescent="0.35">
      <c r="H37" s="1001">
        <v>44290</v>
      </c>
      <c r="I37" s="233">
        <v>746</v>
      </c>
      <c r="J37" s="569">
        <f t="shared" si="3"/>
        <v>12</v>
      </c>
      <c r="K37" s="233"/>
      <c r="L37" s="986"/>
      <c r="M37" s="635"/>
      <c r="N37" s="635"/>
      <c r="O37" s="635"/>
      <c r="P37" s="635">
        <f>T37/26*J37</f>
        <v>6</v>
      </c>
      <c r="Q37" s="635">
        <f>J37/2</f>
        <v>6</v>
      </c>
      <c r="R37" s="610">
        <f>J37-Q37-P37</f>
        <v>0</v>
      </c>
      <c r="S37" s="233">
        <v>13</v>
      </c>
      <c r="T37" s="233">
        <v>13</v>
      </c>
      <c r="U37" s="233"/>
      <c r="V37" s="233"/>
    </row>
    <row r="38" spans="8:22" x14ac:dyDescent="0.35">
      <c r="H38" s="1001">
        <v>44297</v>
      </c>
      <c r="I38" s="233">
        <v>755</v>
      </c>
      <c r="J38" s="569">
        <f t="shared" si="3"/>
        <v>9</v>
      </c>
      <c r="K38" s="233"/>
      <c r="L38" s="986"/>
      <c r="M38" s="635"/>
      <c r="N38" s="635"/>
      <c r="O38" s="635"/>
      <c r="P38" s="635">
        <f t="shared" ref="P38:P45" si="19">T38/26*J38</f>
        <v>4.1538461538461542</v>
      </c>
      <c r="Q38" s="635">
        <f t="shared" ref="Q38:Q45" si="20">J38/2</f>
        <v>4.5</v>
      </c>
      <c r="R38" s="610">
        <f t="shared" ref="R38:R45" si="21">J38-Q38-P38</f>
        <v>0.34615384615384581</v>
      </c>
      <c r="S38" s="233">
        <f>S37-1</f>
        <v>12</v>
      </c>
      <c r="T38" s="233">
        <f>T37-1</f>
        <v>12</v>
      </c>
      <c r="U38" s="233"/>
      <c r="V38" s="233"/>
    </row>
    <row r="39" spans="8:22" x14ac:dyDescent="0.35">
      <c r="H39" s="1001">
        <v>44304</v>
      </c>
      <c r="I39" s="233">
        <v>762</v>
      </c>
      <c r="J39" s="569">
        <f t="shared" si="3"/>
        <v>7</v>
      </c>
      <c r="K39" s="233"/>
      <c r="L39" s="986"/>
      <c r="M39" s="635"/>
      <c r="N39" s="635"/>
      <c r="O39" s="635"/>
      <c r="P39" s="635">
        <f t="shared" si="19"/>
        <v>2.9615384615384617</v>
      </c>
      <c r="Q39" s="635">
        <f t="shared" si="20"/>
        <v>3.5</v>
      </c>
      <c r="R39" s="610">
        <f t="shared" si="21"/>
        <v>0.53846153846153832</v>
      </c>
      <c r="S39" s="233">
        <f t="shared" ref="S39:S45" si="22">S38-1</f>
        <v>11</v>
      </c>
      <c r="T39" s="233">
        <f t="shared" ref="T39:T45" si="23">T38-1</f>
        <v>11</v>
      </c>
      <c r="U39" s="233"/>
      <c r="V39" s="233"/>
    </row>
    <row r="40" spans="8:22" x14ac:dyDescent="0.35">
      <c r="H40" s="1001">
        <v>44311</v>
      </c>
      <c r="I40" s="233">
        <v>771</v>
      </c>
      <c r="J40" s="569">
        <f t="shared" si="3"/>
        <v>9</v>
      </c>
      <c r="K40" s="233"/>
      <c r="L40" s="986"/>
      <c r="M40" s="635"/>
      <c r="N40" s="635"/>
      <c r="O40" s="635"/>
      <c r="P40" s="635">
        <f t="shared" si="19"/>
        <v>3.4615384615384617</v>
      </c>
      <c r="Q40" s="635">
        <f t="shared" si="20"/>
        <v>4.5</v>
      </c>
      <c r="R40" s="610">
        <f t="shared" si="21"/>
        <v>1.0384615384615383</v>
      </c>
      <c r="S40" s="233">
        <f t="shared" si="22"/>
        <v>10</v>
      </c>
      <c r="T40" s="233">
        <f t="shared" si="23"/>
        <v>10</v>
      </c>
      <c r="U40" s="233"/>
      <c r="V40" s="233"/>
    </row>
    <row r="41" spans="8:22" x14ac:dyDescent="0.35">
      <c r="H41" s="1001">
        <v>44318</v>
      </c>
      <c r="I41" s="233">
        <v>780</v>
      </c>
      <c r="J41" s="569">
        <f t="shared" si="3"/>
        <v>9</v>
      </c>
      <c r="K41" s="233"/>
      <c r="L41" s="986"/>
      <c r="M41" s="635"/>
      <c r="N41" s="635"/>
      <c r="O41" s="635"/>
      <c r="P41" s="635">
        <f t="shared" si="19"/>
        <v>3.1153846153846154</v>
      </c>
      <c r="Q41" s="635">
        <f t="shared" si="20"/>
        <v>4.5</v>
      </c>
      <c r="R41" s="610">
        <f t="shared" si="21"/>
        <v>1.3846153846153846</v>
      </c>
      <c r="S41" s="233">
        <f t="shared" si="22"/>
        <v>9</v>
      </c>
      <c r="T41" s="233">
        <f t="shared" si="23"/>
        <v>9</v>
      </c>
      <c r="U41" s="233"/>
      <c r="V41" s="233"/>
    </row>
    <row r="42" spans="8:22" x14ac:dyDescent="0.35">
      <c r="H42" s="1001">
        <v>44325</v>
      </c>
      <c r="I42" s="233">
        <v>782</v>
      </c>
      <c r="J42" s="569">
        <f t="shared" si="3"/>
        <v>2</v>
      </c>
      <c r="K42" s="233"/>
      <c r="L42" s="986"/>
      <c r="M42" s="635"/>
      <c r="N42" s="635"/>
      <c r="O42" s="635"/>
      <c r="P42" s="635">
        <f t="shared" si="19"/>
        <v>0.61538461538461542</v>
      </c>
      <c r="Q42" s="635">
        <f t="shared" si="20"/>
        <v>1</v>
      </c>
      <c r="R42" s="610">
        <f t="shared" si="21"/>
        <v>0.38461538461538458</v>
      </c>
      <c r="S42" s="233">
        <f t="shared" si="22"/>
        <v>8</v>
      </c>
      <c r="T42" s="233">
        <f t="shared" si="23"/>
        <v>8</v>
      </c>
      <c r="U42" s="233"/>
      <c r="V42" s="233"/>
    </row>
    <row r="43" spans="8:22" x14ac:dyDescent="0.35">
      <c r="H43" s="1001">
        <v>44332</v>
      </c>
      <c r="I43" s="233">
        <v>788</v>
      </c>
      <c r="J43" s="569">
        <f t="shared" si="3"/>
        <v>6</v>
      </c>
      <c r="K43" s="233"/>
      <c r="L43" s="986"/>
      <c r="M43" s="635"/>
      <c r="N43" s="635"/>
      <c r="O43" s="635"/>
      <c r="P43" s="635">
        <f t="shared" si="19"/>
        <v>1.6153846153846154</v>
      </c>
      <c r="Q43" s="635">
        <f t="shared" si="20"/>
        <v>3</v>
      </c>
      <c r="R43" s="610">
        <f t="shared" si="21"/>
        <v>1.3846153846153846</v>
      </c>
      <c r="S43" s="233">
        <f t="shared" si="22"/>
        <v>7</v>
      </c>
      <c r="T43" s="233">
        <f t="shared" si="23"/>
        <v>7</v>
      </c>
      <c r="U43" s="233"/>
      <c r="V43" s="233"/>
    </row>
    <row r="44" spans="8:22" x14ac:dyDescent="0.35">
      <c r="H44" s="1001">
        <v>44339</v>
      </c>
      <c r="I44" s="233">
        <v>796</v>
      </c>
      <c r="J44" s="569">
        <f t="shared" si="3"/>
        <v>8</v>
      </c>
      <c r="K44" s="233"/>
      <c r="L44" s="986"/>
      <c r="M44" s="635"/>
      <c r="N44" s="635"/>
      <c r="O44" s="635"/>
      <c r="P44" s="635">
        <f t="shared" si="19"/>
        <v>1.8461538461538463</v>
      </c>
      <c r="Q44" s="635">
        <f t="shared" si="20"/>
        <v>4</v>
      </c>
      <c r="R44" s="610">
        <f t="shared" si="21"/>
        <v>2.1538461538461537</v>
      </c>
      <c r="S44" s="233">
        <f t="shared" si="22"/>
        <v>6</v>
      </c>
      <c r="T44" s="233">
        <f t="shared" si="23"/>
        <v>6</v>
      </c>
      <c r="U44" s="233"/>
      <c r="V44" s="233"/>
    </row>
    <row r="45" spans="8:22" x14ac:dyDescent="0.35">
      <c r="H45" s="1002">
        <v>44347</v>
      </c>
      <c r="I45" s="568">
        <v>800</v>
      </c>
      <c r="J45" s="581">
        <f t="shared" si="3"/>
        <v>4</v>
      </c>
      <c r="K45" s="233"/>
      <c r="L45" s="986"/>
      <c r="M45" s="635"/>
      <c r="N45" s="635"/>
      <c r="O45" s="635"/>
      <c r="P45" s="635">
        <f t="shared" si="19"/>
        <v>0.76923076923076927</v>
      </c>
      <c r="Q45" s="635">
        <f t="shared" si="20"/>
        <v>2</v>
      </c>
      <c r="R45" s="610">
        <f t="shared" si="21"/>
        <v>1.2307692307692308</v>
      </c>
      <c r="S45" s="233">
        <f t="shared" si="22"/>
        <v>5</v>
      </c>
      <c r="T45" s="233">
        <f t="shared" si="23"/>
        <v>5</v>
      </c>
      <c r="U45" s="233"/>
      <c r="V45" s="233"/>
    </row>
    <row r="46" spans="8:22" x14ac:dyDescent="0.35">
      <c r="H46" s="233"/>
      <c r="I46" s="233"/>
      <c r="J46" s="233"/>
      <c r="K46" s="233"/>
      <c r="L46" s="986">
        <f>SUM(L11:L45)</f>
        <v>184.80769230769229</v>
      </c>
      <c r="M46" s="635">
        <f t="shared" ref="M46:R46" si="24">SUM(M11:M45)</f>
        <v>261.42307692307696</v>
      </c>
      <c r="N46" s="635">
        <f t="shared" si="24"/>
        <v>77.692307692307693</v>
      </c>
      <c r="O46" s="635">
        <f t="shared" si="24"/>
        <v>53.384615384615394</v>
      </c>
      <c r="P46" s="635">
        <f t="shared" si="24"/>
        <v>129.03846153846155</v>
      </c>
      <c r="Q46" s="635">
        <f t="shared" si="24"/>
        <v>85.192307692307693</v>
      </c>
      <c r="R46" s="610">
        <f t="shared" si="24"/>
        <v>8.4615384615384599</v>
      </c>
      <c r="S46" s="233"/>
      <c r="T46" s="233"/>
      <c r="U46" s="233"/>
      <c r="V46" s="233"/>
    </row>
    <row r="47" spans="8:22" x14ac:dyDescent="0.35">
      <c r="H47" s="233"/>
      <c r="I47" s="233"/>
      <c r="J47" s="233"/>
      <c r="K47" s="233"/>
      <c r="L47" s="987">
        <f>L46*4</f>
        <v>739.23076923076917</v>
      </c>
      <c r="M47" s="775">
        <f t="shared" ref="M47:R47" si="25">M46*4</f>
        <v>1045.6923076923078</v>
      </c>
      <c r="N47" s="775">
        <f t="shared" si="25"/>
        <v>310.76923076923077</v>
      </c>
      <c r="O47" s="775">
        <f t="shared" si="25"/>
        <v>213.53846153846158</v>
      </c>
      <c r="P47" s="775">
        <f t="shared" si="25"/>
        <v>516.15384615384619</v>
      </c>
      <c r="Q47" s="775">
        <f t="shared" si="25"/>
        <v>340.76923076923077</v>
      </c>
      <c r="R47" s="820">
        <f t="shared" si="25"/>
        <v>33.84615384615384</v>
      </c>
      <c r="S47" s="233" t="s">
        <v>322</v>
      </c>
      <c r="T47" s="233"/>
      <c r="U47" s="233"/>
      <c r="V47" s="233"/>
    </row>
    <row r="48" spans="8:22" x14ac:dyDescent="0.35">
      <c r="J48" s="249" t="s">
        <v>323</v>
      </c>
      <c r="L48" s="249">
        <v>634</v>
      </c>
      <c r="M48" s="744">
        <f>K55</f>
        <v>900.7</v>
      </c>
      <c r="N48" s="744">
        <f t="shared" ref="N48:P48" si="26">L55</f>
        <v>270.7</v>
      </c>
      <c r="O48" s="744">
        <f t="shared" si="26"/>
        <v>208.7</v>
      </c>
      <c r="P48" s="744">
        <f t="shared" si="26"/>
        <v>469.7</v>
      </c>
      <c r="Q48" s="744">
        <v>279</v>
      </c>
      <c r="R48" s="744"/>
    </row>
    <row r="50" spans="8:29" x14ac:dyDescent="0.35">
      <c r="H50" s="1413" t="s">
        <v>324</v>
      </c>
      <c r="I50" s="1414"/>
      <c r="J50" s="1347" t="s">
        <v>279</v>
      </c>
      <c r="K50" s="1348"/>
      <c r="L50" s="1348"/>
      <c r="M50" s="1367"/>
      <c r="N50" s="1367"/>
      <c r="O50" s="1367"/>
      <c r="P50" s="1324"/>
      <c r="Q50" s="529"/>
      <c r="R50" s="529"/>
      <c r="S50" s="529"/>
      <c r="T50" s="529"/>
      <c r="U50" s="529"/>
      <c r="V50" s="529"/>
      <c r="W50" s="529"/>
      <c r="X50" s="529"/>
      <c r="Y50" s="529"/>
    </row>
    <row r="51" spans="8:29" x14ac:dyDescent="0.35">
      <c r="H51" s="1415"/>
      <c r="I51" s="1416"/>
      <c r="J51" s="1342">
        <v>2020</v>
      </c>
      <c r="K51" s="1343"/>
      <c r="L51" s="1343"/>
      <c r="M51" s="1342">
        <v>2021</v>
      </c>
      <c r="N51" s="1343"/>
      <c r="O51" s="1343"/>
      <c r="P51" s="1344"/>
      <c r="Q51" s="1358"/>
      <c r="R51" s="1358"/>
      <c r="S51" s="1358"/>
      <c r="T51" s="1358"/>
      <c r="U51" s="1358"/>
      <c r="V51" s="1358"/>
      <c r="W51" s="1358"/>
      <c r="X51" s="1358"/>
    </row>
    <row r="52" spans="8:29" x14ac:dyDescent="0.35">
      <c r="H52" s="1442"/>
      <c r="I52" s="1443"/>
      <c r="J52" s="225" t="s">
        <v>283</v>
      </c>
      <c r="K52" s="226" t="s">
        <v>238</v>
      </c>
      <c r="L52" s="226" t="s">
        <v>281</v>
      </c>
      <c r="M52" s="286" t="s">
        <v>282</v>
      </c>
      <c r="N52" s="287" t="s">
        <v>283</v>
      </c>
      <c r="O52" s="287" t="s">
        <v>238</v>
      </c>
      <c r="P52" s="285" t="s">
        <v>281</v>
      </c>
      <c r="Q52" s="233"/>
      <c r="S52" s="249"/>
      <c r="T52" s="249"/>
      <c r="U52" s="233"/>
      <c r="V52" s="249"/>
      <c r="W52" s="249"/>
      <c r="X52" s="249"/>
      <c r="Y52" s="249"/>
      <c r="Z52" s="249"/>
      <c r="AA52" s="249"/>
    </row>
    <row r="53" spans="8:29" ht="32.9" customHeight="1" x14ac:dyDescent="0.35">
      <c r="H53" s="494" t="s">
        <v>325</v>
      </c>
      <c r="I53" s="233" t="s">
        <v>326</v>
      </c>
      <c r="J53" s="996">
        <f>'Haver Pivoted'!GU47</f>
        <v>57.2</v>
      </c>
      <c r="K53" s="985">
        <f>'Haver Pivoted'!GV47</f>
        <v>81.2</v>
      </c>
      <c r="L53" s="985">
        <f>'Haver Pivoted'!GW47</f>
        <v>24.4</v>
      </c>
      <c r="M53" s="246">
        <f>'Haver Pivoted'!GX47</f>
        <v>11.7</v>
      </c>
      <c r="N53" s="246">
        <f>'Haver Pivoted'!GY47</f>
        <v>28.5</v>
      </c>
      <c r="O53" s="375">
        <f>'Haver Pivoted'!GZ47</f>
        <v>18.8</v>
      </c>
      <c r="P53" s="375">
        <f>'Haver Pivoted'!HA47</f>
        <v>1.6</v>
      </c>
      <c r="Q53" s="246"/>
      <c r="S53" s="249"/>
      <c r="T53" s="249"/>
      <c r="U53" s="249"/>
      <c r="V53" s="249"/>
      <c r="W53" s="249"/>
      <c r="X53" s="249"/>
      <c r="Y53" s="249"/>
      <c r="Z53" s="249"/>
      <c r="AA53" s="249"/>
    </row>
    <row r="54" spans="8:29" ht="33.75" customHeight="1" x14ac:dyDescent="0.35">
      <c r="H54" s="494" t="s">
        <v>327</v>
      </c>
      <c r="I54" s="241" t="s">
        <v>328</v>
      </c>
      <c r="J54" s="990">
        <f>'Haver Pivoted'!GU49</f>
        <v>576.9</v>
      </c>
      <c r="K54" s="246">
        <f>'Haver Pivoted'!GV49</f>
        <v>819.5</v>
      </c>
      <c r="L54" s="246">
        <f>'Haver Pivoted'!GW49</f>
        <v>246.3</v>
      </c>
      <c r="M54" s="246">
        <f>'Haver Pivoted'!GX49</f>
        <v>197</v>
      </c>
      <c r="N54" s="246">
        <f>'Haver Pivoted'!GY49</f>
        <v>441.2</v>
      </c>
      <c r="O54" s="375">
        <f>'Haver Pivoted'!GZ49</f>
        <v>276.7</v>
      </c>
      <c r="P54" s="375">
        <f>'Haver Pivoted'!HA49</f>
        <v>28.2</v>
      </c>
      <c r="Q54" s="246"/>
      <c r="R54" s="246"/>
    </row>
    <row r="55" spans="8:29" x14ac:dyDescent="0.35">
      <c r="H55" s="571" t="s">
        <v>311</v>
      </c>
      <c r="I55" s="233"/>
      <c r="J55" s="990">
        <f>J54+J53</f>
        <v>634.1</v>
      </c>
      <c r="K55" s="246">
        <f t="shared" ref="K55:M55" si="27">K54+K53</f>
        <v>900.7</v>
      </c>
      <c r="L55" s="246">
        <f t="shared" si="27"/>
        <v>270.7</v>
      </c>
      <c r="M55" s="246">
        <f t="shared" si="27"/>
        <v>208.7</v>
      </c>
      <c r="N55" s="246">
        <f t="shared" ref="N55:P55" si="28">N54+N53</f>
        <v>469.7</v>
      </c>
      <c r="O55" s="375">
        <f t="shared" si="28"/>
        <v>295.5</v>
      </c>
      <c r="P55" s="375">
        <f t="shared" si="28"/>
        <v>29.8</v>
      </c>
      <c r="Q55" s="246"/>
      <c r="R55" s="246"/>
    </row>
    <row r="56" spans="8:29" x14ac:dyDescent="0.35">
      <c r="H56" s="570" t="s">
        <v>329</v>
      </c>
      <c r="I56" s="568"/>
      <c r="J56" s="776">
        <f t="shared" ref="J56:P56" si="29">J53/J55</f>
        <v>9.0206592020186091E-2</v>
      </c>
      <c r="K56" s="777">
        <f t="shared" si="29"/>
        <v>9.015210391917397E-2</v>
      </c>
      <c r="L56" s="777">
        <f t="shared" si="29"/>
        <v>9.0136682674547469E-2</v>
      </c>
      <c r="M56" s="777">
        <f t="shared" si="29"/>
        <v>5.6061332055582176E-2</v>
      </c>
      <c r="N56" s="777">
        <f t="shared" si="29"/>
        <v>6.0677027890142649E-2</v>
      </c>
      <c r="O56" s="991">
        <f t="shared" si="29"/>
        <v>6.3620981387478848E-2</v>
      </c>
      <c r="P56" s="991">
        <f t="shared" si="29"/>
        <v>5.3691275167785234E-2</v>
      </c>
      <c r="Q56" s="999"/>
      <c r="R56" s="807"/>
    </row>
    <row r="58" spans="8:29" x14ac:dyDescent="0.35">
      <c r="H58" s="249" t="s">
        <v>815</v>
      </c>
    </row>
    <row r="59" spans="8:29" x14ac:dyDescent="0.35">
      <c r="H59" s="284"/>
      <c r="I59" s="233"/>
      <c r="J59" s="246"/>
      <c r="K59" s="246"/>
      <c r="L59" s="246"/>
      <c r="M59" s="246"/>
      <c r="N59" s="246"/>
      <c r="O59" s="246"/>
      <c r="P59" s="517"/>
      <c r="Q59" s="246"/>
      <c r="R59" s="246"/>
      <c r="S59" s="246"/>
      <c r="T59" s="249"/>
      <c r="U59" s="249"/>
      <c r="V59" s="249"/>
      <c r="W59" s="249"/>
      <c r="X59" s="249"/>
      <c r="Y59" s="249"/>
      <c r="Z59" s="249"/>
      <c r="AA59" s="249"/>
      <c r="AB59" s="249"/>
      <c r="AC59" s="249"/>
    </row>
    <row r="60" spans="8:29" x14ac:dyDescent="0.35">
      <c r="P60" s="246"/>
      <c r="Q60" s="249"/>
      <c r="R60" s="249"/>
      <c r="S60" s="249"/>
      <c r="T60" s="249"/>
      <c r="U60" s="249"/>
      <c r="V60" s="249"/>
      <c r="W60" s="249"/>
      <c r="X60" s="249"/>
      <c r="Y60" s="249"/>
      <c r="Z60" s="249"/>
      <c r="AA60" s="249"/>
      <c r="AB60" s="249"/>
      <c r="AC60" s="249"/>
    </row>
    <row r="61" spans="8:29" x14ac:dyDescent="0.35">
      <c r="P61" s="246"/>
      <c r="Q61" s="997"/>
      <c r="R61" s="997"/>
      <c r="S61" s="997"/>
      <c r="T61" s="997"/>
      <c r="U61" s="997"/>
      <c r="V61" s="997"/>
      <c r="W61" s="997"/>
      <c r="X61" s="997"/>
      <c r="Y61" s="997"/>
      <c r="Z61" s="997"/>
      <c r="AA61" s="997"/>
      <c r="AB61" s="997"/>
      <c r="AC61" s="249"/>
    </row>
    <row r="62" spans="8:29" x14ac:dyDescent="0.35">
      <c r="P62" s="246"/>
      <c r="Q62" s="997"/>
      <c r="R62" s="997"/>
      <c r="S62" s="997"/>
      <c r="T62" s="997"/>
      <c r="U62" s="997"/>
      <c r="V62" s="997"/>
      <c r="W62" s="997"/>
      <c r="X62" s="997"/>
      <c r="Y62" s="997"/>
      <c r="Z62" s="997"/>
      <c r="AA62" s="997"/>
      <c r="AB62" s="997"/>
      <c r="AC62" s="249"/>
    </row>
    <row r="63" spans="8:29" x14ac:dyDescent="0.35">
      <c r="I63" s="249" t="s">
        <v>282</v>
      </c>
      <c r="J63" s="249" t="s">
        <v>283</v>
      </c>
      <c r="K63" s="249" t="s">
        <v>238</v>
      </c>
      <c r="L63" s="249" t="s">
        <v>281</v>
      </c>
      <c r="P63" s="807"/>
      <c r="Q63" s="997"/>
      <c r="R63" s="997"/>
      <c r="S63" s="997"/>
      <c r="T63" s="997"/>
      <c r="U63" s="997"/>
      <c r="V63" s="997"/>
      <c r="W63" s="997"/>
      <c r="X63" s="997"/>
      <c r="Y63" s="997"/>
      <c r="Z63" s="997"/>
      <c r="AA63" s="997"/>
      <c r="AB63" s="997"/>
      <c r="AC63" s="249"/>
    </row>
    <row r="64" spans="8:29" x14ac:dyDescent="0.35">
      <c r="H64" s="249" t="s">
        <v>816</v>
      </c>
      <c r="I64" s="249">
        <v>81.599999999999994</v>
      </c>
      <c r="J64" s="249">
        <v>188.9</v>
      </c>
      <c r="K64" s="249">
        <v>117.2</v>
      </c>
      <c r="L64" s="249" t="e">
        <f>#REF!+#REF!</f>
        <v>#REF!</v>
      </c>
      <c r="P64" s="249"/>
      <c r="Q64" s="249"/>
      <c r="R64" s="249"/>
      <c r="S64" s="249"/>
      <c r="T64" s="249"/>
      <c r="U64" s="249"/>
      <c r="V64" s="249"/>
      <c r="W64" s="249"/>
      <c r="X64" s="249"/>
      <c r="Y64" s="249"/>
      <c r="Z64" s="249"/>
      <c r="AA64" s="249"/>
      <c r="AB64" s="249"/>
      <c r="AC64" s="249"/>
    </row>
    <row r="65" spans="7:29" x14ac:dyDescent="0.35">
      <c r="H65" s="249" t="s">
        <v>468</v>
      </c>
      <c r="I65" s="744">
        <f>M53</f>
        <v>11.7</v>
      </c>
      <c r="J65" s="744">
        <f t="shared" ref="J65:K65" si="30">N53</f>
        <v>28.5</v>
      </c>
      <c r="K65" s="744">
        <f t="shared" si="30"/>
        <v>18.8</v>
      </c>
      <c r="L65" s="249" t="e">
        <f>#REF!</f>
        <v>#REF!</v>
      </c>
      <c r="P65" s="249"/>
      <c r="Q65" s="249"/>
      <c r="R65" s="249"/>
      <c r="S65" s="249"/>
      <c r="T65" s="249"/>
      <c r="U65" s="249"/>
      <c r="V65" s="249"/>
      <c r="W65" s="249"/>
      <c r="X65" s="249"/>
      <c r="Y65" s="249"/>
      <c r="Z65" s="249"/>
      <c r="AA65" s="249"/>
      <c r="AB65" s="249"/>
      <c r="AC65" s="249"/>
    </row>
    <row r="66" spans="7:29" x14ac:dyDescent="0.35">
      <c r="H66" s="249" t="s">
        <v>817</v>
      </c>
      <c r="I66" s="744">
        <f>I67-SUM(I64:I65)</f>
        <v>115.39999999999999</v>
      </c>
      <c r="J66" s="744">
        <f t="shared" ref="J66:K66" si="31">J67-SUM(J64:J65)</f>
        <v>252.29999999999998</v>
      </c>
      <c r="K66" s="744">
        <f t="shared" si="31"/>
        <v>159.5</v>
      </c>
      <c r="L66" s="744" t="e">
        <f>1.26*L64</f>
        <v>#REF!</v>
      </c>
      <c r="P66" s="249"/>
      <c r="Q66" s="249"/>
      <c r="R66" s="249"/>
      <c r="S66" s="249"/>
      <c r="T66" s="249"/>
      <c r="U66" s="249"/>
      <c r="V66" s="249"/>
      <c r="W66" s="249"/>
      <c r="X66" s="249"/>
      <c r="Y66" s="249"/>
      <c r="Z66" s="249"/>
      <c r="AA66" s="249"/>
      <c r="AB66" s="249"/>
      <c r="AC66" s="249"/>
    </row>
    <row r="67" spans="7:29" x14ac:dyDescent="0.35">
      <c r="H67" s="249" t="s">
        <v>311</v>
      </c>
      <c r="I67" s="744">
        <f>M55</f>
        <v>208.7</v>
      </c>
      <c r="J67" s="744">
        <f>N55</f>
        <v>469.7</v>
      </c>
      <c r="K67" s="744">
        <f>O55</f>
        <v>295.5</v>
      </c>
      <c r="L67" s="744" t="e">
        <f>SUM(L64:L66)</f>
        <v>#REF!</v>
      </c>
    </row>
    <row r="68" spans="7:29" x14ac:dyDescent="0.35">
      <c r="G68" s="249" t="s">
        <v>818</v>
      </c>
    </row>
    <row r="69" spans="7:29" x14ac:dyDescent="0.35">
      <c r="H69" s="249" t="s">
        <v>816</v>
      </c>
      <c r="I69" s="988">
        <f>I64/I$67</f>
        <v>0.39099185433636796</v>
      </c>
      <c r="J69" s="988">
        <f t="shared" ref="J69:L69" si="32">J64/J$67</f>
        <v>0.40217159889291038</v>
      </c>
      <c r="K69" s="988">
        <f t="shared" si="32"/>
        <v>0.3966159052453469</v>
      </c>
      <c r="L69" s="988" t="e">
        <f t="shared" si="32"/>
        <v>#REF!</v>
      </c>
    </row>
    <row r="70" spans="7:29" x14ac:dyDescent="0.35">
      <c r="H70" s="249" t="s">
        <v>468</v>
      </c>
      <c r="I70" s="988">
        <f t="shared" ref="I70:L71" si="33">I65/I$67</f>
        <v>5.6061332055582176E-2</v>
      </c>
      <c r="J70" s="988">
        <f t="shared" si="33"/>
        <v>6.0677027890142649E-2</v>
      </c>
      <c r="K70" s="988">
        <f t="shared" si="33"/>
        <v>6.3620981387478848E-2</v>
      </c>
      <c r="L70" s="988" t="e">
        <f t="shared" si="33"/>
        <v>#REF!</v>
      </c>
    </row>
    <row r="71" spans="7:29" x14ac:dyDescent="0.35">
      <c r="H71" s="249" t="s">
        <v>817</v>
      </c>
      <c r="I71" s="988">
        <f t="shared" si="33"/>
        <v>0.55294681360804987</v>
      </c>
      <c r="J71" s="988">
        <f t="shared" si="33"/>
        <v>0.53715137321694695</v>
      </c>
      <c r="K71" s="988">
        <f t="shared" si="33"/>
        <v>0.53976311336717431</v>
      </c>
      <c r="L71" s="988" t="e">
        <f t="shared" si="33"/>
        <v>#REF!</v>
      </c>
    </row>
    <row r="73" spans="7:29" x14ac:dyDescent="0.35">
      <c r="H73" s="249" t="s">
        <v>819</v>
      </c>
      <c r="I73" s="249">
        <f>I66/I64</f>
        <v>1.4142156862745099</v>
      </c>
      <c r="J73" s="249">
        <f t="shared" ref="J73:K73" si="34">J66/J64</f>
        <v>1.3356273160402328</v>
      </c>
      <c r="K73" s="249">
        <f t="shared" si="34"/>
        <v>1.3609215017064846</v>
      </c>
    </row>
  </sheetData>
  <mergeCells count="9">
    <mergeCell ref="U51:X51"/>
    <mergeCell ref="H2:S5"/>
    <mergeCell ref="H1:S1"/>
    <mergeCell ref="L9:N9"/>
    <mergeCell ref="H50:I52"/>
    <mergeCell ref="J51:L51"/>
    <mergeCell ref="Q51:T51"/>
    <mergeCell ref="M51:P51"/>
    <mergeCell ref="J50:P50"/>
  </mergeCells>
  <hyperlinks>
    <hyperlink ref="H7" r:id="rId1" xr:uid="{00000000-0004-0000-1A00-000000000000}"/>
  </hyperlinks>
  <pageMargins left="0.7" right="0.7" top="0.75" bottom="0.75" header="0.3" footer="0.3"/>
  <pageSetup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5" tint="0.59999389629810485"/>
  </sheetPr>
  <dimension ref="A1:V45"/>
  <sheetViews>
    <sheetView zoomScale="110" zoomScaleNormal="110" workbookViewId="0">
      <selection activeCell="I27" sqref="I27"/>
    </sheetView>
  </sheetViews>
  <sheetFormatPr defaultColWidth="10.90625" defaultRowHeight="14.5" x14ac:dyDescent="0.35"/>
  <cols>
    <col min="2" max="2" width="38.81640625" customWidth="1"/>
    <col min="3" max="9" width="10.453125" customWidth="1"/>
    <col min="10" max="20" width="7.1796875" customWidth="1"/>
    <col min="21" max="21" width="22.1796875" customWidth="1"/>
    <col min="22" max="22" width="11.81640625" customWidth="1"/>
  </cols>
  <sheetData>
    <row r="1" spans="1:22" x14ac:dyDescent="0.35">
      <c r="B1" s="1294" t="s">
        <v>152</v>
      </c>
      <c r="C1" s="1294"/>
      <c r="D1" s="1294"/>
      <c r="E1" s="1294"/>
      <c r="F1" s="1294"/>
      <c r="G1" s="1294"/>
      <c r="H1" s="1294"/>
      <c r="I1" s="1294"/>
      <c r="J1" s="1294"/>
      <c r="K1" s="1294"/>
      <c r="L1" s="1294"/>
      <c r="M1" s="1294"/>
      <c r="N1" s="1294"/>
      <c r="O1" s="1294"/>
      <c r="P1" s="1294"/>
      <c r="Q1" s="1294"/>
      <c r="R1" s="1294"/>
      <c r="S1" s="1294"/>
      <c r="T1" s="1294"/>
    </row>
    <row r="2" spans="1:22" x14ac:dyDescent="0.35">
      <c r="B2" s="1444" t="s">
        <v>854</v>
      </c>
      <c r="C2" s="1444"/>
      <c r="D2" s="1444"/>
      <c r="E2" s="1444"/>
      <c r="F2" s="1444"/>
      <c r="G2" s="1444"/>
      <c r="H2" s="1444"/>
      <c r="I2" s="1444"/>
      <c r="J2" s="1444"/>
      <c r="K2" s="1444"/>
      <c r="L2" s="1444"/>
      <c r="M2" s="1444"/>
      <c r="N2" s="1444"/>
      <c r="O2" s="1444"/>
      <c r="P2" s="1444"/>
      <c r="Q2" s="1444"/>
      <c r="R2" s="1444"/>
      <c r="S2" s="1444"/>
      <c r="T2" s="1444"/>
    </row>
    <row r="3" spans="1:22" x14ac:dyDescent="0.35">
      <c r="B3" s="1444"/>
      <c r="C3" s="1444"/>
      <c r="D3" s="1444"/>
      <c r="E3" s="1444"/>
      <c r="F3" s="1444"/>
      <c r="G3" s="1444"/>
      <c r="H3" s="1444"/>
      <c r="I3" s="1444"/>
      <c r="J3" s="1444"/>
      <c r="K3" s="1444"/>
      <c r="L3" s="1444"/>
      <c r="M3" s="1444"/>
      <c r="N3" s="1444"/>
      <c r="O3" s="1444"/>
      <c r="P3" s="1444"/>
      <c r="Q3" s="1444"/>
      <c r="R3" s="1444"/>
      <c r="S3" s="1444"/>
      <c r="T3" s="1444"/>
    </row>
    <row r="4" spans="1:22" x14ac:dyDescent="0.35">
      <c r="B4" s="1444"/>
      <c r="C4" s="1444"/>
      <c r="D4" s="1444"/>
      <c r="E4" s="1444"/>
      <c r="F4" s="1444"/>
      <c r="G4" s="1444"/>
      <c r="H4" s="1444"/>
      <c r="I4" s="1444"/>
      <c r="J4" s="1444"/>
      <c r="K4" s="1444"/>
      <c r="L4" s="1444"/>
      <c r="M4" s="1444"/>
      <c r="N4" s="1444"/>
      <c r="O4" s="1444"/>
      <c r="P4" s="1444"/>
      <c r="Q4" s="1444"/>
      <c r="R4" s="1444"/>
      <c r="S4" s="1444"/>
      <c r="T4" s="1444"/>
    </row>
    <row r="5" spans="1:22" x14ac:dyDescent="0.35">
      <c r="B5" s="1444"/>
      <c r="C5" s="1444"/>
      <c r="D5" s="1444"/>
      <c r="E5" s="1444"/>
      <c r="F5" s="1444"/>
      <c r="G5" s="1444"/>
      <c r="H5" s="1444"/>
      <c r="I5" s="1444"/>
      <c r="J5" s="1444"/>
      <c r="K5" s="1444"/>
      <c r="L5" s="1444"/>
      <c r="M5" s="1444"/>
      <c r="N5" s="1444"/>
      <c r="O5" s="1444"/>
      <c r="P5" s="1444"/>
      <c r="Q5" s="1444"/>
      <c r="R5" s="1444"/>
      <c r="S5" s="1444"/>
      <c r="T5" s="1444"/>
    </row>
    <row r="6" spans="1:22" x14ac:dyDescent="0.35">
      <c r="B6" s="1444"/>
      <c r="C6" s="1444"/>
      <c r="D6" s="1444"/>
      <c r="E6" s="1444"/>
      <c r="F6" s="1444"/>
      <c r="G6" s="1444"/>
      <c r="H6" s="1444"/>
      <c r="I6" s="1444"/>
      <c r="J6" s="1444"/>
      <c r="K6" s="1444"/>
      <c r="L6" s="1444"/>
      <c r="M6" s="1444"/>
      <c r="N6" s="1444"/>
      <c r="O6" s="1444"/>
      <c r="P6" s="1444"/>
      <c r="Q6" s="1444"/>
      <c r="R6" s="1444"/>
      <c r="S6" s="1444"/>
      <c r="T6" s="1444"/>
    </row>
    <row r="7" spans="1:22" x14ac:dyDescent="0.35">
      <c r="J7" s="74"/>
      <c r="K7" s="74"/>
      <c r="M7" s="74"/>
    </row>
    <row r="9" spans="1:22" ht="14.9" customHeight="1" x14ac:dyDescent="0.35">
      <c r="A9" s="214"/>
      <c r="B9" s="1445" t="s">
        <v>303</v>
      </c>
      <c r="C9" s="1446"/>
      <c r="D9" s="1013">
        <v>2018</v>
      </c>
      <c r="E9" s="1451">
        <v>2019</v>
      </c>
      <c r="F9" s="1452"/>
      <c r="G9" s="1452"/>
      <c r="H9" s="1453"/>
      <c r="I9" s="1449">
        <v>2020</v>
      </c>
      <c r="J9" s="1450"/>
      <c r="K9" s="1450"/>
      <c r="L9" s="1450"/>
      <c r="M9" s="1454">
        <v>2021</v>
      </c>
      <c r="N9" s="1455"/>
      <c r="O9" s="1455"/>
      <c r="P9" s="1456"/>
      <c r="Q9" s="1449">
        <v>2022</v>
      </c>
      <c r="R9" s="1457"/>
      <c r="S9" s="1457"/>
      <c r="T9" s="1458"/>
    </row>
    <row r="10" spans="1:22" x14ac:dyDescent="0.35">
      <c r="B10" s="1447"/>
      <c r="C10" s="1448"/>
      <c r="D10" s="1018" t="s">
        <v>281</v>
      </c>
      <c r="E10" s="1019" t="s">
        <v>282</v>
      </c>
      <c r="F10" s="676" t="s">
        <v>283</v>
      </c>
      <c r="G10" s="676" t="s">
        <v>238</v>
      </c>
      <c r="H10" s="1020" t="s">
        <v>281</v>
      </c>
      <c r="I10" s="1019" t="s">
        <v>282</v>
      </c>
      <c r="J10" s="676" t="s">
        <v>283</v>
      </c>
      <c r="K10" s="676" t="s">
        <v>238</v>
      </c>
      <c r="L10" s="676" t="s">
        <v>281</v>
      </c>
      <c r="M10" s="225" t="s">
        <v>282</v>
      </c>
      <c r="N10" s="226" t="s">
        <v>283</v>
      </c>
      <c r="O10" s="226" t="s">
        <v>238</v>
      </c>
      <c r="P10" s="232" t="s">
        <v>281</v>
      </c>
      <c r="Q10" s="676" t="s">
        <v>282</v>
      </c>
      <c r="R10" s="676" t="s">
        <v>283</v>
      </c>
      <c r="S10" s="676" t="s">
        <v>238</v>
      </c>
      <c r="T10" s="1020" t="s">
        <v>281</v>
      </c>
    </row>
    <row r="11" spans="1:22" ht="29.15" customHeight="1" x14ac:dyDescent="0.35">
      <c r="A11" s="1011"/>
      <c r="B11" s="1022" t="s">
        <v>139</v>
      </c>
      <c r="C11" s="1017" t="s">
        <v>304</v>
      </c>
      <c r="D11" s="1005"/>
      <c r="E11" s="1006"/>
      <c r="F11" s="1006"/>
      <c r="G11" s="1006"/>
      <c r="H11" s="1006"/>
      <c r="I11" s="1006"/>
      <c r="J11" s="1024">
        <f>'Haver Pivoted'!GU48</f>
        <v>160.9</v>
      </c>
      <c r="K11" s="1024">
        <f>'Haver Pivoted'!GV48</f>
        <v>58.4</v>
      </c>
      <c r="L11" s="1024">
        <f>'Haver Pivoted'!GW48</f>
        <v>34.5</v>
      </c>
      <c r="M11" s="1024">
        <f>'Haver Pivoted'!GX48</f>
        <v>21.4</v>
      </c>
      <c r="N11" s="1024">
        <f>'Haver Pivoted'!GY48</f>
        <v>13.3</v>
      </c>
      <c r="O11" s="1024">
        <f>'Haver Pivoted'!GZ48</f>
        <v>18.7</v>
      </c>
      <c r="P11" s="1024">
        <f>'Haver Pivoted'!HA48</f>
        <v>32.200000000000003</v>
      </c>
      <c r="Q11" s="1024">
        <f>'Haver Pivoted'!HB48</f>
        <v>26.9</v>
      </c>
      <c r="R11" s="1024">
        <f>'Haver Pivoted'!HC48</f>
        <v>20</v>
      </c>
      <c r="S11" s="1030">
        <f>'Haver Pivoted'!HD48</f>
        <v>8.1</v>
      </c>
      <c r="T11" s="1025">
        <f>'Haver Pivoted'!HE48</f>
        <v>4.9000000000000004</v>
      </c>
    </row>
    <row r="12" spans="1:22" ht="29.15" customHeight="1" x14ac:dyDescent="0.35">
      <c r="A12" s="1011"/>
      <c r="B12" s="1009" t="s">
        <v>305</v>
      </c>
      <c r="C12" s="171" t="s">
        <v>306</v>
      </c>
      <c r="D12" s="1009"/>
      <c r="E12" s="171"/>
      <c r="F12" s="171"/>
      <c r="G12" s="171"/>
      <c r="H12" s="171"/>
      <c r="I12" s="171"/>
      <c r="J12" s="1026">
        <f>'Haver Pivoted'!GU58</f>
        <v>64.400000000000006</v>
      </c>
      <c r="K12" s="1026">
        <f>'Haver Pivoted'!GV58</f>
        <v>23.4</v>
      </c>
      <c r="L12" s="1026">
        <f>'Haver Pivoted'!GW58</f>
        <v>13.8</v>
      </c>
      <c r="M12" s="1026">
        <f>'Haver Pivoted'!GX58</f>
        <v>12</v>
      </c>
      <c r="N12" s="1026">
        <f>'Haver Pivoted'!GY58</f>
        <v>7.5</v>
      </c>
      <c r="O12" s="1026">
        <f>'Haver Pivoted'!GZ58</f>
        <v>10.5</v>
      </c>
      <c r="P12" s="1026">
        <f>'Haver Pivoted'!HA58</f>
        <v>18</v>
      </c>
      <c r="Q12" s="1026">
        <f>'Haver Pivoted'!HB58</f>
        <v>15</v>
      </c>
      <c r="R12" s="1026">
        <f>'Haver Pivoted'!HC58</f>
        <v>11.2</v>
      </c>
      <c r="S12" s="1029">
        <f>'Haver Pivoted'!HD58</f>
        <v>7.5</v>
      </c>
      <c r="T12" s="1007">
        <f>'Haver Pivoted'!HE58</f>
        <v>6.2</v>
      </c>
    </row>
    <row r="13" spans="1:22" ht="47.15" customHeight="1" x14ac:dyDescent="0.35">
      <c r="A13" s="1011"/>
      <c r="B13" s="1009" t="s">
        <v>307</v>
      </c>
      <c r="C13" s="171" t="s">
        <v>308</v>
      </c>
      <c r="D13" s="1009"/>
      <c r="E13" s="171"/>
      <c r="F13" s="171"/>
      <c r="G13" s="171"/>
      <c r="H13" s="171"/>
      <c r="I13" s="171"/>
      <c r="J13" s="1026">
        <f>'Haver Pivoted'!GU54</f>
        <v>96.6</v>
      </c>
      <c r="K13" s="1026">
        <f>'Haver Pivoted'!GV54</f>
        <v>35.1</v>
      </c>
      <c r="L13" s="1026">
        <f>'Haver Pivoted'!GW54</f>
        <v>20.7</v>
      </c>
      <c r="M13" s="1026">
        <f>'Haver Pivoted'!GX54</f>
        <v>15.4</v>
      </c>
      <c r="N13" s="1026">
        <f>'Haver Pivoted'!GY54</f>
        <v>9.6</v>
      </c>
      <c r="O13" s="1026">
        <f>'Haver Pivoted'!GZ54</f>
        <v>13.5</v>
      </c>
      <c r="P13" s="1026">
        <f>'Haver Pivoted'!HA54</f>
        <v>23.2</v>
      </c>
      <c r="Q13" s="1026">
        <f>'Haver Pivoted'!HB54</f>
        <v>19.3</v>
      </c>
      <c r="R13" s="1026">
        <f>'Haver Pivoted'!HC54</f>
        <v>14.4</v>
      </c>
      <c r="S13" s="1029">
        <f>'Haver Pivoted'!HD54</f>
        <v>5.9</v>
      </c>
      <c r="T13" s="1007">
        <f>'Haver Pivoted'!HE54</f>
        <v>3.6</v>
      </c>
      <c r="U13" s="1027" t="s">
        <v>309</v>
      </c>
      <c r="V13" s="1014" t="s">
        <v>310</v>
      </c>
    </row>
    <row r="14" spans="1:22" x14ac:dyDescent="0.35">
      <c r="B14" s="41" t="s">
        <v>311</v>
      </c>
      <c r="C14" s="43"/>
      <c r="D14" s="41"/>
      <c r="E14" s="43"/>
      <c r="F14" s="43"/>
      <c r="G14" s="43"/>
      <c r="H14" s="43"/>
      <c r="I14" s="43"/>
      <c r="J14" s="1026">
        <f t="shared" ref="J14:T14" si="0">J13+J12+J11</f>
        <v>321.89999999999998</v>
      </c>
      <c r="K14" s="1026">
        <f t="shared" si="0"/>
        <v>116.9</v>
      </c>
      <c r="L14" s="1026">
        <f t="shared" si="0"/>
        <v>69</v>
      </c>
      <c r="M14" s="1026">
        <f t="shared" si="0"/>
        <v>48.8</v>
      </c>
      <c r="N14" s="1026">
        <f t="shared" si="0"/>
        <v>30.400000000000002</v>
      </c>
      <c r="O14" s="1026">
        <f t="shared" si="0"/>
        <v>42.7</v>
      </c>
      <c r="P14" s="1026">
        <f t="shared" si="0"/>
        <v>73.400000000000006</v>
      </c>
      <c r="Q14" s="1026">
        <f t="shared" si="0"/>
        <v>61.199999999999996</v>
      </c>
      <c r="R14" s="1026">
        <f t="shared" si="0"/>
        <v>45.6</v>
      </c>
      <c r="S14" s="1029">
        <f t="shared" si="0"/>
        <v>21.5</v>
      </c>
      <c r="T14" s="1007">
        <f t="shared" si="0"/>
        <v>14.700000000000001</v>
      </c>
      <c r="U14" s="1028">
        <v>236</v>
      </c>
      <c r="V14" s="1021">
        <f>SUM(J14:S14)/4</f>
        <v>207.85</v>
      </c>
    </row>
    <row r="15" spans="1:22" x14ac:dyDescent="0.35">
      <c r="B15" s="1010" t="s">
        <v>312</v>
      </c>
      <c r="C15" s="45"/>
      <c r="D15" s="1010"/>
      <c r="E15" s="45"/>
      <c r="F15" s="45"/>
      <c r="G15" s="45"/>
      <c r="H15" s="45"/>
      <c r="I15" s="45"/>
      <c r="J15" s="214">
        <f t="shared" ref="J15:N17" si="1">J11/J$14</f>
        <v>0.49984467225846541</v>
      </c>
      <c r="K15" s="214">
        <f t="shared" si="1"/>
        <v>0.49957228400342168</v>
      </c>
      <c r="L15" s="214">
        <f t="shared" si="1"/>
        <v>0.5</v>
      </c>
      <c r="M15" s="214">
        <f t="shared" si="1"/>
        <v>0.43852459016393441</v>
      </c>
      <c r="N15" s="214">
        <f t="shared" si="1"/>
        <v>0.4375</v>
      </c>
      <c r="O15" s="214">
        <f>O11/O$14</f>
        <v>0.43793911007025754</v>
      </c>
      <c r="P15" s="214">
        <f t="shared" ref="P15:T15" si="2">P11/P$14</f>
        <v>0.43869209809264303</v>
      </c>
      <c r="Q15" s="214">
        <f t="shared" si="2"/>
        <v>0.43954248366013071</v>
      </c>
      <c r="R15" s="214">
        <f t="shared" si="2"/>
        <v>0.43859649122807015</v>
      </c>
      <c r="S15" s="676">
        <f t="shared" si="2"/>
        <v>0.37674418604651161</v>
      </c>
      <c r="T15" s="1020">
        <f t="shared" si="2"/>
        <v>0.33333333333333331</v>
      </c>
    </row>
    <row r="16" spans="1:22" x14ac:dyDescent="0.35">
      <c r="B16" s="1010" t="s">
        <v>313</v>
      </c>
      <c r="C16" s="45"/>
      <c r="D16" s="1010"/>
      <c r="E16" s="45"/>
      <c r="F16" s="45"/>
      <c r="G16" s="45"/>
      <c r="H16" s="45"/>
      <c r="I16" s="45"/>
      <c r="J16" s="214">
        <f t="shared" si="1"/>
        <v>0.20006213109661389</v>
      </c>
      <c r="K16" s="214">
        <f t="shared" si="1"/>
        <v>0.20017108639863129</v>
      </c>
      <c r="L16" s="214">
        <f t="shared" si="1"/>
        <v>0.2</v>
      </c>
      <c r="M16" s="214">
        <f t="shared" si="1"/>
        <v>0.24590163934426232</v>
      </c>
      <c r="N16" s="214">
        <f t="shared" si="1"/>
        <v>0.24671052631578946</v>
      </c>
      <c r="O16" s="214">
        <f t="shared" ref="O16:T16" si="3">O12/O$14</f>
        <v>0.24590163934426229</v>
      </c>
      <c r="P16" s="214">
        <f t="shared" si="3"/>
        <v>0.24523160762942778</v>
      </c>
      <c r="Q16" s="214">
        <f t="shared" si="3"/>
        <v>0.24509803921568629</v>
      </c>
      <c r="R16" s="214">
        <f t="shared" si="3"/>
        <v>0.24561403508771928</v>
      </c>
      <c r="S16" s="676">
        <f t="shared" si="3"/>
        <v>0.34883720930232559</v>
      </c>
      <c r="T16" s="1020">
        <f t="shared" si="3"/>
        <v>0.42176870748299317</v>
      </c>
      <c r="U16" s="339"/>
    </row>
    <row r="17" spans="2:21" x14ac:dyDescent="0.35">
      <c r="B17" s="1012" t="s">
        <v>314</v>
      </c>
      <c r="C17" s="1016"/>
      <c r="D17" s="1012"/>
      <c r="E17" s="1016"/>
      <c r="F17" s="1016"/>
      <c r="G17" s="1016"/>
      <c r="H17" s="1016"/>
      <c r="I17" s="1016"/>
      <c r="J17" s="658">
        <f t="shared" si="1"/>
        <v>0.30009319664492079</v>
      </c>
      <c r="K17" s="658">
        <f t="shared" si="1"/>
        <v>0.30025662959794697</v>
      </c>
      <c r="L17" s="658">
        <f t="shared" si="1"/>
        <v>0.3</v>
      </c>
      <c r="M17" s="658">
        <f t="shared" si="1"/>
        <v>0.3155737704918033</v>
      </c>
      <c r="N17" s="658">
        <f t="shared" si="1"/>
        <v>0.31578947368421051</v>
      </c>
      <c r="O17" s="658">
        <f t="shared" ref="O17:T17" si="4">O13/O$14</f>
        <v>0.31615925058548006</v>
      </c>
      <c r="P17" s="658">
        <f t="shared" si="4"/>
        <v>0.3160762942779291</v>
      </c>
      <c r="Q17" s="658">
        <f t="shared" si="4"/>
        <v>0.31535947712418305</v>
      </c>
      <c r="R17" s="658">
        <f t="shared" si="4"/>
        <v>0.31578947368421051</v>
      </c>
      <c r="S17" s="1023">
        <f t="shared" si="4"/>
        <v>0.2744186046511628</v>
      </c>
      <c r="T17" s="1008">
        <f t="shared" si="4"/>
        <v>0.24489795918367346</v>
      </c>
    </row>
    <row r="18" spans="2:21" x14ac:dyDescent="0.35">
      <c r="B18" s="45"/>
      <c r="C18" s="45"/>
      <c r="D18" s="45"/>
      <c r="E18" s="45"/>
      <c r="F18" s="45"/>
      <c r="G18" s="45"/>
      <c r="H18" s="45"/>
      <c r="I18" s="45"/>
      <c r="J18" s="214"/>
      <c r="K18" s="214"/>
      <c r="L18" s="214"/>
      <c r="M18" s="214"/>
      <c r="N18" s="214"/>
      <c r="O18" s="214"/>
    </row>
    <row r="19" spans="2:21" ht="15.75" customHeight="1" x14ac:dyDescent="0.35"/>
    <row r="21" spans="2:21" ht="30" customHeight="1" x14ac:dyDescent="0.35"/>
    <row r="22" spans="2:21" ht="27" customHeight="1" x14ac:dyDescent="0.35">
      <c r="M22" s="56"/>
      <c r="N22" s="56"/>
      <c r="O22" s="56"/>
      <c r="P22" s="14"/>
      <c r="Q22" s="14"/>
      <c r="R22" s="14"/>
      <c r="S22" s="14"/>
      <c r="T22" s="14"/>
      <c r="U22" s="56"/>
    </row>
    <row r="23" spans="2:21" ht="31.5" customHeight="1" x14ac:dyDescent="0.35">
      <c r="M23" s="56"/>
      <c r="N23" s="56"/>
      <c r="O23" s="56"/>
      <c r="P23" s="14"/>
      <c r="Q23" s="14"/>
      <c r="R23" s="14"/>
      <c r="S23" s="14"/>
      <c r="T23" s="14"/>
      <c r="U23" s="56"/>
    </row>
    <row r="24" spans="2:21" ht="24.65" customHeight="1" x14ac:dyDescent="0.35">
      <c r="M24" s="56"/>
      <c r="N24" s="56"/>
      <c r="O24" s="56"/>
      <c r="P24" s="14"/>
      <c r="Q24" s="14"/>
      <c r="R24" s="14"/>
      <c r="S24" s="14"/>
      <c r="T24" s="14"/>
      <c r="U24" s="56"/>
    </row>
    <row r="25" spans="2:21" x14ac:dyDescent="0.35">
      <c r="M25" s="56"/>
      <c r="N25" s="56"/>
      <c r="O25" s="56"/>
      <c r="P25" s="56"/>
      <c r="Q25" s="56"/>
      <c r="R25" s="56"/>
      <c r="S25" s="56"/>
      <c r="T25" s="56"/>
      <c r="U25" s="56"/>
    </row>
    <row r="26" spans="2:21" x14ac:dyDescent="0.35">
      <c r="M26" s="56"/>
      <c r="N26" s="56"/>
      <c r="O26" s="56"/>
      <c r="P26" s="56"/>
      <c r="Q26" s="56"/>
      <c r="R26" s="56"/>
      <c r="S26" s="56"/>
      <c r="T26" s="56"/>
      <c r="U26" s="56"/>
    </row>
    <row r="27" spans="2:21" x14ac:dyDescent="0.35">
      <c r="M27" s="56"/>
      <c r="N27" s="56"/>
      <c r="O27" s="56"/>
      <c r="P27" s="56"/>
      <c r="Q27" s="56"/>
      <c r="R27" s="56"/>
      <c r="S27" s="56"/>
      <c r="T27" s="56"/>
      <c r="U27" s="56"/>
    </row>
    <row r="28" spans="2:21" x14ac:dyDescent="0.35">
      <c r="M28" s="56"/>
      <c r="N28" s="56"/>
      <c r="O28" s="56"/>
      <c r="P28" s="56"/>
      <c r="Q28" s="56"/>
      <c r="R28" s="56"/>
      <c r="S28" s="56"/>
      <c r="T28" s="56"/>
      <c r="U28" s="56"/>
    </row>
    <row r="29" spans="2:21" x14ac:dyDescent="0.35">
      <c r="M29" s="56"/>
      <c r="N29" s="56"/>
      <c r="O29" s="56"/>
      <c r="P29" s="56"/>
      <c r="Q29" s="56"/>
      <c r="R29" s="56"/>
      <c r="S29" s="56"/>
      <c r="T29" s="56"/>
      <c r="U29" s="56"/>
    </row>
    <row r="30" spans="2:21" x14ac:dyDescent="0.35">
      <c r="M30" s="56"/>
      <c r="N30" s="56"/>
      <c r="O30" s="56"/>
      <c r="P30" s="56"/>
      <c r="Q30" s="56"/>
      <c r="R30" s="56"/>
      <c r="S30" s="56"/>
      <c r="T30" s="56"/>
      <c r="U30" s="56"/>
    </row>
    <row r="31" spans="2:21" x14ac:dyDescent="0.35">
      <c r="M31" s="56"/>
      <c r="N31" s="56"/>
      <c r="O31" s="56"/>
      <c r="P31" s="56"/>
      <c r="Q31" s="56"/>
      <c r="R31" s="56"/>
      <c r="S31" s="56"/>
      <c r="T31" s="56"/>
      <c r="U31" s="56"/>
    </row>
    <row r="32" spans="2:21" x14ac:dyDescent="0.35">
      <c r="M32" s="56"/>
      <c r="N32" s="56"/>
      <c r="O32" s="56"/>
      <c r="P32" s="56"/>
      <c r="Q32" s="56"/>
      <c r="R32" s="56"/>
      <c r="S32" s="56"/>
      <c r="T32" s="56"/>
      <c r="U32" s="56"/>
    </row>
    <row r="33" spans="13:21" x14ac:dyDescent="0.35">
      <c r="M33" s="56"/>
      <c r="N33" s="56"/>
      <c r="O33" s="56"/>
      <c r="P33" s="56"/>
      <c r="Q33" s="56"/>
      <c r="R33" s="56"/>
      <c r="S33" s="56"/>
      <c r="T33" s="56"/>
      <c r="U33" s="56"/>
    </row>
    <row r="34" spans="13:21" x14ac:dyDescent="0.35">
      <c r="M34" s="56"/>
      <c r="N34" s="56"/>
      <c r="O34" s="56"/>
      <c r="P34" s="56"/>
      <c r="Q34" s="56"/>
      <c r="R34" s="56"/>
      <c r="S34" s="56"/>
      <c r="T34" s="56"/>
      <c r="U34" s="56"/>
    </row>
    <row r="35" spans="13:21" x14ac:dyDescent="0.35">
      <c r="M35" s="56"/>
      <c r="N35" s="56"/>
      <c r="O35" s="56"/>
      <c r="P35" s="56"/>
      <c r="Q35" s="56"/>
      <c r="R35" s="56"/>
      <c r="S35" s="56"/>
      <c r="T35" s="56"/>
      <c r="U35" s="56"/>
    </row>
    <row r="36" spans="13:21" x14ac:dyDescent="0.35">
      <c r="M36" s="56"/>
      <c r="N36" s="56"/>
      <c r="O36" s="56"/>
      <c r="P36" s="56"/>
      <c r="Q36" s="56"/>
      <c r="R36" s="56"/>
      <c r="S36" s="56"/>
      <c r="T36" s="56"/>
      <c r="U36" s="56"/>
    </row>
    <row r="37" spans="13:21" x14ac:dyDescent="0.35">
      <c r="M37" s="56"/>
      <c r="N37" s="56"/>
      <c r="O37" s="56"/>
      <c r="P37" s="56"/>
      <c r="Q37" s="56"/>
      <c r="R37" s="56"/>
      <c r="S37" s="56"/>
      <c r="T37" s="56"/>
      <c r="U37" s="56"/>
    </row>
    <row r="38" spans="13:21" x14ac:dyDescent="0.35">
      <c r="M38" s="56"/>
      <c r="N38" s="56"/>
      <c r="O38" s="56"/>
      <c r="P38" s="56"/>
      <c r="Q38" s="56"/>
      <c r="R38" s="56"/>
      <c r="S38" s="56"/>
      <c r="T38" s="56"/>
      <c r="U38" s="56"/>
    </row>
    <row r="39" spans="13:21" x14ac:dyDescent="0.35">
      <c r="M39" s="56"/>
      <c r="N39" s="56"/>
      <c r="O39" s="56"/>
      <c r="P39" s="56"/>
      <c r="Q39" s="56"/>
      <c r="R39" s="56"/>
      <c r="S39" s="56"/>
      <c r="T39" s="56"/>
      <c r="U39" s="56"/>
    </row>
    <row r="40" spans="13:21" x14ac:dyDescent="0.35">
      <c r="M40" s="56"/>
      <c r="N40" s="56"/>
      <c r="O40" s="56"/>
      <c r="P40" s="56"/>
      <c r="Q40" s="56"/>
      <c r="R40" s="56"/>
      <c r="S40" s="56"/>
      <c r="T40" s="56"/>
      <c r="U40" s="56"/>
    </row>
    <row r="41" spans="13:21" x14ac:dyDescent="0.35">
      <c r="M41" s="56"/>
      <c r="N41" s="56"/>
      <c r="O41" s="56"/>
      <c r="P41" s="56"/>
      <c r="Q41" s="56"/>
      <c r="R41" s="56"/>
      <c r="S41" s="56"/>
      <c r="T41" s="56"/>
      <c r="U41" s="56"/>
    </row>
    <row r="42" spans="13:21" x14ac:dyDescent="0.35">
      <c r="M42" s="56"/>
      <c r="N42" s="56"/>
      <c r="O42" s="56"/>
      <c r="P42" s="56"/>
      <c r="Q42" s="56"/>
      <c r="R42" s="56"/>
      <c r="S42" s="56"/>
      <c r="T42" s="56"/>
      <c r="U42" s="56"/>
    </row>
    <row r="43" spans="13:21" x14ac:dyDescent="0.35">
      <c r="M43" s="56"/>
      <c r="N43" s="56"/>
      <c r="O43" s="56"/>
      <c r="P43" s="56"/>
      <c r="Q43" s="56"/>
      <c r="R43" s="56"/>
      <c r="S43" s="56"/>
      <c r="T43" s="56"/>
      <c r="U43" s="56"/>
    </row>
    <row r="44" spans="13:21" x14ac:dyDescent="0.35">
      <c r="M44" s="56"/>
      <c r="N44" s="56"/>
      <c r="O44" s="56"/>
      <c r="P44" s="56"/>
      <c r="Q44" s="56"/>
      <c r="R44" s="56"/>
      <c r="S44" s="56"/>
      <c r="T44" s="56"/>
      <c r="U44" s="56"/>
    </row>
    <row r="45" spans="13:21" x14ac:dyDescent="0.35">
      <c r="M45" s="56"/>
      <c r="N45" s="56"/>
      <c r="O45" s="56"/>
      <c r="P45" s="56"/>
      <c r="Q45" s="56"/>
      <c r="R45" s="56"/>
      <c r="S45" s="56"/>
      <c r="T45" s="56"/>
      <c r="U45" s="56"/>
    </row>
  </sheetData>
  <mergeCells count="7">
    <mergeCell ref="B2:T6"/>
    <mergeCell ref="B1:T1"/>
    <mergeCell ref="B9:C10"/>
    <mergeCell ref="I9:L9"/>
    <mergeCell ref="E9:H9"/>
    <mergeCell ref="M9:P9"/>
    <mergeCell ref="Q9:T9"/>
  </mergeCells>
  <pageMargins left="0.7" right="0.7" top="0.75" bottom="0.75" header="0.3" footer="0.3"/>
  <pageSetup orientation="portrait"/>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5" tint="0.59999389629810485"/>
  </sheetPr>
  <dimension ref="A1:AC52"/>
  <sheetViews>
    <sheetView zoomScale="90" zoomScaleNormal="90" workbookViewId="0">
      <selection activeCell="J10" sqref="J10"/>
    </sheetView>
  </sheetViews>
  <sheetFormatPr defaultColWidth="10.90625" defaultRowHeight="14.5" x14ac:dyDescent="0.35"/>
  <cols>
    <col min="1" max="1" width="6" customWidth="1"/>
    <col min="2" max="2" width="29.453125" customWidth="1"/>
    <col min="3" max="7" width="10.453125" customWidth="1"/>
  </cols>
  <sheetData>
    <row r="1" spans="1:29" x14ac:dyDescent="0.35">
      <c r="B1" s="1318" t="s">
        <v>56</v>
      </c>
      <c r="C1" s="1318"/>
      <c r="D1" s="1318"/>
      <c r="E1" s="1318"/>
      <c r="F1" s="1318"/>
      <c r="G1" s="1318"/>
      <c r="H1" s="1318"/>
      <c r="I1" s="1318"/>
      <c r="J1" s="1318"/>
      <c r="K1" s="1318"/>
      <c r="L1" s="1318"/>
      <c r="M1" s="1318"/>
      <c r="N1" s="1318"/>
      <c r="O1" s="1318"/>
      <c r="P1" s="1318"/>
      <c r="Q1" s="1318"/>
      <c r="R1" s="1318"/>
      <c r="S1" s="1318"/>
      <c r="T1" s="1318"/>
      <c r="U1" s="1318"/>
      <c r="V1" s="1318"/>
      <c r="W1" s="1318"/>
      <c r="X1" s="1318"/>
      <c r="Y1" s="1318"/>
      <c r="Z1" s="1318"/>
      <c r="AA1" s="1318"/>
      <c r="AB1" s="1318"/>
      <c r="AC1" s="1318"/>
    </row>
    <row r="2" spans="1:29" ht="14.9" customHeight="1" x14ac:dyDescent="0.35">
      <c r="B2" s="1319" t="s">
        <v>457</v>
      </c>
      <c r="C2" s="1319"/>
      <c r="D2" s="1319"/>
      <c r="E2" s="1319"/>
      <c r="F2" s="1319"/>
      <c r="G2" s="1319"/>
      <c r="H2" s="1319"/>
      <c r="I2" s="1319"/>
      <c r="J2" s="1319"/>
      <c r="K2" s="1319"/>
      <c r="L2" s="1319"/>
      <c r="M2" s="1319"/>
      <c r="N2" s="1319"/>
      <c r="O2" s="1319"/>
      <c r="P2" s="1319"/>
      <c r="Q2" s="1319"/>
      <c r="R2" s="1319"/>
      <c r="S2" s="1319"/>
      <c r="T2" s="1319"/>
      <c r="U2" s="1319"/>
      <c r="V2" s="1319"/>
      <c r="W2" s="1319"/>
      <c r="X2" s="1319"/>
      <c r="Y2" s="1319"/>
      <c r="Z2" s="1319"/>
      <c r="AA2" s="1319"/>
      <c r="AB2" s="1319"/>
      <c r="AC2" s="1319"/>
    </row>
    <row r="3" spans="1:29" x14ac:dyDescent="0.35">
      <c r="B3" s="1319"/>
      <c r="C3" s="1319"/>
      <c r="D3" s="1319"/>
      <c r="E3" s="1319"/>
      <c r="F3" s="1319"/>
      <c r="G3" s="1319"/>
      <c r="H3" s="1319"/>
      <c r="I3" s="1319"/>
      <c r="J3" s="1319"/>
      <c r="K3" s="1319"/>
      <c r="L3" s="1319"/>
      <c r="M3" s="1319"/>
      <c r="N3" s="1319"/>
      <c r="O3" s="1319"/>
      <c r="P3" s="1319"/>
      <c r="Q3" s="1319"/>
      <c r="R3" s="1319"/>
      <c r="S3" s="1319"/>
      <c r="T3" s="1319"/>
      <c r="U3" s="1319"/>
      <c r="V3" s="1319"/>
      <c r="W3" s="1319"/>
      <c r="X3" s="1319"/>
      <c r="Y3" s="1319"/>
      <c r="Z3" s="1319"/>
      <c r="AA3" s="1319"/>
      <c r="AB3" s="1319"/>
      <c r="AC3" s="1319"/>
    </row>
    <row r="4" spans="1:29" x14ac:dyDescent="0.35">
      <c r="B4" s="1319"/>
      <c r="C4" s="1319"/>
      <c r="D4" s="1319"/>
      <c r="E4" s="1319"/>
      <c r="F4" s="1319"/>
      <c r="G4" s="1319"/>
      <c r="H4" s="1319"/>
      <c r="I4" s="1319"/>
      <c r="J4" s="1319"/>
      <c r="K4" s="1319"/>
      <c r="L4" s="1319"/>
      <c r="M4" s="1319"/>
      <c r="N4" s="1319"/>
      <c r="O4" s="1319"/>
      <c r="P4" s="1319"/>
      <c r="Q4" s="1319"/>
      <c r="R4" s="1319"/>
      <c r="S4" s="1319"/>
      <c r="T4" s="1319"/>
      <c r="U4" s="1319"/>
      <c r="V4" s="1319"/>
      <c r="W4" s="1319"/>
      <c r="X4" s="1319"/>
      <c r="Y4" s="1319"/>
      <c r="Z4" s="1319"/>
      <c r="AA4" s="1319"/>
      <c r="AB4" s="1319"/>
      <c r="AC4" s="1319"/>
    </row>
    <row r="5" spans="1:29" x14ac:dyDescent="0.35">
      <c r="B5" s="409"/>
      <c r="C5" s="249"/>
      <c r="D5" s="249"/>
      <c r="E5" s="249"/>
      <c r="F5" s="249"/>
      <c r="G5" s="249"/>
      <c r="H5" s="249"/>
      <c r="I5" s="249"/>
      <c r="J5" s="249"/>
      <c r="K5" s="249"/>
      <c r="L5" s="249"/>
      <c r="M5" s="249"/>
      <c r="N5" s="249"/>
      <c r="O5" s="249"/>
      <c r="P5" s="249"/>
      <c r="Q5" s="249"/>
      <c r="R5" s="249"/>
      <c r="S5" s="249"/>
      <c r="T5" s="249"/>
      <c r="U5" s="249"/>
      <c r="V5" s="249"/>
      <c r="W5" s="249"/>
      <c r="X5" s="249"/>
      <c r="Y5" s="249"/>
    </row>
    <row r="6" spans="1:29" x14ac:dyDescent="0.35">
      <c r="B6" s="1323" t="s">
        <v>402</v>
      </c>
      <c r="C6" s="1324"/>
      <c r="D6" s="1336" t="s">
        <v>279</v>
      </c>
      <c r="E6" s="1337"/>
      <c r="F6" s="1337"/>
      <c r="G6" s="1337"/>
      <c r="H6" s="1337"/>
      <c r="I6" s="1337"/>
      <c r="J6" s="1337"/>
      <c r="K6" s="1337"/>
      <c r="L6" s="1337"/>
      <c r="M6" s="1337"/>
      <c r="N6" s="1337"/>
      <c r="O6" s="1337"/>
      <c r="P6" s="1337"/>
      <c r="Q6" s="1364"/>
      <c r="R6" s="1364"/>
      <c r="S6" s="1364"/>
      <c r="T6" s="1324"/>
      <c r="U6" s="1340" t="s">
        <v>280</v>
      </c>
      <c r="V6" s="1340"/>
      <c r="W6" s="1340"/>
      <c r="X6" s="1340"/>
      <c r="Y6" s="1340"/>
      <c r="Z6" s="1340"/>
      <c r="AA6" s="1340"/>
      <c r="AB6" s="1340"/>
      <c r="AC6" s="1341"/>
    </row>
    <row r="7" spans="1:29" x14ac:dyDescent="0.35">
      <c r="B7" s="1325"/>
      <c r="C7" s="1326"/>
      <c r="D7" s="296">
        <v>2018</v>
      </c>
      <c r="E7" s="1342">
        <v>2019</v>
      </c>
      <c r="F7" s="1343"/>
      <c r="G7" s="1343"/>
      <c r="H7" s="1344"/>
      <c r="I7" s="1342">
        <v>2020</v>
      </c>
      <c r="J7" s="1343"/>
      <c r="K7" s="1343"/>
      <c r="L7" s="1343"/>
      <c r="M7" s="1342">
        <v>2021</v>
      </c>
      <c r="N7" s="1343"/>
      <c r="O7" s="1343"/>
      <c r="P7" s="1343"/>
      <c r="Q7" s="1342">
        <v>2022</v>
      </c>
      <c r="R7" s="1354"/>
      <c r="S7" s="1354"/>
      <c r="T7" s="1344"/>
      <c r="U7" s="1330">
        <v>2023</v>
      </c>
      <c r="V7" s="1335"/>
      <c r="W7" s="1335"/>
      <c r="X7" s="1335"/>
      <c r="Y7" s="1329">
        <v>2024</v>
      </c>
      <c r="Z7" s="1335"/>
      <c r="AA7" s="1335"/>
      <c r="AB7" s="1334"/>
      <c r="AC7" s="304">
        <v>2025</v>
      </c>
    </row>
    <row r="8" spans="1:29" x14ac:dyDescent="0.35">
      <c r="B8" s="1327"/>
      <c r="C8" s="1328"/>
      <c r="D8" s="225" t="s">
        <v>281</v>
      </c>
      <c r="E8" s="225" t="s">
        <v>282</v>
      </c>
      <c r="F8" s="226" t="s">
        <v>283</v>
      </c>
      <c r="G8" s="226" t="s">
        <v>238</v>
      </c>
      <c r="H8" s="232" t="s">
        <v>281</v>
      </c>
      <c r="I8" s="226" t="s">
        <v>282</v>
      </c>
      <c r="J8" s="226" t="s">
        <v>283</v>
      </c>
      <c r="K8" s="226" t="s">
        <v>238</v>
      </c>
      <c r="L8" s="226" t="s">
        <v>281</v>
      </c>
      <c r="M8" s="225" t="s">
        <v>282</v>
      </c>
      <c r="N8" s="226" t="s">
        <v>283</v>
      </c>
      <c r="O8" s="226" t="s">
        <v>238</v>
      </c>
      <c r="P8" s="226" t="s">
        <v>281</v>
      </c>
      <c r="Q8" s="225" t="s">
        <v>282</v>
      </c>
      <c r="R8" s="226" t="s">
        <v>283</v>
      </c>
      <c r="S8" s="226" t="s">
        <v>238</v>
      </c>
      <c r="T8" s="232" t="s">
        <v>281</v>
      </c>
      <c r="U8" s="329" t="s">
        <v>282</v>
      </c>
      <c r="V8" s="329" t="s">
        <v>283</v>
      </c>
      <c r="W8" s="329" t="s">
        <v>238</v>
      </c>
      <c r="X8" s="329" t="s">
        <v>281</v>
      </c>
      <c r="Y8" s="328" t="s">
        <v>282</v>
      </c>
      <c r="Z8" s="356" t="s">
        <v>283</v>
      </c>
      <c r="AA8" s="329" t="s">
        <v>238</v>
      </c>
      <c r="AB8" s="438" t="s">
        <v>281</v>
      </c>
      <c r="AC8" s="1040" t="s">
        <v>282</v>
      </c>
    </row>
    <row r="9" spans="1:29" x14ac:dyDescent="0.35">
      <c r="B9" s="578" t="s">
        <v>56</v>
      </c>
      <c r="C9" s="667" t="s">
        <v>458</v>
      </c>
      <c r="D9" s="578"/>
      <c r="E9" s="604"/>
      <c r="F9" s="604"/>
      <c r="G9" s="604"/>
      <c r="H9" s="604"/>
      <c r="I9" s="604"/>
      <c r="J9" s="320">
        <f>'Haver Pivoted'!GU45</f>
        <v>1078.0999999999999</v>
      </c>
      <c r="K9" s="320">
        <f>'Haver Pivoted'!GV45</f>
        <v>15.6</v>
      </c>
      <c r="L9" s="320">
        <f>'Haver Pivoted'!GW45</f>
        <v>5</v>
      </c>
      <c r="M9" s="320">
        <f>'Haver Pivoted'!GX45</f>
        <v>1933.7</v>
      </c>
      <c r="N9" s="320">
        <f>'Haver Pivoted'!GY45</f>
        <v>290.10000000000002</v>
      </c>
      <c r="O9" s="320">
        <f>'Haver Pivoted'!GZ45</f>
        <v>38.9</v>
      </c>
      <c r="P9" s="320">
        <f>'Haver Pivoted'!HA45</f>
        <v>14.2</v>
      </c>
      <c r="Q9" s="320">
        <f>'Haver Pivoted'!HB45</f>
        <v>0</v>
      </c>
      <c r="R9" s="320">
        <f>'Haver Pivoted'!HC45</f>
        <v>0</v>
      </c>
      <c r="S9" s="300">
        <f>'Haver Pivoted'!HD45</f>
        <v>0</v>
      </c>
      <c r="T9" s="298">
        <f>'Haver Pivoted'!HE45</f>
        <v>0</v>
      </c>
      <c r="U9" s="295"/>
      <c r="V9" s="295"/>
      <c r="W9" s="295"/>
      <c r="X9" s="295"/>
      <c r="Y9" s="295"/>
      <c r="Z9" s="295"/>
      <c r="AA9" s="295"/>
      <c r="AB9" s="295"/>
      <c r="AC9" s="228"/>
    </row>
    <row r="10" spans="1:29" x14ac:dyDescent="0.35">
      <c r="B10" s="588" t="s">
        <v>214</v>
      </c>
      <c r="C10" s="267"/>
      <c r="D10" s="588"/>
      <c r="E10" s="267"/>
      <c r="F10" s="267"/>
      <c r="G10" s="267"/>
      <c r="H10" s="267"/>
      <c r="I10" s="267"/>
      <c r="J10" s="639"/>
      <c r="K10" s="639"/>
      <c r="L10" s="639"/>
      <c r="M10" s="639">
        <f t="shared" ref="M10:T10" si="0">M9-M11</f>
        <v>1348.1</v>
      </c>
      <c r="N10" s="639">
        <f t="shared" si="0"/>
        <v>290.10000000000002</v>
      </c>
      <c r="O10" s="639">
        <f t="shared" si="0"/>
        <v>38.9</v>
      </c>
      <c r="P10" s="639">
        <f t="shared" si="0"/>
        <v>14.2</v>
      </c>
      <c r="Q10" s="639">
        <f t="shared" si="0"/>
        <v>0</v>
      </c>
      <c r="R10" s="639">
        <f t="shared" si="0"/>
        <v>0</v>
      </c>
      <c r="S10" s="1038">
        <f t="shared" si="0"/>
        <v>0</v>
      </c>
      <c r="T10" s="1041">
        <f t="shared" si="0"/>
        <v>0</v>
      </c>
      <c r="U10" s="1036"/>
      <c r="V10" s="1036"/>
      <c r="W10" s="1036"/>
      <c r="X10" s="1036"/>
      <c r="Y10" s="1036"/>
      <c r="Z10" s="1036"/>
      <c r="AA10" s="1036"/>
      <c r="AB10" s="1036"/>
      <c r="AC10" s="1037"/>
    </row>
    <row r="11" spans="1:29" x14ac:dyDescent="0.35">
      <c r="B11" s="550" t="s">
        <v>459</v>
      </c>
      <c r="C11" s="551"/>
      <c r="D11" s="550"/>
      <c r="E11" s="551"/>
      <c r="F11" s="551"/>
      <c r="G11" s="551"/>
      <c r="H11" s="551"/>
      <c r="I11" s="551"/>
      <c r="J11" s="659">
        <f t="shared" ref="J11:L11" si="1">J9-J10</f>
        <v>1078.0999999999999</v>
      </c>
      <c r="K11" s="659">
        <f t="shared" si="1"/>
        <v>15.6</v>
      </c>
      <c r="L11" s="659">
        <f t="shared" si="1"/>
        <v>5</v>
      </c>
      <c r="M11" s="659">
        <f>SUM(C17:D17)/12*4</f>
        <v>585.6</v>
      </c>
      <c r="N11" s="659">
        <v>0</v>
      </c>
      <c r="O11" s="659">
        <v>0</v>
      </c>
      <c r="P11" s="659">
        <v>0</v>
      </c>
      <c r="Q11" s="659">
        <v>0</v>
      </c>
      <c r="R11" s="659">
        <v>0</v>
      </c>
      <c r="S11" s="659">
        <v>0</v>
      </c>
      <c r="T11" s="1039"/>
      <c r="U11" s="1043"/>
      <c r="V11" s="1043"/>
      <c r="W11" s="1043"/>
      <c r="X11" s="1043"/>
      <c r="Y11" s="1043"/>
      <c r="Z11" s="1043"/>
      <c r="AA11" s="1043"/>
      <c r="AB11" s="1043"/>
      <c r="AC11" s="1031"/>
    </row>
    <row r="12" spans="1:29" x14ac:dyDescent="0.35">
      <c r="B12" s="249"/>
      <c r="C12" s="249"/>
      <c r="D12" s="249"/>
      <c r="E12" s="249"/>
      <c r="F12" s="249"/>
      <c r="G12" s="249"/>
      <c r="H12" s="249"/>
      <c r="I12" s="249"/>
      <c r="J12" s="249"/>
      <c r="K12" s="249"/>
      <c r="L12" s="249"/>
      <c r="M12" s="249"/>
      <c r="N12" s="249"/>
      <c r="O12" s="249"/>
      <c r="P12" s="249"/>
      <c r="Q12" s="249"/>
      <c r="R12" s="249"/>
      <c r="S12" s="249"/>
      <c r="T12" s="249"/>
      <c r="U12" s="249"/>
      <c r="V12" s="249"/>
      <c r="W12" s="249"/>
      <c r="X12" s="249"/>
      <c r="Y12" s="249"/>
      <c r="Z12" s="56"/>
      <c r="AA12" s="56"/>
      <c r="AB12" s="56"/>
      <c r="AC12" s="56"/>
    </row>
    <row r="13" spans="1:29" x14ac:dyDescent="0.35">
      <c r="A13" s="69"/>
      <c r="B13" s="69"/>
      <c r="C13" s="69"/>
      <c r="D13" s="69"/>
      <c r="E13" s="69"/>
      <c r="F13" s="69"/>
      <c r="G13" s="69"/>
      <c r="H13" s="69"/>
      <c r="I13" s="69"/>
      <c r="J13" s="69"/>
      <c r="K13" s="69"/>
      <c r="L13" s="70"/>
      <c r="M13" s="70"/>
      <c r="N13" s="70"/>
    </row>
    <row r="14" spans="1:29" x14ac:dyDescent="0.35">
      <c r="A14" s="69"/>
      <c r="N14" s="56"/>
    </row>
    <row r="15" spans="1:29" x14ac:dyDescent="0.35">
      <c r="A15" s="214"/>
      <c r="B15" s="1459" t="s">
        <v>460</v>
      </c>
      <c r="C15" s="1449">
        <v>2021</v>
      </c>
      <c r="D15" s="1450"/>
      <c r="E15" s="1450"/>
      <c r="F15" s="1450"/>
      <c r="G15" s="67"/>
      <c r="K15" s="1419"/>
      <c r="L15" s="1419"/>
      <c r="M15" s="56"/>
      <c r="N15" s="56"/>
    </row>
    <row r="16" spans="1:29" x14ac:dyDescent="0.35">
      <c r="B16" s="1460"/>
      <c r="C16" s="1033" t="s">
        <v>234</v>
      </c>
      <c r="D16" s="1023" t="s">
        <v>235</v>
      </c>
      <c r="E16" s="1023" t="s">
        <v>236</v>
      </c>
      <c r="F16" s="1023" t="s">
        <v>237</v>
      </c>
      <c r="G16" s="1042"/>
      <c r="H16" s="214"/>
      <c r="I16" s="214"/>
      <c r="J16" s="214"/>
      <c r="K16" s="214"/>
      <c r="L16" s="214"/>
      <c r="M16" s="214"/>
      <c r="N16" s="214"/>
    </row>
    <row r="17" spans="2:29" ht="16.399999999999999" customHeight="1" x14ac:dyDescent="0.35">
      <c r="B17" s="1032" t="s">
        <v>461</v>
      </c>
      <c r="C17" s="1034">
        <v>1660.9</v>
      </c>
      <c r="D17" s="1034">
        <v>95.9</v>
      </c>
      <c r="E17" s="1034">
        <v>4044.2</v>
      </c>
      <c r="F17" s="1035">
        <v>688</v>
      </c>
      <c r="G17" s="147"/>
      <c r="H17" s="147"/>
      <c r="I17" s="147"/>
      <c r="J17" s="147"/>
      <c r="K17" s="147"/>
      <c r="L17" s="147"/>
      <c r="M17" s="249"/>
      <c r="N17" s="249"/>
    </row>
    <row r="18" spans="2:29" x14ac:dyDescent="0.35">
      <c r="B18" s="998" t="s">
        <v>462</v>
      </c>
      <c r="C18" s="249"/>
      <c r="D18" s="249"/>
      <c r="E18" s="249"/>
      <c r="F18" s="249"/>
      <c r="G18" s="249"/>
      <c r="H18" s="249"/>
      <c r="I18" s="249"/>
      <c r="J18" s="249"/>
      <c r="K18" s="249"/>
      <c r="L18" s="249"/>
      <c r="M18" s="249"/>
      <c r="N18" s="249"/>
    </row>
    <row r="19" spans="2:29" x14ac:dyDescent="0.35">
      <c r="B19" s="249"/>
      <c r="C19" s="249"/>
      <c r="D19" s="249"/>
      <c r="E19" s="249"/>
      <c r="F19" s="249"/>
      <c r="G19" s="249"/>
      <c r="H19" s="249"/>
      <c r="I19" s="249"/>
      <c r="J19" s="249"/>
      <c r="K19" s="249"/>
      <c r="L19" s="249"/>
      <c r="M19" s="249"/>
      <c r="N19" s="249"/>
    </row>
    <row r="20" spans="2:29" x14ac:dyDescent="0.35">
      <c r="B20" s="998"/>
      <c r="C20" s="249"/>
      <c r="D20" s="249"/>
      <c r="E20" s="249"/>
      <c r="F20" s="249"/>
      <c r="G20" s="249"/>
      <c r="H20" s="249"/>
      <c r="I20" s="249"/>
      <c r="J20" s="249"/>
      <c r="K20" s="249"/>
      <c r="L20" s="249"/>
      <c r="M20" s="249"/>
      <c r="N20" s="249"/>
    </row>
    <row r="21" spans="2:29" x14ac:dyDescent="0.35">
      <c r="B21" s="249"/>
      <c r="C21" s="249"/>
      <c r="D21" s="249"/>
      <c r="E21" s="249"/>
      <c r="F21" s="249"/>
      <c r="G21" s="249"/>
      <c r="H21" s="249"/>
      <c r="I21" s="249"/>
      <c r="J21" s="249"/>
      <c r="K21" s="249"/>
      <c r="L21" s="249"/>
      <c r="M21" s="249"/>
      <c r="N21" s="249"/>
      <c r="O21" s="249"/>
      <c r="P21" s="249"/>
      <c r="Q21" s="249"/>
      <c r="R21" s="249"/>
      <c r="S21" s="249"/>
      <c r="T21" s="249"/>
      <c r="U21" s="249"/>
      <c r="V21" s="249"/>
      <c r="W21" s="249"/>
      <c r="X21" s="249"/>
      <c r="Y21" s="249"/>
      <c r="Z21" s="56"/>
      <c r="AA21" s="56"/>
      <c r="AB21" s="56"/>
      <c r="AC21" s="56"/>
    </row>
    <row r="22" spans="2:29" x14ac:dyDescent="0.35">
      <c r="B22" s="69"/>
      <c r="C22" s="69"/>
      <c r="D22" s="69"/>
      <c r="E22" s="69"/>
      <c r="F22" s="69"/>
      <c r="G22" s="69"/>
      <c r="H22" s="69"/>
      <c r="I22" s="69"/>
      <c r="J22" s="69"/>
      <c r="K22" s="69"/>
      <c r="L22" s="70"/>
      <c r="M22" s="70"/>
      <c r="N22" s="70"/>
    </row>
    <row r="23" spans="2:29" x14ac:dyDescent="0.35">
      <c r="B23" s="249"/>
      <c r="C23" s="249"/>
      <c r="D23" s="249"/>
      <c r="E23" s="249"/>
      <c r="F23" s="249"/>
      <c r="G23" s="249"/>
      <c r="H23" s="249"/>
      <c r="I23" s="249"/>
      <c r="J23" s="249"/>
      <c r="K23" s="249"/>
      <c r="L23" s="249"/>
      <c r="M23" s="249"/>
      <c r="N23" s="249"/>
      <c r="O23" s="249"/>
      <c r="P23" s="249"/>
      <c r="Q23" s="249"/>
      <c r="R23" s="249"/>
      <c r="S23" s="249"/>
      <c r="T23" s="249"/>
      <c r="U23" s="249"/>
      <c r="V23" s="249"/>
      <c r="W23" s="249"/>
      <c r="X23" s="249"/>
      <c r="Y23" s="249"/>
    </row>
    <row r="24" spans="2:29" x14ac:dyDescent="0.35">
      <c r="B24" s="249"/>
      <c r="C24" s="249"/>
      <c r="D24" s="249"/>
      <c r="E24" s="249"/>
      <c r="F24" s="249"/>
      <c r="G24" s="249"/>
      <c r="H24" s="249"/>
      <c r="I24" s="249"/>
      <c r="J24" s="249"/>
      <c r="K24" s="249"/>
      <c r="L24" s="249"/>
      <c r="M24" s="249"/>
      <c r="N24" s="249"/>
      <c r="O24" s="249"/>
      <c r="P24" s="249"/>
      <c r="Q24" s="249"/>
      <c r="R24" s="249"/>
      <c r="S24" s="249"/>
      <c r="T24" s="249"/>
      <c r="U24" s="249"/>
      <c r="V24" s="249"/>
      <c r="W24" s="249"/>
      <c r="X24" s="249"/>
      <c r="Y24" s="249"/>
    </row>
    <row r="25" spans="2:29" x14ac:dyDescent="0.35">
      <c r="B25" s="249"/>
      <c r="C25" s="249"/>
      <c r="D25" s="249"/>
      <c r="E25" s="249"/>
      <c r="F25" s="249"/>
      <c r="G25" s="249"/>
      <c r="H25" s="249"/>
      <c r="I25" s="249"/>
      <c r="J25" s="249"/>
      <c r="K25" s="249"/>
      <c r="L25" s="249"/>
      <c r="M25" s="249"/>
      <c r="N25" s="249"/>
      <c r="O25" s="249"/>
      <c r="P25" s="249"/>
      <c r="Q25" s="249"/>
      <c r="R25" s="249"/>
      <c r="S25" s="249"/>
      <c r="T25" s="249"/>
      <c r="U25" s="249"/>
      <c r="V25" s="249"/>
      <c r="W25" s="249"/>
      <c r="X25" s="249"/>
      <c r="Y25" s="249"/>
    </row>
    <row r="26" spans="2:29" x14ac:dyDescent="0.35">
      <c r="B26" s="249"/>
      <c r="C26" s="249"/>
      <c r="D26" s="249"/>
      <c r="E26" s="249"/>
      <c r="F26" s="249"/>
      <c r="G26" s="249"/>
      <c r="H26" s="249"/>
      <c r="I26" s="249"/>
      <c r="J26" s="249"/>
      <c r="K26" s="249"/>
      <c r="L26" s="249"/>
      <c r="M26" s="249"/>
      <c r="N26" s="249"/>
      <c r="O26" s="249"/>
      <c r="P26" s="249"/>
      <c r="Q26" s="249"/>
      <c r="R26" s="249"/>
      <c r="S26" s="249"/>
      <c r="T26" s="249"/>
      <c r="U26" s="249"/>
      <c r="V26" s="249"/>
      <c r="W26" s="249"/>
      <c r="X26" s="249"/>
      <c r="Y26" s="249"/>
    </row>
    <row r="27" spans="2:29" x14ac:dyDescent="0.35">
      <c r="B27" s="249"/>
      <c r="C27" s="249"/>
      <c r="D27" s="249"/>
      <c r="E27" s="249"/>
      <c r="F27" s="249"/>
      <c r="G27" s="249"/>
      <c r="H27" s="249"/>
      <c r="I27" s="249"/>
      <c r="J27" s="249"/>
      <c r="K27" s="249"/>
      <c r="L27" s="249"/>
      <c r="M27" s="249"/>
      <c r="N27" s="249"/>
      <c r="O27" s="249"/>
      <c r="P27" s="249"/>
      <c r="Q27" s="249"/>
      <c r="R27" s="249"/>
      <c r="S27" s="249"/>
      <c r="T27" s="249"/>
      <c r="U27" s="249"/>
      <c r="V27" s="249"/>
      <c r="W27" s="249"/>
      <c r="X27" s="249"/>
      <c r="Y27" s="249"/>
    </row>
    <row r="28" spans="2:29" x14ac:dyDescent="0.35">
      <c r="B28" s="249"/>
      <c r="C28" s="249"/>
      <c r="D28" s="249"/>
      <c r="E28" s="249"/>
      <c r="F28" s="249"/>
      <c r="G28" s="249"/>
      <c r="H28" s="249"/>
      <c r="I28" s="249"/>
      <c r="J28" s="249"/>
      <c r="K28" s="249"/>
      <c r="L28" s="249"/>
      <c r="M28" s="249"/>
      <c r="N28" s="249"/>
      <c r="O28" s="249"/>
      <c r="P28" s="249"/>
      <c r="Q28" s="249"/>
      <c r="R28" s="249"/>
      <c r="S28" s="249"/>
      <c r="T28" s="249"/>
      <c r="U28" s="249"/>
      <c r="V28" s="249"/>
      <c r="W28" s="249"/>
      <c r="X28" s="249"/>
      <c r="Y28" s="249"/>
    </row>
    <row r="29" spans="2:29" x14ac:dyDescent="0.35">
      <c r="B29" s="249"/>
      <c r="C29" s="249"/>
      <c r="D29" s="249"/>
      <c r="E29" s="249"/>
      <c r="F29" s="249"/>
      <c r="G29" s="249"/>
      <c r="H29" s="249"/>
      <c r="I29" s="249"/>
      <c r="J29" s="249"/>
      <c r="K29" s="249"/>
      <c r="L29" s="249"/>
      <c r="M29" s="249"/>
      <c r="N29" s="249"/>
      <c r="O29" s="249"/>
      <c r="P29" s="249"/>
      <c r="Q29" s="249"/>
      <c r="R29" s="249"/>
      <c r="S29" s="249"/>
      <c r="T29" s="249"/>
      <c r="U29" s="249"/>
      <c r="V29" s="249"/>
      <c r="W29" s="249"/>
      <c r="X29" s="249"/>
      <c r="Y29" s="249"/>
    </row>
    <row r="30" spans="2:29" x14ac:dyDescent="0.35">
      <c r="B30" s="249"/>
      <c r="C30" s="249"/>
      <c r="D30" s="249"/>
      <c r="E30" s="249"/>
      <c r="F30" s="249"/>
      <c r="G30" s="249"/>
      <c r="H30" s="249"/>
      <c r="I30" s="249"/>
      <c r="J30" s="249"/>
      <c r="K30" s="249"/>
      <c r="L30" s="249"/>
      <c r="M30" s="249"/>
      <c r="N30" s="249"/>
      <c r="O30" s="249"/>
      <c r="P30" s="249"/>
      <c r="Q30" s="249"/>
      <c r="R30" s="249"/>
      <c r="S30" s="249"/>
      <c r="T30" s="249"/>
      <c r="U30" s="249"/>
      <c r="V30" s="249"/>
      <c r="W30" s="249"/>
      <c r="X30" s="249"/>
      <c r="Y30" s="249"/>
    </row>
    <row r="31" spans="2:29" x14ac:dyDescent="0.35">
      <c r="B31" s="249"/>
      <c r="C31" s="249"/>
      <c r="D31" s="249"/>
      <c r="E31" s="249"/>
      <c r="F31" s="249"/>
      <c r="G31" s="249"/>
      <c r="H31" s="249"/>
      <c r="I31" s="249"/>
      <c r="J31" s="249"/>
      <c r="K31" s="249"/>
      <c r="L31" s="249"/>
      <c r="M31" s="249"/>
      <c r="N31" s="249"/>
      <c r="O31" s="249"/>
      <c r="P31" s="249"/>
      <c r="Q31" s="249"/>
      <c r="R31" s="249"/>
      <c r="S31" s="249"/>
      <c r="T31" s="249"/>
      <c r="U31" s="249"/>
      <c r="V31" s="249"/>
      <c r="W31" s="249"/>
      <c r="X31" s="249"/>
      <c r="Y31" s="249"/>
    </row>
    <row r="32" spans="2:29" x14ac:dyDescent="0.35">
      <c r="B32" s="249"/>
      <c r="C32" s="249"/>
      <c r="D32" s="249"/>
      <c r="E32" s="249"/>
      <c r="F32" s="249"/>
      <c r="G32" s="249"/>
      <c r="H32" s="249"/>
      <c r="I32" s="249"/>
      <c r="J32" s="249"/>
      <c r="K32" s="249"/>
      <c r="L32" s="249"/>
      <c r="M32" s="249"/>
      <c r="N32" s="249"/>
      <c r="O32" s="249"/>
      <c r="P32" s="249"/>
      <c r="Q32" s="249"/>
      <c r="R32" s="249"/>
      <c r="S32" s="249"/>
      <c r="T32" s="249"/>
      <c r="U32" s="249"/>
      <c r="V32" s="249"/>
      <c r="W32" s="249"/>
      <c r="X32" s="249"/>
      <c r="Y32" s="249"/>
    </row>
    <row r="33" spans="2:25" x14ac:dyDescent="0.35">
      <c r="B33" s="249"/>
      <c r="C33" s="249"/>
      <c r="D33" s="249"/>
      <c r="E33" s="249"/>
      <c r="F33" s="249"/>
      <c r="G33" s="249"/>
      <c r="H33" s="249"/>
      <c r="I33" s="249"/>
      <c r="J33" s="249"/>
      <c r="K33" s="249"/>
      <c r="L33" s="249"/>
      <c r="M33" s="249"/>
      <c r="N33" s="249"/>
      <c r="O33" s="249"/>
      <c r="P33" s="249"/>
      <c r="Q33" s="249"/>
      <c r="R33" s="249"/>
      <c r="S33" s="249"/>
      <c r="T33" s="249"/>
      <c r="U33" s="249"/>
      <c r="V33" s="249"/>
      <c r="W33" s="249"/>
      <c r="X33" s="249"/>
      <c r="Y33" s="249"/>
    </row>
    <row r="34" spans="2:25" x14ac:dyDescent="0.35">
      <c r="B34" s="249"/>
      <c r="C34" s="249"/>
      <c r="D34" s="249"/>
      <c r="E34" s="249"/>
      <c r="F34" s="249"/>
      <c r="G34" s="249"/>
      <c r="H34" s="249"/>
      <c r="I34" s="249"/>
      <c r="J34" s="249"/>
      <c r="K34" s="249"/>
      <c r="L34" s="249"/>
      <c r="M34" s="249"/>
      <c r="N34" s="249"/>
      <c r="O34" s="249"/>
      <c r="P34" s="249"/>
      <c r="Q34" s="249"/>
      <c r="R34" s="249"/>
      <c r="S34" s="249"/>
      <c r="T34" s="249"/>
      <c r="U34" s="249"/>
      <c r="V34" s="249"/>
      <c r="W34" s="249"/>
      <c r="X34" s="249"/>
      <c r="Y34" s="249"/>
    </row>
    <row r="35" spans="2:25" x14ac:dyDescent="0.35">
      <c r="B35" s="249"/>
      <c r="C35" s="249"/>
      <c r="D35" s="249"/>
      <c r="E35" s="249"/>
      <c r="F35" s="249"/>
      <c r="G35" s="249"/>
      <c r="H35" s="249"/>
      <c r="I35" s="249"/>
      <c r="J35" s="249"/>
      <c r="K35" s="249"/>
      <c r="L35" s="249"/>
      <c r="M35" s="249"/>
      <c r="N35" s="249"/>
      <c r="O35" s="249"/>
      <c r="P35" s="249"/>
      <c r="Q35" s="249"/>
      <c r="R35" s="249"/>
      <c r="S35" s="249"/>
      <c r="T35" s="249"/>
      <c r="U35" s="249"/>
      <c r="V35" s="249"/>
      <c r="W35" s="249"/>
      <c r="X35" s="249"/>
      <c r="Y35" s="249"/>
    </row>
    <row r="36" spans="2:25" x14ac:dyDescent="0.35">
      <c r="B36" s="249"/>
      <c r="C36" s="249"/>
      <c r="D36" s="249"/>
      <c r="E36" s="249"/>
      <c r="F36" s="249"/>
      <c r="G36" s="249"/>
      <c r="H36" s="249"/>
      <c r="I36" s="249"/>
      <c r="J36" s="249"/>
      <c r="K36" s="249"/>
      <c r="L36" s="249"/>
      <c r="M36" s="249"/>
      <c r="N36" s="249"/>
      <c r="O36" s="249"/>
      <c r="P36" s="249"/>
      <c r="Q36" s="249"/>
      <c r="R36" s="249"/>
      <c r="S36" s="249"/>
      <c r="T36" s="249"/>
      <c r="U36" s="249"/>
      <c r="V36" s="249"/>
      <c r="W36" s="249"/>
      <c r="X36" s="249"/>
      <c r="Y36" s="249"/>
    </row>
    <row r="37" spans="2:25" x14ac:dyDescent="0.35">
      <c r="B37" s="249"/>
      <c r="C37" s="249"/>
      <c r="D37" s="249"/>
      <c r="E37" s="249"/>
      <c r="F37" s="249"/>
      <c r="G37" s="249"/>
      <c r="H37" s="249"/>
      <c r="I37" s="249"/>
      <c r="J37" s="249"/>
      <c r="K37" s="249"/>
      <c r="L37" s="249"/>
      <c r="M37" s="249"/>
      <c r="N37" s="249"/>
      <c r="O37" s="249"/>
      <c r="P37" s="249"/>
      <c r="Q37" s="249"/>
      <c r="R37" s="249"/>
      <c r="S37" s="249"/>
      <c r="T37" s="249"/>
      <c r="U37" s="249"/>
      <c r="V37" s="249"/>
      <c r="W37" s="249"/>
      <c r="X37" s="249"/>
      <c r="Y37" s="249"/>
    </row>
    <row r="38" spans="2:25" x14ac:dyDescent="0.35">
      <c r="B38" s="249"/>
      <c r="C38" s="249"/>
      <c r="D38" s="249"/>
      <c r="E38" s="249"/>
      <c r="F38" s="249"/>
      <c r="G38" s="249"/>
      <c r="H38" s="249"/>
      <c r="I38" s="249"/>
      <c r="J38" s="249"/>
      <c r="K38" s="249"/>
      <c r="L38" s="249"/>
      <c r="M38" s="249"/>
      <c r="N38" s="249"/>
      <c r="O38" s="249"/>
      <c r="P38" s="249"/>
      <c r="Q38" s="249"/>
      <c r="R38" s="249"/>
      <c r="S38" s="249"/>
      <c r="T38" s="249"/>
      <c r="U38" s="249"/>
      <c r="V38" s="249"/>
      <c r="W38" s="249"/>
      <c r="X38" s="249"/>
      <c r="Y38" s="249"/>
    </row>
    <row r="39" spans="2:25" x14ac:dyDescent="0.35">
      <c r="B39" s="249"/>
      <c r="C39" s="249"/>
      <c r="D39" s="249"/>
      <c r="E39" s="249"/>
      <c r="F39" s="249"/>
      <c r="G39" s="249"/>
      <c r="H39" s="249"/>
      <c r="I39" s="249"/>
      <c r="J39" s="249"/>
      <c r="K39" s="249"/>
      <c r="L39" s="249"/>
      <c r="M39" s="249"/>
      <c r="N39" s="249"/>
      <c r="O39" s="249"/>
      <c r="P39" s="249"/>
      <c r="Q39" s="249"/>
      <c r="R39" s="249"/>
      <c r="S39" s="249"/>
      <c r="T39" s="249"/>
      <c r="U39" s="249"/>
      <c r="V39" s="249"/>
      <c r="W39" s="249"/>
      <c r="X39" s="249"/>
      <c r="Y39" s="249"/>
    </row>
    <row r="40" spans="2:25" x14ac:dyDescent="0.35">
      <c r="B40" s="249"/>
      <c r="C40" s="249"/>
      <c r="D40" s="249"/>
      <c r="E40" s="249"/>
      <c r="F40" s="249"/>
      <c r="G40" s="249"/>
      <c r="H40" s="249"/>
      <c r="I40" s="249"/>
      <c r="J40" s="249"/>
      <c r="K40" s="249"/>
      <c r="L40" s="249"/>
      <c r="M40" s="249"/>
      <c r="N40" s="249"/>
      <c r="O40" s="249"/>
      <c r="P40" s="249"/>
      <c r="Q40" s="249"/>
      <c r="R40" s="249"/>
      <c r="S40" s="249"/>
      <c r="T40" s="249"/>
      <c r="U40" s="249"/>
      <c r="V40" s="249"/>
      <c r="W40" s="249"/>
      <c r="X40" s="249"/>
      <c r="Y40" s="249"/>
    </row>
    <row r="41" spans="2:25" x14ac:dyDescent="0.35">
      <c r="B41" s="249"/>
      <c r="C41" s="249"/>
      <c r="D41" s="249"/>
      <c r="E41" s="249"/>
      <c r="F41" s="249"/>
      <c r="G41" s="249"/>
      <c r="H41" s="249"/>
      <c r="I41" s="249"/>
      <c r="J41" s="249"/>
      <c r="K41" s="249"/>
      <c r="L41" s="249"/>
      <c r="M41" s="249"/>
      <c r="N41" s="249"/>
      <c r="O41" s="249"/>
      <c r="P41" s="249"/>
      <c r="Q41" s="249"/>
      <c r="R41" s="249"/>
      <c r="S41" s="249"/>
      <c r="T41" s="249"/>
      <c r="U41" s="249"/>
      <c r="V41" s="249"/>
      <c r="W41" s="249"/>
      <c r="X41" s="249"/>
      <c r="Y41" s="249"/>
    </row>
    <row r="42" spans="2:25" x14ac:dyDescent="0.35">
      <c r="B42" s="249"/>
      <c r="C42" s="249"/>
      <c r="D42" s="249"/>
      <c r="E42" s="249"/>
      <c r="F42" s="249"/>
      <c r="G42" s="249"/>
      <c r="H42" s="249"/>
      <c r="I42" s="249"/>
      <c r="J42" s="249"/>
      <c r="K42" s="249"/>
      <c r="L42" s="249"/>
      <c r="M42" s="249"/>
      <c r="N42" s="249"/>
      <c r="O42" s="249"/>
      <c r="P42" s="249"/>
      <c r="Q42" s="249"/>
      <c r="R42" s="249"/>
      <c r="S42" s="249"/>
      <c r="T42" s="249"/>
      <c r="U42" s="249"/>
      <c r="V42" s="249"/>
      <c r="W42" s="249"/>
      <c r="X42" s="249"/>
      <c r="Y42" s="249"/>
    </row>
    <row r="43" spans="2:25" x14ac:dyDescent="0.35">
      <c r="B43" s="249"/>
      <c r="C43" s="249"/>
      <c r="D43" s="249"/>
      <c r="E43" s="249"/>
      <c r="F43" s="249"/>
      <c r="G43" s="249"/>
      <c r="H43" s="249"/>
      <c r="I43" s="249"/>
      <c r="J43" s="249"/>
      <c r="K43" s="249"/>
      <c r="L43" s="249"/>
      <c r="M43" s="249"/>
      <c r="N43" s="249"/>
      <c r="O43" s="249"/>
      <c r="P43" s="249"/>
      <c r="Q43" s="249"/>
      <c r="R43" s="249"/>
      <c r="S43" s="249"/>
      <c r="T43" s="249"/>
      <c r="U43" s="249"/>
      <c r="V43" s="249"/>
      <c r="W43" s="249"/>
      <c r="X43" s="249"/>
      <c r="Y43" s="249"/>
    </row>
    <row r="44" spans="2:25" x14ac:dyDescent="0.35">
      <c r="B44" s="249"/>
      <c r="C44" s="249"/>
      <c r="D44" s="249"/>
      <c r="E44" s="249"/>
      <c r="F44" s="249"/>
      <c r="G44" s="249"/>
      <c r="H44" s="249"/>
      <c r="I44" s="249"/>
      <c r="J44" s="249"/>
      <c r="K44" s="249"/>
      <c r="L44" s="249"/>
      <c r="M44" s="249"/>
      <c r="N44" s="249"/>
      <c r="O44" s="249"/>
      <c r="P44" s="249"/>
      <c r="Q44" s="249"/>
      <c r="R44" s="249"/>
      <c r="S44" s="249"/>
      <c r="T44" s="249"/>
      <c r="U44" s="249"/>
      <c r="V44" s="249"/>
      <c r="W44" s="249"/>
      <c r="X44" s="249"/>
      <c r="Y44" s="249"/>
    </row>
    <row r="45" spans="2:25" x14ac:dyDescent="0.35">
      <c r="B45" s="249"/>
      <c r="C45" s="249"/>
      <c r="D45" s="249"/>
      <c r="E45" s="249"/>
      <c r="F45" s="249"/>
      <c r="G45" s="249"/>
      <c r="H45" s="249"/>
      <c r="I45" s="249"/>
      <c r="J45" s="249"/>
      <c r="K45" s="249"/>
      <c r="L45" s="249"/>
      <c r="M45" s="249"/>
      <c r="N45" s="249"/>
      <c r="O45" s="249"/>
      <c r="P45" s="249"/>
      <c r="Q45" s="249"/>
      <c r="R45" s="249"/>
      <c r="S45" s="249"/>
      <c r="T45" s="249"/>
      <c r="U45" s="249"/>
      <c r="V45" s="249"/>
      <c r="W45" s="249"/>
      <c r="X45" s="249"/>
      <c r="Y45" s="249"/>
    </row>
    <row r="46" spans="2:25" x14ac:dyDescent="0.35">
      <c r="B46" s="249"/>
      <c r="C46" s="249"/>
      <c r="D46" s="249"/>
      <c r="E46" s="249"/>
      <c r="F46" s="249"/>
      <c r="G46" s="249"/>
      <c r="H46" s="249"/>
      <c r="I46" s="249"/>
      <c r="J46" s="249"/>
      <c r="K46" s="249"/>
      <c r="L46" s="249"/>
      <c r="M46" s="249"/>
      <c r="N46" s="249"/>
      <c r="O46" s="249"/>
      <c r="P46" s="249"/>
      <c r="Q46" s="249"/>
      <c r="R46" s="249"/>
      <c r="S46" s="249"/>
      <c r="T46" s="249"/>
      <c r="U46" s="249"/>
      <c r="V46" s="249"/>
      <c r="W46" s="249"/>
      <c r="X46" s="249"/>
      <c r="Y46" s="249"/>
    </row>
    <row r="47" spans="2:25" x14ac:dyDescent="0.35">
      <c r="B47" s="249"/>
      <c r="C47" s="249"/>
      <c r="D47" s="249"/>
      <c r="E47" s="249"/>
      <c r="F47" s="249"/>
      <c r="G47" s="249"/>
      <c r="H47" s="249"/>
      <c r="I47" s="249"/>
      <c r="J47" s="249"/>
      <c r="K47" s="249"/>
      <c r="L47" s="249"/>
      <c r="M47" s="249"/>
      <c r="N47" s="249"/>
      <c r="O47" s="249"/>
      <c r="P47" s="249"/>
      <c r="Q47" s="249"/>
      <c r="R47" s="249"/>
      <c r="S47" s="249"/>
      <c r="T47" s="249"/>
      <c r="U47" s="249"/>
      <c r="V47" s="249"/>
      <c r="W47" s="249"/>
      <c r="X47" s="249"/>
      <c r="Y47" s="249"/>
    </row>
    <row r="48" spans="2:25" x14ac:dyDescent="0.35">
      <c r="B48" s="249"/>
      <c r="C48" s="249"/>
      <c r="D48" s="249"/>
      <c r="E48" s="249"/>
      <c r="F48" s="249"/>
      <c r="G48" s="249"/>
      <c r="H48" s="249"/>
      <c r="I48" s="249"/>
      <c r="J48" s="249"/>
      <c r="K48" s="249"/>
      <c r="L48" s="249"/>
      <c r="M48" s="249"/>
      <c r="N48" s="249"/>
      <c r="O48" s="249"/>
      <c r="P48" s="249"/>
      <c r="Q48" s="249"/>
      <c r="R48" s="249"/>
      <c r="S48" s="249"/>
      <c r="T48" s="249"/>
      <c r="U48" s="249"/>
      <c r="V48" s="249"/>
      <c r="W48" s="249"/>
      <c r="X48" s="249"/>
      <c r="Y48" s="249"/>
    </row>
    <row r="49" spans="2:25" x14ac:dyDescent="0.35">
      <c r="B49" s="249"/>
      <c r="C49" s="249"/>
      <c r="D49" s="249"/>
      <c r="E49" s="249"/>
      <c r="F49" s="249"/>
      <c r="G49" s="249"/>
      <c r="H49" s="249"/>
      <c r="I49" s="249"/>
      <c r="J49" s="249"/>
      <c r="K49" s="249"/>
      <c r="L49" s="249"/>
      <c r="M49" s="249"/>
      <c r="N49" s="249"/>
      <c r="O49" s="249"/>
      <c r="P49" s="249"/>
      <c r="Q49" s="249"/>
      <c r="R49" s="249"/>
      <c r="S49" s="249"/>
      <c r="T49" s="249"/>
      <c r="U49" s="249"/>
      <c r="V49" s="249"/>
      <c r="W49" s="249"/>
      <c r="X49" s="249"/>
      <c r="Y49" s="249"/>
    </row>
    <row r="50" spans="2:25" x14ac:dyDescent="0.35">
      <c r="B50" s="249"/>
      <c r="C50" s="249"/>
      <c r="D50" s="249"/>
      <c r="E50" s="249"/>
      <c r="F50" s="249"/>
      <c r="G50" s="249"/>
      <c r="H50" s="249"/>
      <c r="I50" s="249"/>
      <c r="J50" s="249"/>
      <c r="K50" s="249"/>
      <c r="L50" s="249"/>
      <c r="M50" s="249"/>
      <c r="N50" s="249"/>
      <c r="O50" s="249"/>
      <c r="P50" s="249"/>
      <c r="Q50" s="249"/>
      <c r="R50" s="249"/>
      <c r="S50" s="249"/>
      <c r="T50" s="249"/>
      <c r="U50" s="249"/>
      <c r="V50" s="249"/>
      <c r="W50" s="249"/>
      <c r="X50" s="249"/>
      <c r="Y50" s="249"/>
    </row>
    <row r="51" spans="2:25" x14ac:dyDescent="0.35">
      <c r="B51" s="249"/>
      <c r="C51" s="249"/>
      <c r="D51" s="249"/>
      <c r="E51" s="249"/>
      <c r="F51" s="249"/>
      <c r="G51" s="249"/>
      <c r="H51" s="249"/>
      <c r="I51" s="249"/>
      <c r="J51" s="249"/>
      <c r="K51" s="249"/>
      <c r="L51" s="249"/>
      <c r="M51" s="249"/>
      <c r="N51" s="249"/>
      <c r="O51" s="249"/>
      <c r="P51" s="249"/>
      <c r="Q51" s="249"/>
      <c r="R51" s="249"/>
      <c r="S51" s="249"/>
      <c r="T51" s="249"/>
      <c r="U51" s="249"/>
      <c r="V51" s="249"/>
      <c r="W51" s="249"/>
      <c r="X51" s="249"/>
      <c r="Y51" s="249"/>
    </row>
    <row r="52" spans="2:25" x14ac:dyDescent="0.35">
      <c r="B52" s="249"/>
      <c r="C52" s="249"/>
      <c r="D52" s="249"/>
      <c r="E52" s="249"/>
      <c r="F52" s="249"/>
      <c r="G52" s="249"/>
      <c r="H52" s="249"/>
      <c r="I52" s="249"/>
      <c r="J52" s="249"/>
      <c r="K52" s="249"/>
      <c r="L52" s="249"/>
      <c r="M52" s="249"/>
      <c r="N52" s="249"/>
      <c r="O52" s="249"/>
      <c r="P52" s="249"/>
      <c r="Q52" s="249"/>
      <c r="R52" s="249"/>
      <c r="S52" s="249"/>
      <c r="T52" s="249"/>
      <c r="U52" s="249"/>
      <c r="V52" s="249"/>
      <c r="W52" s="249"/>
      <c r="X52" s="249"/>
      <c r="Y52" s="249"/>
    </row>
  </sheetData>
  <mergeCells count="14">
    <mergeCell ref="B1:AC1"/>
    <mergeCell ref="B2:AC4"/>
    <mergeCell ref="B6:C8"/>
    <mergeCell ref="I7:L7"/>
    <mergeCell ref="U7:X7"/>
    <mergeCell ref="E7:H7"/>
    <mergeCell ref="D6:T6"/>
    <mergeCell ref="U6:AC6"/>
    <mergeCell ref="Q7:T7"/>
    <mergeCell ref="B15:B16"/>
    <mergeCell ref="K15:L15"/>
    <mergeCell ref="C15:F15"/>
    <mergeCell ref="Y7:AB7"/>
    <mergeCell ref="M7:P7"/>
  </mergeCells>
  <hyperlinks>
    <hyperlink ref="B18" r:id="rId1" xr:uid="{00000000-0004-0000-1C00-000000000000}"/>
  </hyperlinks>
  <pageMargins left="0.7" right="0.7" top="0.75" bottom="0.75" header="0.3" footer="0.3"/>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5" tint="0.59999389629810485"/>
  </sheetPr>
  <dimension ref="A3:Q54"/>
  <sheetViews>
    <sheetView zoomScale="90" zoomScaleNormal="90" workbookViewId="0">
      <selection activeCell="A51" sqref="A51:P53"/>
    </sheetView>
  </sheetViews>
  <sheetFormatPr defaultColWidth="10.90625" defaultRowHeight="14.5" x14ac:dyDescent="0.35"/>
  <cols>
    <col min="3" max="3" width="33.81640625" customWidth="1"/>
  </cols>
  <sheetData>
    <row r="3" spans="1:17" x14ac:dyDescent="0.35">
      <c r="A3" s="605" t="s">
        <v>519</v>
      </c>
      <c r="B3" s="249"/>
    </row>
    <row r="4" spans="1:17" x14ac:dyDescent="0.35">
      <c r="A4" s="1045" t="s">
        <v>520</v>
      </c>
      <c r="B4" s="1046"/>
      <c r="C4" s="1046"/>
    </row>
    <row r="7" spans="1:17" x14ac:dyDescent="0.35">
      <c r="A7" s="1462" t="s">
        <v>521</v>
      </c>
      <c r="B7" s="1463"/>
      <c r="C7" s="1463"/>
      <c r="D7" s="1463"/>
      <c r="E7" s="1463"/>
      <c r="F7" s="1463"/>
      <c r="G7" s="1463"/>
      <c r="H7" s="1463"/>
      <c r="I7" s="1463"/>
      <c r="J7" s="1463"/>
      <c r="K7" s="1463"/>
      <c r="L7" s="1463"/>
      <c r="M7" s="1463"/>
      <c r="N7" s="1463"/>
      <c r="O7" s="1463"/>
      <c r="P7" s="1463"/>
    </row>
    <row r="8" spans="1:17" x14ac:dyDescent="0.35">
      <c r="A8" s="370" t="s">
        <v>522</v>
      </c>
      <c r="B8" s="370"/>
      <c r="C8" s="370"/>
      <c r="D8" s="1050"/>
      <c r="E8" s="370"/>
      <c r="F8" s="370"/>
      <c r="G8" s="370"/>
      <c r="H8" s="370"/>
      <c r="I8" s="370"/>
      <c r="J8" s="370"/>
      <c r="K8" s="370"/>
      <c r="L8" s="370"/>
      <c r="M8" s="370"/>
      <c r="N8" s="370"/>
      <c r="O8" s="370"/>
      <c r="P8" s="370"/>
    </row>
    <row r="9" spans="1:17" x14ac:dyDescent="0.35">
      <c r="A9" s="249"/>
      <c r="B9" s="249"/>
      <c r="C9" s="249"/>
      <c r="D9" s="973"/>
      <c r="E9" s="249"/>
      <c r="F9" s="249"/>
      <c r="G9" s="249"/>
      <c r="H9" s="249"/>
      <c r="I9" s="249"/>
      <c r="J9" s="249"/>
      <c r="K9" s="249"/>
      <c r="L9" s="249"/>
      <c r="M9" s="249"/>
      <c r="N9" s="249"/>
      <c r="O9" s="249"/>
      <c r="P9" s="249"/>
    </row>
    <row r="10" spans="1:17" x14ac:dyDescent="0.35">
      <c r="A10" s="249"/>
      <c r="B10" s="249"/>
      <c r="C10" s="249"/>
      <c r="D10" s="973"/>
      <c r="E10" s="249"/>
      <c r="F10" s="249"/>
      <c r="G10" s="249"/>
      <c r="H10" s="249"/>
      <c r="I10" s="249"/>
      <c r="J10" s="249"/>
      <c r="K10" s="249"/>
      <c r="L10" s="249"/>
      <c r="M10" s="249"/>
      <c r="N10" s="249"/>
      <c r="O10" s="1464" t="s">
        <v>311</v>
      </c>
      <c r="P10" s="1464"/>
    </row>
    <row r="11" spans="1:17" x14ac:dyDescent="0.35">
      <c r="A11" s="249"/>
      <c r="B11" s="249"/>
      <c r="C11" s="744"/>
      <c r="D11" s="270"/>
      <c r="E11" s="744"/>
      <c r="F11" s="744"/>
      <c r="G11" s="744"/>
      <c r="H11" s="744"/>
      <c r="I11" s="744"/>
      <c r="J11" s="744"/>
      <c r="K11" s="744"/>
      <c r="L11" s="744"/>
      <c r="M11" s="744"/>
      <c r="N11" s="744"/>
      <c r="O11" s="1049" t="s">
        <v>523</v>
      </c>
      <c r="P11" s="1049" t="s">
        <v>523</v>
      </c>
    </row>
    <row r="12" spans="1:17" x14ac:dyDescent="0.35">
      <c r="A12" s="370"/>
      <c r="B12" s="370"/>
      <c r="C12" s="370"/>
      <c r="D12" s="1050">
        <v>2020</v>
      </c>
      <c r="E12" s="1050">
        <v>2021</v>
      </c>
      <c r="F12" s="1050">
        <v>2022</v>
      </c>
      <c r="G12" s="1050">
        <v>2023</v>
      </c>
      <c r="H12" s="1050">
        <v>2024</v>
      </c>
      <c r="I12" s="1050">
        <v>2025</v>
      </c>
      <c r="J12" s="1050">
        <v>2026</v>
      </c>
      <c r="K12" s="1050">
        <v>2027</v>
      </c>
      <c r="L12" s="1050">
        <v>2028</v>
      </c>
      <c r="M12" s="1050">
        <v>2029</v>
      </c>
      <c r="N12" s="1050">
        <v>2030</v>
      </c>
      <c r="O12" s="764">
        <v>2025</v>
      </c>
      <c r="P12" s="764">
        <v>2030</v>
      </c>
    </row>
    <row r="13" spans="1:17" x14ac:dyDescent="0.35">
      <c r="A13" s="744" t="s">
        <v>524</v>
      </c>
      <c r="B13" s="744"/>
      <c r="C13" s="744"/>
      <c r="D13" s="1054">
        <v>540.56299999999999</v>
      </c>
      <c r="E13" s="1054">
        <v>0</v>
      </c>
      <c r="F13" s="1054">
        <v>0</v>
      </c>
      <c r="G13" s="1054">
        <v>0</v>
      </c>
      <c r="H13" s="1054">
        <v>0</v>
      </c>
      <c r="I13" s="1054">
        <v>0</v>
      </c>
      <c r="J13" s="1054">
        <v>0</v>
      </c>
      <c r="K13" s="1054">
        <v>0</v>
      </c>
      <c r="L13" s="1054">
        <v>0</v>
      </c>
      <c r="M13" s="1054">
        <v>0</v>
      </c>
      <c r="N13" s="1054">
        <v>0</v>
      </c>
      <c r="O13" s="1054">
        <v>0</v>
      </c>
      <c r="P13" s="1054">
        <v>0</v>
      </c>
      <c r="Q13" t="s">
        <v>50</v>
      </c>
    </row>
    <row r="14" spans="1:17" x14ac:dyDescent="0.35">
      <c r="A14" s="249" t="s">
        <v>525</v>
      </c>
      <c r="B14" s="249"/>
      <c r="C14" s="249"/>
      <c r="D14" s="270"/>
      <c r="E14" s="744"/>
      <c r="F14" s="744"/>
      <c r="G14" s="744"/>
      <c r="H14" s="744"/>
      <c r="I14" s="744"/>
      <c r="J14" s="744"/>
      <c r="K14" s="744"/>
      <c r="L14" s="744"/>
      <c r="M14" s="744"/>
      <c r="N14" s="744"/>
      <c r="O14" s="744"/>
      <c r="P14" s="744"/>
      <c r="Q14" t="s">
        <v>526</v>
      </c>
    </row>
    <row r="15" spans="1:17" x14ac:dyDescent="0.35">
      <c r="A15" s="249"/>
      <c r="B15" s="249" t="s">
        <v>527</v>
      </c>
      <c r="C15" s="249"/>
      <c r="D15" s="270">
        <v>285.56</v>
      </c>
      <c r="E15" s="270">
        <v>5</v>
      </c>
      <c r="F15" s="270">
        <v>0</v>
      </c>
      <c r="G15" s="270">
        <v>0</v>
      </c>
      <c r="H15" s="270">
        <v>0</v>
      </c>
      <c r="I15" s="270">
        <v>0</v>
      </c>
      <c r="J15" s="270">
        <v>0</v>
      </c>
      <c r="K15" s="270">
        <v>0</v>
      </c>
      <c r="L15" s="270">
        <v>0</v>
      </c>
      <c r="M15" s="270">
        <v>0</v>
      </c>
      <c r="N15" s="270">
        <v>0</v>
      </c>
      <c r="O15" s="270">
        <v>5</v>
      </c>
      <c r="P15" s="270">
        <v>5</v>
      </c>
    </row>
    <row r="16" spans="1:17" x14ac:dyDescent="0.35">
      <c r="A16" s="744"/>
      <c r="B16" s="249" t="s">
        <v>528</v>
      </c>
      <c r="C16" s="744"/>
      <c r="D16" s="270">
        <v>67.209999999999994</v>
      </c>
      <c r="E16" s="270">
        <v>13.68</v>
      </c>
      <c r="F16" s="270">
        <v>0</v>
      </c>
      <c r="G16" s="270">
        <v>0</v>
      </c>
      <c r="H16" s="270">
        <v>0</v>
      </c>
      <c r="I16" s="270">
        <v>0</v>
      </c>
      <c r="J16" s="270">
        <v>0</v>
      </c>
      <c r="K16" s="270">
        <v>0</v>
      </c>
      <c r="L16" s="270">
        <v>0</v>
      </c>
      <c r="M16" s="270">
        <v>0</v>
      </c>
      <c r="N16" s="270">
        <v>0</v>
      </c>
      <c r="O16" s="270">
        <v>13.68</v>
      </c>
      <c r="P16" s="270">
        <v>13.68</v>
      </c>
    </row>
    <row r="17" spans="1:17" x14ac:dyDescent="0.35">
      <c r="A17" s="744"/>
      <c r="B17" s="249" t="s">
        <v>529</v>
      </c>
      <c r="C17" s="744"/>
      <c r="D17" s="270">
        <v>11.12</v>
      </c>
      <c r="E17" s="270">
        <v>47.8</v>
      </c>
      <c r="F17" s="270">
        <v>0</v>
      </c>
      <c r="G17" s="270">
        <v>0</v>
      </c>
      <c r="H17" s="270">
        <v>0</v>
      </c>
      <c r="I17" s="270">
        <v>0</v>
      </c>
      <c r="J17" s="270">
        <v>0</v>
      </c>
      <c r="K17" s="270">
        <v>0</v>
      </c>
      <c r="L17" s="270">
        <v>0</v>
      </c>
      <c r="M17" s="270">
        <v>0</v>
      </c>
      <c r="N17" s="270">
        <v>0</v>
      </c>
      <c r="O17" s="270">
        <v>47.8</v>
      </c>
      <c r="P17" s="270">
        <v>47.8</v>
      </c>
    </row>
    <row r="18" spans="1:17" x14ac:dyDescent="0.35">
      <c r="A18" s="744"/>
      <c r="B18" s="249" t="s">
        <v>530</v>
      </c>
      <c r="C18" s="744"/>
      <c r="D18" s="270">
        <v>6.2149999999999999</v>
      </c>
      <c r="E18" s="270">
        <v>5.0049999999999999</v>
      </c>
      <c r="F18" s="270">
        <v>0</v>
      </c>
      <c r="G18" s="270">
        <v>0</v>
      </c>
      <c r="H18" s="270">
        <v>0</v>
      </c>
      <c r="I18" s="270">
        <v>0</v>
      </c>
      <c r="J18" s="270">
        <v>0</v>
      </c>
      <c r="K18" s="270">
        <v>0</v>
      </c>
      <c r="L18" s="270">
        <v>0</v>
      </c>
      <c r="M18" s="270">
        <v>0</v>
      </c>
      <c r="N18" s="270">
        <v>0</v>
      </c>
      <c r="O18" s="270">
        <v>5.0049999999999999</v>
      </c>
      <c r="P18" s="270">
        <v>5.0049999999999999</v>
      </c>
    </row>
    <row r="19" spans="1:17" x14ac:dyDescent="0.35">
      <c r="A19" s="744"/>
      <c r="B19" s="249"/>
      <c r="C19" s="744"/>
      <c r="D19" s="270" t="s">
        <v>531</v>
      </c>
      <c r="E19" s="270" t="s">
        <v>531</v>
      </c>
      <c r="F19" s="270" t="s">
        <v>531</v>
      </c>
      <c r="G19" s="270" t="s">
        <v>531</v>
      </c>
      <c r="H19" s="270" t="s">
        <v>531</v>
      </c>
      <c r="I19" s="270" t="s">
        <v>531</v>
      </c>
      <c r="J19" s="270" t="s">
        <v>531</v>
      </c>
      <c r="K19" s="270" t="s">
        <v>531</v>
      </c>
      <c r="L19" s="270" t="s">
        <v>531</v>
      </c>
      <c r="M19" s="270" t="s">
        <v>531</v>
      </c>
      <c r="N19" s="270" t="s">
        <v>531</v>
      </c>
      <c r="O19" s="270" t="s">
        <v>531</v>
      </c>
      <c r="P19" s="270" t="s">
        <v>531</v>
      </c>
    </row>
    <row r="20" spans="1:17" x14ac:dyDescent="0.35">
      <c r="A20" s="744"/>
      <c r="B20" s="249"/>
      <c r="C20" s="744" t="s">
        <v>532</v>
      </c>
      <c r="D20" s="270">
        <v>370.10500000000002</v>
      </c>
      <c r="E20" s="270">
        <v>71.484999999999999</v>
      </c>
      <c r="F20" s="270">
        <v>0</v>
      </c>
      <c r="G20" s="270">
        <v>0</v>
      </c>
      <c r="H20" s="270">
        <v>0</v>
      </c>
      <c r="I20" s="270">
        <v>0</v>
      </c>
      <c r="J20" s="270">
        <v>0</v>
      </c>
      <c r="K20" s="270">
        <v>0</v>
      </c>
      <c r="L20" s="270">
        <v>0</v>
      </c>
      <c r="M20" s="270">
        <v>0</v>
      </c>
      <c r="N20" s="270">
        <v>0</v>
      </c>
      <c r="O20" s="270">
        <v>71.484999999999999</v>
      </c>
      <c r="P20" s="270">
        <v>71.484999999999999</v>
      </c>
    </row>
    <row r="21" spans="1:17" x14ac:dyDescent="0.35">
      <c r="A21" s="744"/>
      <c r="B21" s="249"/>
      <c r="C21" s="744"/>
      <c r="D21" s="270"/>
      <c r="E21" s="270"/>
      <c r="F21" s="270"/>
      <c r="G21" s="270"/>
      <c r="H21" s="270"/>
      <c r="I21" s="270"/>
      <c r="J21" s="270"/>
      <c r="K21" s="270"/>
      <c r="L21" s="270"/>
      <c r="M21" s="270"/>
      <c r="N21" s="270"/>
      <c r="O21" s="270"/>
      <c r="P21" s="270"/>
    </row>
    <row r="22" spans="1:17" ht="17.149999999999999" customHeight="1" x14ac:dyDescent="0.35">
      <c r="A22" s="744" t="s">
        <v>533</v>
      </c>
      <c r="B22" s="249"/>
      <c r="C22" s="744"/>
      <c r="D22" s="270">
        <v>271.98399999999998</v>
      </c>
      <c r="E22" s="270">
        <v>9.327</v>
      </c>
      <c r="F22" s="270">
        <v>0</v>
      </c>
      <c r="G22" s="270">
        <v>0</v>
      </c>
      <c r="H22" s="270">
        <v>0</v>
      </c>
      <c r="I22" s="270">
        <v>0</v>
      </c>
      <c r="J22" s="270">
        <v>0</v>
      </c>
      <c r="K22" s="270">
        <v>0</v>
      </c>
      <c r="L22" s="270">
        <v>0</v>
      </c>
      <c r="M22" s="270">
        <v>0</v>
      </c>
      <c r="N22" s="270">
        <v>0</v>
      </c>
      <c r="O22" s="270">
        <v>9.327</v>
      </c>
      <c r="P22" s="270">
        <v>9.327</v>
      </c>
      <c r="Q22" t="s">
        <v>534</v>
      </c>
    </row>
    <row r="23" spans="1:17" x14ac:dyDescent="0.35">
      <c r="A23" s="744" t="s">
        <v>149</v>
      </c>
      <c r="B23" s="249"/>
      <c r="C23" s="249"/>
      <c r="D23" s="270">
        <v>149.97300000000001</v>
      </c>
      <c r="E23" s="270">
        <v>2.5999999999999999E-2</v>
      </c>
      <c r="F23" s="270">
        <v>0</v>
      </c>
      <c r="G23" s="270">
        <v>0</v>
      </c>
      <c r="H23" s="270">
        <v>0</v>
      </c>
      <c r="I23" s="270">
        <v>0</v>
      </c>
      <c r="J23" s="270">
        <v>0</v>
      </c>
      <c r="K23" s="270">
        <v>0</v>
      </c>
      <c r="L23" s="270">
        <v>0</v>
      </c>
      <c r="M23" s="270">
        <v>0</v>
      </c>
      <c r="N23" s="270">
        <v>0</v>
      </c>
      <c r="O23" s="270">
        <v>2.5999999999999999E-2</v>
      </c>
      <c r="P23" s="270">
        <v>2.5999999999999999E-2</v>
      </c>
      <c r="Q23" t="s">
        <v>51</v>
      </c>
    </row>
    <row r="24" spans="1:17" x14ac:dyDescent="0.35">
      <c r="A24" s="744" t="s">
        <v>535</v>
      </c>
      <c r="B24" s="249"/>
      <c r="C24" s="249"/>
      <c r="D24" s="270">
        <v>135.41999999999999</v>
      </c>
      <c r="E24" s="270">
        <v>72.537999999999997</v>
      </c>
      <c r="F24" s="270">
        <v>10.331</v>
      </c>
      <c r="G24" s="270">
        <v>4.2670000000000003</v>
      </c>
      <c r="H24" s="270">
        <v>1.347</v>
      </c>
      <c r="I24" s="270">
        <v>0.67400000000000004</v>
      </c>
      <c r="J24" s="270">
        <v>0</v>
      </c>
      <c r="K24" s="270">
        <v>0</v>
      </c>
      <c r="L24" s="270">
        <v>0</v>
      </c>
      <c r="M24" s="270">
        <v>0</v>
      </c>
      <c r="N24" s="270">
        <v>0</v>
      </c>
      <c r="O24" s="270">
        <v>89.156999999999996</v>
      </c>
      <c r="P24" s="270">
        <v>89.156999999999996</v>
      </c>
      <c r="Q24" t="s">
        <v>536</v>
      </c>
    </row>
    <row r="25" spans="1:17" x14ac:dyDescent="0.35">
      <c r="A25" s="744" t="s">
        <v>537</v>
      </c>
      <c r="B25" s="249"/>
      <c r="C25" s="249"/>
      <c r="D25" s="270"/>
      <c r="E25" s="270"/>
      <c r="F25" s="270"/>
      <c r="G25" s="270"/>
      <c r="H25" s="270"/>
      <c r="I25" s="270"/>
      <c r="J25" s="270"/>
      <c r="K25" s="270"/>
      <c r="L25" s="270"/>
      <c r="M25" s="270"/>
      <c r="N25" s="270"/>
      <c r="O25" s="270"/>
      <c r="P25" s="270"/>
    </row>
    <row r="26" spans="1:17" x14ac:dyDescent="0.35">
      <c r="A26" s="744" t="s">
        <v>538</v>
      </c>
      <c r="B26" s="249"/>
      <c r="C26" s="249"/>
      <c r="D26" s="270">
        <v>40.831000000000003</v>
      </c>
      <c r="E26" s="270">
        <v>79.391999999999996</v>
      </c>
      <c r="F26" s="270">
        <v>47.442999999999998</v>
      </c>
      <c r="G26" s="270">
        <v>4.7220000000000004</v>
      </c>
      <c r="H26" s="270">
        <v>0</v>
      </c>
      <c r="I26" s="270">
        <v>0</v>
      </c>
      <c r="J26" s="270">
        <v>0</v>
      </c>
      <c r="K26" s="270">
        <v>0</v>
      </c>
      <c r="L26" s="270">
        <v>0</v>
      </c>
      <c r="M26" s="270">
        <v>0</v>
      </c>
      <c r="N26" s="270">
        <v>0</v>
      </c>
      <c r="O26" s="270">
        <v>131.55699999999999</v>
      </c>
      <c r="P26" s="270">
        <v>131.55699999999999</v>
      </c>
      <c r="Q26" t="s">
        <v>133</v>
      </c>
    </row>
    <row r="27" spans="1:17" x14ac:dyDescent="0.35">
      <c r="A27" s="744" t="s">
        <v>539</v>
      </c>
      <c r="B27" s="249"/>
      <c r="C27" s="249"/>
      <c r="D27" s="270">
        <v>58.054000000000002</v>
      </c>
      <c r="E27" s="270">
        <v>14.755000000000001</v>
      </c>
      <c r="F27" s="270">
        <v>3.4750000000000001</v>
      </c>
      <c r="G27" s="270">
        <v>3.9249999999999998</v>
      </c>
      <c r="H27" s="270">
        <v>4.375</v>
      </c>
      <c r="I27" s="270">
        <v>4.375</v>
      </c>
      <c r="J27" s="270">
        <v>4.5</v>
      </c>
      <c r="K27" s="270">
        <v>4.5</v>
      </c>
      <c r="L27" s="270">
        <v>4.5</v>
      </c>
      <c r="M27" s="270">
        <v>4.5</v>
      </c>
      <c r="N27" s="270">
        <v>4.5</v>
      </c>
      <c r="O27" s="270">
        <v>30.905000000000001</v>
      </c>
      <c r="P27" s="270">
        <v>53.405000000000001</v>
      </c>
    </row>
    <row r="28" spans="1:17" x14ac:dyDescent="0.35">
      <c r="A28" s="744" t="s">
        <v>540</v>
      </c>
      <c r="B28" s="249"/>
      <c r="C28" s="249"/>
      <c r="D28" s="270">
        <v>47.372999999999998</v>
      </c>
      <c r="E28" s="270">
        <v>-46.081000000000003</v>
      </c>
      <c r="F28" s="270">
        <v>0</v>
      </c>
      <c r="G28" s="270">
        <v>0</v>
      </c>
      <c r="H28" s="270">
        <v>0</v>
      </c>
      <c r="I28" s="270">
        <v>0</v>
      </c>
      <c r="J28" s="270">
        <v>0</v>
      </c>
      <c r="K28" s="270">
        <v>0</v>
      </c>
      <c r="L28" s="270">
        <v>0</v>
      </c>
      <c r="M28" s="270">
        <v>0</v>
      </c>
      <c r="N28" s="270">
        <v>0</v>
      </c>
      <c r="O28" s="270">
        <v>-46.081000000000003</v>
      </c>
      <c r="P28" s="270">
        <v>-46.081000000000003</v>
      </c>
      <c r="Q28" t="s">
        <v>55</v>
      </c>
    </row>
    <row r="29" spans="1:17" x14ac:dyDescent="0.35">
      <c r="A29" s="744" t="s">
        <v>541</v>
      </c>
      <c r="B29" s="249"/>
      <c r="C29" s="249"/>
      <c r="D29" s="270">
        <v>24.475000000000001</v>
      </c>
      <c r="E29" s="270">
        <v>32.784999999999997</v>
      </c>
      <c r="F29" s="270">
        <v>8.4600000000000009</v>
      </c>
      <c r="G29" s="270">
        <v>0</v>
      </c>
      <c r="H29" s="270">
        <v>0</v>
      </c>
      <c r="I29" s="270">
        <v>0</v>
      </c>
      <c r="J29" s="270">
        <v>0</v>
      </c>
      <c r="K29" s="270">
        <v>0</v>
      </c>
      <c r="L29" s="270">
        <v>0</v>
      </c>
      <c r="M29" s="270">
        <v>0</v>
      </c>
      <c r="N29" s="270">
        <v>0</v>
      </c>
      <c r="O29" s="270">
        <v>41.244999999999997</v>
      </c>
      <c r="P29" s="270">
        <v>41.244999999999997</v>
      </c>
      <c r="Q29" t="s">
        <v>542</v>
      </c>
    </row>
    <row r="30" spans="1:17" x14ac:dyDescent="0.35">
      <c r="A30" s="744" t="s">
        <v>543</v>
      </c>
      <c r="B30" s="249"/>
      <c r="C30" s="249"/>
      <c r="D30" s="270">
        <v>27.5</v>
      </c>
      <c r="E30" s="270">
        <v>0.86</v>
      </c>
      <c r="F30" s="270">
        <v>-0.22</v>
      </c>
      <c r="G30" s="270">
        <v>-0.49</v>
      </c>
      <c r="H30" s="270">
        <v>-0.56000000000000005</v>
      </c>
      <c r="I30" s="270">
        <v>-0.98</v>
      </c>
      <c r="J30" s="270">
        <v>-0.76</v>
      </c>
      <c r="K30" s="270">
        <v>-0.74</v>
      </c>
      <c r="L30" s="270">
        <v>-0.72</v>
      </c>
      <c r="M30" s="270">
        <v>-0.7</v>
      </c>
      <c r="N30" s="270">
        <v>-0.69</v>
      </c>
      <c r="O30" s="270">
        <v>-1.39</v>
      </c>
      <c r="P30" s="270">
        <v>-5</v>
      </c>
      <c r="Q30" t="s">
        <v>52</v>
      </c>
    </row>
    <row r="31" spans="1:17" x14ac:dyDescent="0.35">
      <c r="A31" s="744" t="s">
        <v>150</v>
      </c>
      <c r="B31" s="249"/>
      <c r="C31" s="249"/>
      <c r="D31" s="270">
        <v>11.407999999999999</v>
      </c>
      <c r="E31" s="270">
        <v>10.763</v>
      </c>
      <c r="F31" s="270">
        <v>5.7809999999999997</v>
      </c>
      <c r="G31" s="270">
        <v>0.92300000000000004</v>
      </c>
      <c r="H31" s="270">
        <v>0.52300000000000002</v>
      </c>
      <c r="I31" s="270">
        <v>0.43099999999999999</v>
      </c>
      <c r="J31" s="270">
        <v>0.246</v>
      </c>
      <c r="K31" s="270">
        <v>0</v>
      </c>
      <c r="L31" s="270">
        <v>0</v>
      </c>
      <c r="M31" s="270">
        <v>0</v>
      </c>
      <c r="N31" s="270">
        <v>0</v>
      </c>
      <c r="O31" s="270">
        <v>18.420999999999999</v>
      </c>
      <c r="P31" s="270">
        <v>18.667000000000002</v>
      </c>
      <c r="Q31" t="s">
        <v>544</v>
      </c>
    </row>
    <row r="32" spans="1:17" x14ac:dyDescent="0.35">
      <c r="A32" s="744" t="s">
        <v>545</v>
      </c>
      <c r="B32" s="249"/>
      <c r="C32" s="249"/>
      <c r="D32" s="270">
        <v>99.444000000000003</v>
      </c>
      <c r="E32" s="270">
        <v>61.634</v>
      </c>
      <c r="F32" s="270">
        <v>23.815000000000001</v>
      </c>
      <c r="G32" s="270">
        <v>7.35</v>
      </c>
      <c r="H32" s="270">
        <v>4.4029999999999996</v>
      </c>
      <c r="I32" s="270">
        <v>1.663</v>
      </c>
      <c r="J32" s="270">
        <v>0.74399999999999999</v>
      </c>
      <c r="K32" s="270">
        <v>0.65500000000000003</v>
      </c>
      <c r="L32" s="270">
        <v>0.68799999999999994</v>
      </c>
      <c r="M32" s="270">
        <v>10.603</v>
      </c>
      <c r="N32" s="270">
        <v>-35.328000000000003</v>
      </c>
      <c r="O32" s="270">
        <v>98.864999999999995</v>
      </c>
      <c r="P32" s="270">
        <v>76.227000000000004</v>
      </c>
      <c r="Q32" t="s">
        <v>546</v>
      </c>
    </row>
    <row r="33" spans="1:16" x14ac:dyDescent="0.35">
      <c r="A33" s="744"/>
      <c r="B33" s="249"/>
      <c r="C33" s="249"/>
      <c r="D33" s="270"/>
      <c r="E33" s="270"/>
      <c r="F33" s="270"/>
      <c r="G33" s="270"/>
      <c r="H33" s="270"/>
      <c r="I33" s="270"/>
      <c r="J33" s="270"/>
      <c r="K33" s="270"/>
      <c r="L33" s="270"/>
      <c r="M33" s="270"/>
      <c r="N33" s="270"/>
      <c r="O33" s="270"/>
      <c r="P33" s="270"/>
    </row>
    <row r="34" spans="1:16" x14ac:dyDescent="0.35">
      <c r="A34" s="1048"/>
      <c r="B34" s="1048"/>
      <c r="C34" s="1048" t="s">
        <v>311</v>
      </c>
      <c r="D34" s="1055">
        <v>1777.13</v>
      </c>
      <c r="E34" s="1055">
        <v>307.48399999999998</v>
      </c>
      <c r="F34" s="1055">
        <v>99.084999999999994</v>
      </c>
      <c r="G34" s="1055">
        <v>20.696999999999999</v>
      </c>
      <c r="H34" s="1055">
        <v>10.087999999999999</v>
      </c>
      <c r="I34" s="1055">
        <v>6.1630000000000003</v>
      </c>
      <c r="J34" s="1055">
        <v>4.7300000000000004</v>
      </c>
      <c r="K34" s="1055">
        <v>4.415</v>
      </c>
      <c r="L34" s="1055">
        <v>4.468</v>
      </c>
      <c r="M34" s="1055">
        <v>14.403</v>
      </c>
      <c r="N34" s="1055">
        <v>-31.518000000000001</v>
      </c>
      <c r="O34" s="1055">
        <v>443.517</v>
      </c>
      <c r="P34" s="1055">
        <v>440.01499999999999</v>
      </c>
    </row>
    <row r="35" spans="1:16" x14ac:dyDescent="0.35">
      <c r="A35" s="249"/>
      <c r="B35" s="249"/>
      <c r="C35" s="249"/>
      <c r="D35" s="1047"/>
      <c r="E35" s="502"/>
      <c r="F35" s="744"/>
      <c r="G35" s="744"/>
      <c r="H35" s="744"/>
      <c r="I35" s="744"/>
      <c r="J35" s="744"/>
      <c r="K35" s="744"/>
      <c r="L35" s="744"/>
      <c r="M35" s="744"/>
      <c r="N35" s="744"/>
      <c r="O35" s="744"/>
      <c r="P35" s="744"/>
    </row>
    <row r="36" spans="1:16" x14ac:dyDescent="0.35">
      <c r="A36" s="1051" t="s">
        <v>547</v>
      </c>
      <c r="B36" s="1051"/>
      <c r="C36" s="1051"/>
      <c r="D36" s="1052"/>
      <c r="E36" s="1051"/>
      <c r="F36" s="1051"/>
      <c r="G36" s="1051"/>
      <c r="H36" s="1051"/>
      <c r="I36" s="1051"/>
      <c r="J36" s="1051"/>
      <c r="K36" s="1051"/>
      <c r="L36" s="1051"/>
      <c r="M36" s="1051"/>
      <c r="N36" s="1051"/>
      <c r="O36" s="1051"/>
      <c r="P36" s="1051"/>
    </row>
    <row r="37" spans="1:16" x14ac:dyDescent="0.35">
      <c r="A37" s="1051"/>
      <c r="B37" s="1051"/>
      <c r="C37" s="1051"/>
      <c r="D37" s="1052"/>
      <c r="E37" s="1051"/>
      <c r="F37" s="1051"/>
      <c r="G37" s="1051"/>
      <c r="H37" s="1051"/>
      <c r="I37" s="1051"/>
      <c r="J37" s="1051"/>
      <c r="K37" s="1051"/>
      <c r="L37" s="1051"/>
      <c r="M37" s="1051"/>
      <c r="N37" s="1051"/>
      <c r="O37" s="1051"/>
      <c r="P37" s="1051"/>
    </row>
    <row r="38" spans="1:16" x14ac:dyDescent="0.35">
      <c r="A38" s="1467" t="s">
        <v>548</v>
      </c>
      <c r="B38" s="1467"/>
      <c r="C38" s="1467"/>
      <c r="D38" s="1467"/>
      <c r="E38" s="1467"/>
      <c r="F38" s="1467"/>
      <c r="G38" s="1467"/>
      <c r="H38" s="1467"/>
      <c r="I38" s="1467"/>
      <c r="J38" s="1467"/>
      <c r="K38" s="1467"/>
      <c r="L38" s="1467"/>
      <c r="M38" s="1467"/>
      <c r="N38" s="1467"/>
      <c r="O38" s="1467"/>
      <c r="P38" s="1467"/>
    </row>
    <row r="39" spans="1:16" x14ac:dyDescent="0.35">
      <c r="A39" s="1467"/>
      <c r="B39" s="1467"/>
      <c r="C39" s="1467"/>
      <c r="D39" s="1467"/>
      <c r="E39" s="1467"/>
      <c r="F39" s="1467"/>
      <c r="G39" s="1467"/>
      <c r="H39" s="1467"/>
      <c r="I39" s="1467"/>
      <c r="J39" s="1467"/>
      <c r="K39" s="1467"/>
      <c r="L39" s="1467"/>
      <c r="M39" s="1467"/>
      <c r="N39" s="1467"/>
      <c r="O39" s="1467"/>
      <c r="P39" s="1467"/>
    </row>
    <row r="40" spans="1:16" x14ac:dyDescent="0.35">
      <c r="A40" s="1467"/>
      <c r="B40" s="1467"/>
      <c r="C40" s="1467"/>
      <c r="D40" s="1467"/>
      <c r="E40" s="1467"/>
      <c r="F40" s="1467"/>
      <c r="G40" s="1467"/>
      <c r="H40" s="1467"/>
      <c r="I40" s="1467"/>
      <c r="J40" s="1467"/>
      <c r="K40" s="1467"/>
      <c r="L40" s="1467"/>
      <c r="M40" s="1467"/>
      <c r="N40" s="1467"/>
      <c r="O40" s="1467"/>
      <c r="P40" s="1467"/>
    </row>
    <row r="41" spans="1:16" x14ac:dyDescent="0.35">
      <c r="A41" s="1467"/>
      <c r="B41" s="1467"/>
      <c r="C41" s="1467"/>
      <c r="D41" s="1467"/>
      <c r="E41" s="1467"/>
      <c r="F41" s="1467"/>
      <c r="G41" s="1467"/>
      <c r="H41" s="1467"/>
      <c r="I41" s="1467"/>
      <c r="J41" s="1467"/>
      <c r="K41" s="1467"/>
      <c r="L41" s="1467"/>
      <c r="M41" s="1467"/>
      <c r="N41" s="1467"/>
      <c r="O41" s="1467"/>
      <c r="P41" s="1467"/>
    </row>
    <row r="42" spans="1:16" x14ac:dyDescent="0.35">
      <c r="A42" s="1467"/>
      <c r="B42" s="1467"/>
      <c r="C42" s="1467"/>
      <c r="D42" s="1467"/>
      <c r="E42" s="1467"/>
      <c r="F42" s="1467"/>
      <c r="G42" s="1467"/>
      <c r="H42" s="1467"/>
      <c r="I42" s="1467"/>
      <c r="J42" s="1467"/>
      <c r="K42" s="1467"/>
      <c r="L42" s="1467"/>
      <c r="M42" s="1467"/>
      <c r="N42" s="1467"/>
      <c r="O42" s="1467"/>
      <c r="P42" s="1467"/>
    </row>
    <row r="43" spans="1:16" x14ac:dyDescent="0.35">
      <c r="A43" s="255"/>
      <c r="B43" s="255"/>
      <c r="C43" s="255"/>
      <c r="D43" s="255"/>
      <c r="E43" s="255"/>
      <c r="F43" s="255"/>
      <c r="G43" s="255"/>
      <c r="H43" s="255"/>
      <c r="I43" s="255"/>
      <c r="J43" s="255"/>
      <c r="K43" s="255"/>
      <c r="L43" s="255"/>
      <c r="M43" s="255"/>
      <c r="N43" s="255"/>
      <c r="O43" s="255"/>
      <c r="P43" s="255"/>
    </row>
    <row r="44" spans="1:16" x14ac:dyDescent="0.35">
      <c r="A44" s="1360" t="s">
        <v>549</v>
      </c>
      <c r="B44" s="1360"/>
      <c r="C44" s="1360"/>
      <c r="D44" s="1360"/>
      <c r="E44" s="1360"/>
      <c r="F44" s="1360"/>
      <c r="G44" s="1360"/>
      <c r="H44" s="1360"/>
      <c r="I44" s="1360"/>
      <c r="J44" s="1360"/>
      <c r="K44" s="1360"/>
      <c r="L44" s="1360"/>
      <c r="M44" s="1360"/>
      <c r="N44" s="1360"/>
      <c r="O44" s="1360"/>
      <c r="P44" s="1360"/>
    </row>
    <row r="45" spans="1:16" x14ac:dyDescent="0.35">
      <c r="A45" s="1360"/>
      <c r="B45" s="1360"/>
      <c r="C45" s="1360"/>
      <c r="D45" s="1360"/>
      <c r="E45" s="1360"/>
      <c r="F45" s="1360"/>
      <c r="G45" s="1360"/>
      <c r="H45" s="1360"/>
      <c r="I45" s="1360"/>
      <c r="J45" s="1360"/>
      <c r="K45" s="1360"/>
      <c r="L45" s="1360"/>
      <c r="M45" s="1360"/>
      <c r="N45" s="1360"/>
      <c r="O45" s="1360"/>
      <c r="P45" s="1360"/>
    </row>
    <row r="46" spans="1:16" x14ac:dyDescent="0.35">
      <c r="A46" s="1360"/>
      <c r="B46" s="1360"/>
      <c r="C46" s="1360"/>
      <c r="D46" s="1360"/>
      <c r="E46" s="1360"/>
      <c r="F46" s="1360"/>
      <c r="G46" s="1360"/>
      <c r="H46" s="1360"/>
      <c r="I46" s="1360"/>
      <c r="J46" s="1360"/>
      <c r="K46" s="1360"/>
      <c r="L46" s="1360"/>
      <c r="M46" s="1360"/>
      <c r="N46" s="1360"/>
      <c r="O46" s="1360"/>
      <c r="P46" s="1360"/>
    </row>
    <row r="47" spans="1:16" x14ac:dyDescent="0.35">
      <c r="A47" s="1051"/>
      <c r="B47" s="1051"/>
      <c r="C47" s="1051"/>
      <c r="D47" s="1052"/>
      <c r="E47" s="1051"/>
      <c r="F47" s="1051"/>
      <c r="G47" s="1051"/>
      <c r="H47" s="1051"/>
      <c r="I47" s="1051"/>
      <c r="J47" s="1051"/>
      <c r="K47" s="1051"/>
      <c r="L47" s="1051"/>
      <c r="M47" s="1051"/>
      <c r="N47" s="1051"/>
      <c r="O47" s="1051"/>
      <c r="P47" s="1051"/>
    </row>
    <row r="48" spans="1:16" x14ac:dyDescent="0.35">
      <c r="A48" s="1465" t="s">
        <v>550</v>
      </c>
      <c r="B48" s="1466"/>
      <c r="C48" s="1466"/>
      <c r="D48" s="1466"/>
      <c r="E48" s="1466"/>
      <c r="F48" s="1466"/>
      <c r="G48" s="1466"/>
      <c r="H48" s="1466"/>
      <c r="I48" s="1466"/>
      <c r="J48" s="1466"/>
      <c r="K48" s="1466"/>
      <c r="L48" s="1466"/>
      <c r="M48" s="1466"/>
      <c r="N48" s="1466"/>
      <c r="O48" s="1466"/>
      <c r="P48" s="1466"/>
    </row>
    <row r="49" spans="1:16" x14ac:dyDescent="0.35">
      <c r="A49" s="1466"/>
      <c r="B49" s="1466"/>
      <c r="C49" s="1466"/>
      <c r="D49" s="1466"/>
      <c r="E49" s="1466"/>
      <c r="F49" s="1466"/>
      <c r="G49" s="1466"/>
      <c r="H49" s="1466"/>
      <c r="I49" s="1466"/>
      <c r="J49" s="1466"/>
      <c r="K49" s="1466"/>
      <c r="L49" s="1466"/>
      <c r="M49" s="1466"/>
      <c r="N49" s="1466"/>
      <c r="O49" s="1466"/>
      <c r="P49" s="1466"/>
    </row>
    <row r="50" spans="1:16" x14ac:dyDescent="0.35">
      <c r="A50" s="1051"/>
      <c r="B50" s="1051"/>
      <c r="C50" s="1051"/>
      <c r="D50" s="1052"/>
      <c r="E50" s="1051"/>
      <c r="F50" s="1051"/>
      <c r="G50" s="1051"/>
      <c r="H50" s="1051"/>
      <c r="I50" s="1051"/>
      <c r="J50" s="1051"/>
      <c r="K50" s="1051"/>
      <c r="L50" s="1051"/>
      <c r="M50" s="1051"/>
      <c r="N50" s="1051"/>
      <c r="O50" s="1051"/>
      <c r="P50" s="1051"/>
    </row>
    <row r="51" spans="1:16" x14ac:dyDescent="0.35">
      <c r="A51" s="1461" t="s">
        <v>551</v>
      </c>
      <c r="B51" s="1461"/>
      <c r="C51" s="1461"/>
      <c r="D51" s="1461"/>
      <c r="E51" s="1461"/>
      <c r="F51" s="1461"/>
      <c r="G51" s="1461"/>
      <c r="H51" s="1461"/>
      <c r="I51" s="1461"/>
      <c r="J51" s="1461"/>
      <c r="K51" s="1461"/>
      <c r="L51" s="1461"/>
      <c r="M51" s="1461"/>
      <c r="N51" s="1461"/>
      <c r="O51" s="1461"/>
      <c r="P51" s="1461"/>
    </row>
    <row r="52" spans="1:16" x14ac:dyDescent="0.35">
      <c r="A52" s="1461"/>
      <c r="B52" s="1461"/>
      <c r="C52" s="1461"/>
      <c r="D52" s="1461"/>
      <c r="E52" s="1461"/>
      <c r="F52" s="1461"/>
      <c r="G52" s="1461"/>
      <c r="H52" s="1461"/>
      <c r="I52" s="1461"/>
      <c r="J52" s="1461"/>
      <c r="K52" s="1461"/>
      <c r="L52" s="1461"/>
      <c r="M52" s="1461"/>
      <c r="N52" s="1461"/>
      <c r="O52" s="1461"/>
      <c r="P52" s="1461"/>
    </row>
    <row r="53" spans="1:16" x14ac:dyDescent="0.35">
      <c r="A53" s="1461"/>
      <c r="B53" s="1461"/>
      <c r="C53" s="1461"/>
      <c r="D53" s="1461"/>
      <c r="E53" s="1461"/>
      <c r="F53" s="1461"/>
      <c r="G53" s="1461"/>
      <c r="H53" s="1461"/>
      <c r="I53" s="1461"/>
      <c r="J53" s="1461"/>
      <c r="K53" s="1461"/>
      <c r="L53" s="1461"/>
      <c r="M53" s="1461"/>
      <c r="N53" s="1461"/>
      <c r="O53" s="1461"/>
      <c r="P53" s="1461"/>
    </row>
    <row r="54" spans="1:16" x14ac:dyDescent="0.35">
      <c r="A54" s="1053"/>
      <c r="B54" s="1053"/>
      <c r="C54" s="1053"/>
      <c r="D54" s="1044"/>
      <c r="E54" s="1053"/>
      <c r="F54" s="1053"/>
      <c r="G54" s="1053"/>
      <c r="H54" s="1053"/>
      <c r="I54" s="1053"/>
      <c r="J54" s="1053"/>
      <c r="K54" s="1053"/>
      <c r="L54" s="1053"/>
      <c r="M54" s="1053"/>
      <c r="N54" s="1053"/>
      <c r="O54" s="1053"/>
      <c r="P54" s="1053"/>
    </row>
  </sheetData>
  <mergeCells count="6">
    <mergeCell ref="A51:P53"/>
    <mergeCell ref="A7:P7"/>
    <mergeCell ref="O10:P10"/>
    <mergeCell ref="A48:P49"/>
    <mergeCell ref="A38:P42"/>
    <mergeCell ref="A44:P46"/>
  </mergeCells>
  <hyperlinks>
    <hyperlink ref="A4" r:id="rId1" xr:uid="{00000000-0004-0000-1D00-000000000000}"/>
  </hyperlinks>
  <pageMargins left="0.7" right="0.7" top="0.75" bottom="0.75" header="0.3" footer="0.3"/>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5" tint="0.59999389629810485"/>
  </sheetPr>
  <dimension ref="A1:U198"/>
  <sheetViews>
    <sheetView workbookViewId="0">
      <pane xSplit="3" ySplit="2" topLeftCell="D3" activePane="bottomRight" state="frozen"/>
      <selection pane="topRight" activeCell="D1" sqref="D1"/>
      <selection pane="bottomLeft" activeCell="A3" sqref="A3"/>
      <selection pane="bottomRight" activeCell="E26" sqref="E26"/>
    </sheetView>
  </sheetViews>
  <sheetFormatPr defaultColWidth="10.90625" defaultRowHeight="14.5" x14ac:dyDescent="0.35"/>
  <cols>
    <col min="1" max="1" width="100.90625" bestFit="1" customWidth="1"/>
    <col min="2" max="2" width="15.54296875" customWidth="1"/>
    <col min="3" max="19" width="10.7265625" customWidth="1"/>
    <col min="20" max="20" width="125.81640625" customWidth="1"/>
  </cols>
  <sheetData>
    <row r="1" spans="1:19" x14ac:dyDescent="0.35">
      <c r="A1" s="153" t="s">
        <v>1380</v>
      </c>
      <c r="D1" s="1134">
        <v>2022</v>
      </c>
      <c r="E1" s="1134">
        <v>2023</v>
      </c>
      <c r="F1" s="1134">
        <v>2024</v>
      </c>
      <c r="G1" s="1134">
        <v>2025</v>
      </c>
      <c r="H1" s="1134">
        <v>2026</v>
      </c>
      <c r="I1" s="1134">
        <v>2027</v>
      </c>
      <c r="J1" s="1134">
        <v>2028</v>
      </c>
      <c r="K1" s="1134">
        <v>2029</v>
      </c>
      <c r="L1" s="1134">
        <v>2030</v>
      </c>
      <c r="M1" s="1135">
        <v>2031</v>
      </c>
      <c r="N1" s="1136" t="s">
        <v>1182</v>
      </c>
      <c r="O1" s="1136" t="s">
        <v>1183</v>
      </c>
      <c r="P1" s="1121"/>
      <c r="Q1" s="1121"/>
      <c r="R1" s="1121"/>
      <c r="S1" s="1121"/>
    </row>
    <row r="2" spans="1:19" x14ac:dyDescent="0.35">
      <c r="C2" s="1468" t="s">
        <v>1381</v>
      </c>
      <c r="D2" s="1468"/>
      <c r="E2" s="1468"/>
      <c r="F2" s="1468"/>
      <c r="G2" s="1468"/>
      <c r="H2" s="1468"/>
      <c r="I2" s="1468"/>
      <c r="J2" s="1468"/>
      <c r="K2" s="1468"/>
      <c r="L2" s="1468"/>
      <c r="M2" s="1468"/>
      <c r="N2" s="1468"/>
      <c r="O2" s="1468"/>
      <c r="P2" s="1120"/>
      <c r="Q2" s="1120"/>
      <c r="R2" s="1120"/>
      <c r="S2" s="1120"/>
    </row>
    <row r="3" spans="1:19" x14ac:dyDescent="0.35">
      <c r="A3" s="56" t="s">
        <v>1191</v>
      </c>
      <c r="B3" s="56">
        <v>13601</v>
      </c>
      <c r="C3" s="56" t="s">
        <v>1382</v>
      </c>
      <c r="D3" s="56">
        <v>0</v>
      </c>
      <c r="E3" s="56">
        <v>0</v>
      </c>
      <c r="F3" s="56">
        <v>601</v>
      </c>
      <c r="G3" s="56">
        <v>1038</v>
      </c>
      <c r="H3" s="56">
        <v>1251</v>
      </c>
      <c r="I3" s="56">
        <v>1431</v>
      </c>
      <c r="J3" s="56">
        <v>1492</v>
      </c>
      <c r="K3" s="56">
        <v>1530</v>
      </c>
      <c r="L3" s="56">
        <v>1567</v>
      </c>
      <c r="M3" s="56">
        <v>1606</v>
      </c>
      <c r="N3" s="56">
        <v>2890</v>
      </c>
      <c r="O3" s="56">
        <v>10516</v>
      </c>
      <c r="P3" s="56"/>
      <c r="Q3" s="56"/>
      <c r="R3" s="56"/>
      <c r="S3" s="56"/>
    </row>
    <row r="4" spans="1:19" x14ac:dyDescent="0.35">
      <c r="A4" s="56" t="s">
        <v>1204</v>
      </c>
      <c r="B4" s="56">
        <v>10301</v>
      </c>
      <c r="C4" s="56" t="s">
        <v>1382</v>
      </c>
      <c r="D4" s="56">
        <v>0</v>
      </c>
      <c r="E4" s="56">
        <v>3823</v>
      </c>
      <c r="F4" s="56">
        <v>3380</v>
      </c>
      <c r="G4" s="56">
        <v>4970</v>
      </c>
      <c r="H4" s="56">
        <v>6248</v>
      </c>
      <c r="I4" s="56">
        <v>7996</v>
      </c>
      <c r="J4" s="56">
        <v>10106</v>
      </c>
      <c r="K4" s="56">
        <v>12617</v>
      </c>
      <c r="L4" s="56">
        <v>15072</v>
      </c>
      <c r="M4" s="56">
        <v>15388</v>
      </c>
      <c r="N4" s="56">
        <v>18421</v>
      </c>
      <c r="O4" s="56">
        <v>79600</v>
      </c>
      <c r="P4" s="56"/>
      <c r="Q4" s="56"/>
      <c r="R4" s="56"/>
      <c r="S4" s="56"/>
    </row>
    <row r="5" spans="1:19" x14ac:dyDescent="0.35">
      <c r="A5" s="56" t="s">
        <v>1206</v>
      </c>
      <c r="B5" s="56">
        <v>13802</v>
      </c>
      <c r="C5" s="56" t="s">
        <v>1382</v>
      </c>
      <c r="D5" s="56">
        <v>0</v>
      </c>
      <c r="E5" s="56">
        <v>55</v>
      </c>
      <c r="F5" s="56">
        <v>55</v>
      </c>
      <c r="G5" s="56">
        <v>55</v>
      </c>
      <c r="H5" s="56">
        <v>55</v>
      </c>
      <c r="I5" s="56">
        <v>55</v>
      </c>
      <c r="J5" s="56">
        <v>55</v>
      </c>
      <c r="K5" s="56">
        <v>55</v>
      </c>
      <c r="L5" s="56">
        <v>55</v>
      </c>
      <c r="M5" s="56">
        <v>55</v>
      </c>
      <c r="N5" s="56">
        <v>220</v>
      </c>
      <c r="O5" s="56">
        <v>495</v>
      </c>
      <c r="P5" s="56"/>
      <c r="Q5" s="56"/>
      <c r="R5" s="56"/>
      <c r="S5" s="56"/>
    </row>
    <row r="6" spans="1:19" x14ac:dyDescent="0.35">
      <c r="A6" s="56" t="s">
        <v>1208</v>
      </c>
      <c r="B6" s="56">
        <v>22005</v>
      </c>
      <c r="C6" s="56" t="s">
        <v>1382</v>
      </c>
      <c r="D6" s="56">
        <v>0</v>
      </c>
      <c r="E6" s="56">
        <v>19</v>
      </c>
      <c r="F6" s="56">
        <v>26</v>
      </c>
      <c r="G6" s="56">
        <v>27</v>
      </c>
      <c r="H6" s="56">
        <v>17</v>
      </c>
      <c r="I6" s="56">
        <v>7</v>
      </c>
      <c r="J6" s="56">
        <v>3</v>
      </c>
      <c r="K6" s="56">
        <v>1</v>
      </c>
      <c r="L6" s="56">
        <v>0</v>
      </c>
      <c r="M6" s="56">
        <v>0</v>
      </c>
      <c r="N6" s="56">
        <v>89</v>
      </c>
      <c r="O6" s="56">
        <v>100</v>
      </c>
      <c r="P6" s="56"/>
      <c r="Q6" s="56"/>
      <c r="R6" s="56"/>
      <c r="S6" s="56"/>
    </row>
    <row r="7" spans="1:19" x14ac:dyDescent="0.35">
      <c r="A7" s="56" t="s">
        <v>1194</v>
      </c>
      <c r="B7" s="56">
        <v>23001</v>
      </c>
      <c r="C7" s="56" t="s">
        <v>1382</v>
      </c>
      <c r="D7" s="56">
        <v>0</v>
      </c>
      <c r="E7" s="56">
        <v>35</v>
      </c>
      <c r="F7" s="56">
        <v>125</v>
      </c>
      <c r="G7" s="56">
        <v>170</v>
      </c>
      <c r="H7" s="56">
        <v>375</v>
      </c>
      <c r="I7" s="56">
        <v>470</v>
      </c>
      <c r="J7" s="56">
        <v>415</v>
      </c>
      <c r="K7" s="56">
        <v>280</v>
      </c>
      <c r="L7" s="56">
        <v>217</v>
      </c>
      <c r="M7" s="56">
        <v>58</v>
      </c>
      <c r="N7" s="56">
        <v>705</v>
      </c>
      <c r="O7" s="56">
        <v>2145</v>
      </c>
      <c r="P7" s="56"/>
      <c r="Q7" s="56"/>
      <c r="R7" s="56"/>
      <c r="S7" s="56"/>
    </row>
    <row r="8" spans="1:19" x14ac:dyDescent="0.35">
      <c r="A8" s="56" t="s">
        <v>1210</v>
      </c>
      <c r="B8" s="56">
        <v>23005</v>
      </c>
      <c r="C8" s="56" t="s">
        <v>1382</v>
      </c>
      <c r="D8" s="56">
        <v>0</v>
      </c>
      <c r="E8" s="56">
        <v>15</v>
      </c>
      <c r="F8" s="56">
        <v>15</v>
      </c>
      <c r="G8" s="56">
        <v>15</v>
      </c>
      <c r="H8" s="56">
        <v>10</v>
      </c>
      <c r="I8" s="56">
        <v>10</v>
      </c>
      <c r="J8" s="56">
        <v>10</v>
      </c>
      <c r="K8" s="56">
        <v>10</v>
      </c>
      <c r="L8" s="56">
        <v>10</v>
      </c>
      <c r="M8" s="56">
        <v>5</v>
      </c>
      <c r="N8" s="56">
        <v>55</v>
      </c>
      <c r="O8" s="56">
        <v>100</v>
      </c>
      <c r="P8" s="56"/>
      <c r="Q8" s="56"/>
      <c r="R8" s="56"/>
      <c r="S8" s="56"/>
    </row>
    <row r="9" spans="1:19" x14ac:dyDescent="0.35">
      <c r="A9" s="56" t="s">
        <v>1263</v>
      </c>
      <c r="B9" s="56">
        <v>23003</v>
      </c>
      <c r="C9" s="56" t="s">
        <v>1250</v>
      </c>
      <c r="D9" s="56">
        <v>0</v>
      </c>
      <c r="E9" s="56">
        <v>65</v>
      </c>
      <c r="F9" s="56">
        <v>150</v>
      </c>
      <c r="G9" s="56">
        <v>290</v>
      </c>
      <c r="H9" s="56">
        <v>290</v>
      </c>
      <c r="I9" s="56">
        <v>290</v>
      </c>
      <c r="J9" s="56">
        <v>285</v>
      </c>
      <c r="K9" s="56">
        <v>250</v>
      </c>
      <c r="L9" s="56">
        <v>220</v>
      </c>
      <c r="M9" s="56">
        <v>160</v>
      </c>
      <c r="N9" s="56">
        <v>795</v>
      </c>
      <c r="O9" s="56">
        <v>2000</v>
      </c>
      <c r="P9" s="56"/>
      <c r="Q9" s="56"/>
      <c r="R9" s="56"/>
      <c r="S9" s="56"/>
    </row>
    <row r="10" spans="1:19" x14ac:dyDescent="0.35">
      <c r="A10" s="56" t="s">
        <v>1291</v>
      </c>
      <c r="B10" s="56">
        <v>11102</v>
      </c>
      <c r="C10" s="56" t="s">
        <v>210</v>
      </c>
      <c r="D10" s="56">
        <v>0</v>
      </c>
      <c r="E10" s="56">
        <v>110</v>
      </c>
      <c r="F10" s="56">
        <v>504</v>
      </c>
      <c r="G10" s="56">
        <v>878</v>
      </c>
      <c r="H10" s="56">
        <v>1193</v>
      </c>
      <c r="I10" s="56">
        <v>1596</v>
      </c>
      <c r="J10" s="56">
        <v>2081</v>
      </c>
      <c r="K10" s="56">
        <v>2587</v>
      </c>
      <c r="L10" s="56">
        <v>3117</v>
      </c>
      <c r="M10" s="56">
        <v>3648</v>
      </c>
      <c r="N10" s="56">
        <v>2685</v>
      </c>
      <c r="O10" s="56">
        <v>15714</v>
      </c>
      <c r="P10" s="56"/>
      <c r="Q10" s="56"/>
      <c r="R10" s="56"/>
      <c r="S10" s="56"/>
    </row>
    <row r="11" spans="1:19" x14ac:dyDescent="0.35">
      <c r="A11" s="56" t="s">
        <v>1293</v>
      </c>
      <c r="B11" s="56">
        <v>11405</v>
      </c>
      <c r="C11" s="56" t="s">
        <v>210</v>
      </c>
      <c r="D11" s="56">
        <v>0</v>
      </c>
      <c r="E11" s="56">
        <v>0</v>
      </c>
      <c r="F11" s="56">
        <v>235</v>
      </c>
      <c r="G11" s="56">
        <v>317</v>
      </c>
      <c r="H11" s="56">
        <v>304</v>
      </c>
      <c r="I11" s="56">
        <v>314</v>
      </c>
      <c r="J11" s="56">
        <v>324</v>
      </c>
      <c r="K11" s="56">
        <v>335</v>
      </c>
      <c r="L11" s="56">
        <v>346</v>
      </c>
      <c r="M11" s="56">
        <v>359</v>
      </c>
      <c r="N11" s="56">
        <v>856</v>
      </c>
      <c r="O11" s="56">
        <v>2534</v>
      </c>
      <c r="P11" s="56"/>
      <c r="Q11" s="56"/>
      <c r="R11" s="56"/>
      <c r="S11" s="56"/>
    </row>
    <row r="12" spans="1:19" x14ac:dyDescent="0.35">
      <c r="A12" s="56" t="s">
        <v>1295</v>
      </c>
      <c r="B12" s="56">
        <v>11001</v>
      </c>
      <c r="C12" s="56" t="s">
        <v>211</v>
      </c>
      <c r="D12" s="56">
        <v>0</v>
      </c>
      <c r="E12" s="56">
        <v>0</v>
      </c>
      <c r="F12" s="56">
        <v>0</v>
      </c>
      <c r="G12" s="56">
        <v>0</v>
      </c>
      <c r="H12" s="56">
        <v>-3728</v>
      </c>
      <c r="I12" s="56">
        <v>-8317</v>
      </c>
      <c r="J12" s="56">
        <v>-17535</v>
      </c>
      <c r="K12" s="56">
        <v>-21009</v>
      </c>
      <c r="L12" s="56">
        <v>-23416</v>
      </c>
      <c r="M12" s="56">
        <v>-24516</v>
      </c>
      <c r="N12" s="56">
        <v>-3728</v>
      </c>
      <c r="O12" s="56">
        <v>-98521</v>
      </c>
      <c r="P12" s="56"/>
      <c r="Q12" s="56"/>
      <c r="R12" s="56"/>
      <c r="S12" s="56"/>
    </row>
    <row r="13" spans="1:19" x14ac:dyDescent="0.35">
      <c r="A13" s="56">
        <v>0</v>
      </c>
      <c r="B13" s="56">
        <v>11004</v>
      </c>
      <c r="C13" s="56" t="s">
        <v>211</v>
      </c>
      <c r="D13" s="56">
        <v>0</v>
      </c>
      <c r="E13" s="56">
        <v>333</v>
      </c>
      <c r="F13" s="56">
        <v>314</v>
      </c>
      <c r="G13" s="56">
        <v>314</v>
      </c>
      <c r="H13" s="56">
        <v>314</v>
      </c>
      <c r="I13" s="56">
        <v>314</v>
      </c>
      <c r="J13" s="56">
        <v>314</v>
      </c>
      <c r="K13" s="56">
        <v>314</v>
      </c>
      <c r="L13" s="56">
        <v>314</v>
      </c>
      <c r="M13" s="56">
        <v>314</v>
      </c>
      <c r="N13" s="56">
        <v>1275</v>
      </c>
      <c r="O13" s="56">
        <v>2845</v>
      </c>
      <c r="P13" s="56"/>
      <c r="Q13" s="56"/>
      <c r="R13" s="56"/>
      <c r="S13" s="56"/>
    </row>
    <row r="14" spans="1:19" x14ac:dyDescent="0.35">
      <c r="A14" s="56" t="s">
        <v>1291</v>
      </c>
      <c r="B14" s="56">
        <v>11102</v>
      </c>
      <c r="C14" s="56" t="s">
        <v>211</v>
      </c>
      <c r="D14" s="56">
        <v>0</v>
      </c>
      <c r="E14" s="56">
        <v>-719</v>
      </c>
      <c r="F14" s="56">
        <v>-1051</v>
      </c>
      <c r="G14" s="56">
        <v>-18680</v>
      </c>
      <c r="H14" s="56">
        <v>-7174</v>
      </c>
      <c r="I14" s="56">
        <v>-7523</v>
      </c>
      <c r="J14" s="56">
        <v>-7820</v>
      </c>
      <c r="K14" s="56">
        <v>-8529</v>
      </c>
      <c r="L14" s="56">
        <v>-9564</v>
      </c>
      <c r="M14" s="56">
        <v>-10720</v>
      </c>
      <c r="N14" s="56">
        <v>-27624</v>
      </c>
      <c r="O14" s="56">
        <v>-71780</v>
      </c>
      <c r="P14" s="56"/>
      <c r="Q14" s="56"/>
      <c r="R14" s="56"/>
      <c r="S14" s="56"/>
    </row>
    <row r="15" spans="1:19" x14ac:dyDescent="0.35">
      <c r="A15" s="56">
        <v>0</v>
      </c>
      <c r="B15" s="56">
        <v>11102</v>
      </c>
      <c r="C15" s="56" t="s">
        <v>211</v>
      </c>
      <c r="D15" s="56">
        <v>0</v>
      </c>
      <c r="E15" s="56">
        <v>-23</v>
      </c>
      <c r="F15" s="56">
        <v>-60</v>
      </c>
      <c r="G15" s="56">
        <v>-61</v>
      </c>
      <c r="H15" s="56">
        <v>-43</v>
      </c>
      <c r="I15" s="56">
        <v>-30</v>
      </c>
      <c r="J15" s="56">
        <v>-34</v>
      </c>
      <c r="K15" s="56">
        <v>-26</v>
      </c>
      <c r="L15" s="56">
        <v>-3</v>
      </c>
      <c r="M15" s="56">
        <v>7</v>
      </c>
      <c r="N15" s="56">
        <v>-187</v>
      </c>
      <c r="O15" s="56">
        <v>-273</v>
      </c>
      <c r="P15" s="56"/>
      <c r="Q15" s="56"/>
      <c r="R15" s="56"/>
      <c r="S15" s="56"/>
    </row>
    <row r="16" spans="1:19" x14ac:dyDescent="0.35">
      <c r="A16" s="56" t="s">
        <v>1298</v>
      </c>
      <c r="B16" s="56">
        <v>11201</v>
      </c>
      <c r="C16" s="56" t="s">
        <v>211</v>
      </c>
      <c r="D16" s="56">
        <v>0</v>
      </c>
      <c r="E16" s="56">
        <v>48</v>
      </c>
      <c r="F16" s="56">
        <v>2541</v>
      </c>
      <c r="G16" s="56">
        <v>4311</v>
      </c>
      <c r="H16" s="56">
        <v>3827</v>
      </c>
      <c r="I16" s="56">
        <v>4927</v>
      </c>
      <c r="J16" s="56">
        <v>5162</v>
      </c>
      <c r="K16" s="56">
        <v>4780</v>
      </c>
      <c r="L16" s="56">
        <v>2375</v>
      </c>
      <c r="M16" s="56">
        <v>1866</v>
      </c>
      <c r="N16" s="56">
        <v>10727</v>
      </c>
      <c r="O16" s="56">
        <v>29837</v>
      </c>
      <c r="P16" s="56"/>
      <c r="Q16" s="56"/>
      <c r="R16" s="56"/>
      <c r="S16" s="56"/>
    </row>
    <row r="17" spans="1:19" x14ac:dyDescent="0.35">
      <c r="A17" s="56" t="s">
        <v>1383</v>
      </c>
      <c r="B17" s="56">
        <v>11202</v>
      </c>
      <c r="C17" s="56" t="s">
        <v>211</v>
      </c>
      <c r="D17" s="56">
        <v>0</v>
      </c>
      <c r="E17" s="56">
        <v>5</v>
      </c>
      <c r="F17" s="56">
        <v>3</v>
      </c>
      <c r="G17" s="56">
        <v>17</v>
      </c>
      <c r="H17" s="56">
        <v>15</v>
      </c>
      <c r="I17" s="56">
        <v>15</v>
      </c>
      <c r="J17" s="56">
        <v>20</v>
      </c>
      <c r="K17" s="56">
        <v>15</v>
      </c>
      <c r="L17" s="56">
        <v>15</v>
      </c>
      <c r="M17" s="56">
        <v>20</v>
      </c>
      <c r="N17" s="56">
        <v>40</v>
      </c>
      <c r="O17" s="56">
        <v>125</v>
      </c>
      <c r="P17" s="56"/>
      <c r="Q17" s="56"/>
      <c r="R17" s="56"/>
      <c r="S17" s="56"/>
    </row>
    <row r="18" spans="1:19" x14ac:dyDescent="0.35">
      <c r="A18" s="56" t="s">
        <v>1300</v>
      </c>
      <c r="B18" s="56">
        <v>11301</v>
      </c>
      <c r="C18" s="56" t="s">
        <v>211</v>
      </c>
      <c r="D18" s="56">
        <v>0</v>
      </c>
      <c r="E18" s="56">
        <v>0</v>
      </c>
      <c r="F18" s="56">
        <v>0</v>
      </c>
      <c r="G18" s="56">
        <v>0</v>
      </c>
      <c r="H18" s="56">
        <v>0</v>
      </c>
      <c r="I18" s="56">
        <v>-16290</v>
      </c>
      <c r="J18" s="56">
        <v>-25656</v>
      </c>
      <c r="K18" s="56">
        <v>-23394</v>
      </c>
      <c r="L18" s="56">
        <v>-27561</v>
      </c>
      <c r="M18" s="56">
        <v>-29250</v>
      </c>
      <c r="N18" s="56">
        <v>0</v>
      </c>
      <c r="O18" s="56">
        <v>-122151</v>
      </c>
      <c r="P18" s="56"/>
      <c r="Q18" s="56"/>
      <c r="R18" s="56"/>
      <c r="S18" s="56"/>
    </row>
    <row r="19" spans="1:19" x14ac:dyDescent="0.35">
      <c r="A19" s="56" t="s">
        <v>1302</v>
      </c>
      <c r="B19" s="56">
        <v>11401</v>
      </c>
      <c r="C19" s="56" t="s">
        <v>211</v>
      </c>
      <c r="D19" s="56">
        <v>0</v>
      </c>
      <c r="E19" s="56">
        <v>-69</v>
      </c>
      <c r="F19" s="56">
        <v>301</v>
      </c>
      <c r="G19" s="56">
        <v>863</v>
      </c>
      <c r="H19" s="56">
        <v>579</v>
      </c>
      <c r="I19" s="56">
        <v>466</v>
      </c>
      <c r="J19" s="56">
        <v>551</v>
      </c>
      <c r="K19" s="56">
        <v>503</v>
      </c>
      <c r="L19" s="56">
        <v>593</v>
      </c>
      <c r="M19" s="56">
        <v>632</v>
      </c>
      <c r="N19" s="56">
        <v>1674</v>
      </c>
      <c r="O19" s="56">
        <v>4419</v>
      </c>
      <c r="P19" s="56"/>
      <c r="Q19" s="56"/>
      <c r="R19" s="56"/>
      <c r="S19" s="56"/>
    </row>
    <row r="20" spans="1:19" x14ac:dyDescent="0.35">
      <c r="A20" s="56">
        <v>0</v>
      </c>
      <c r="B20" s="56">
        <v>11402</v>
      </c>
      <c r="C20" s="56" t="s">
        <v>211</v>
      </c>
      <c r="D20" s="56">
        <v>0</v>
      </c>
      <c r="E20" s="56">
        <v>-1</v>
      </c>
      <c r="F20" s="56">
        <v>-1</v>
      </c>
      <c r="G20" s="56">
        <v>-1</v>
      </c>
      <c r="H20" s="56">
        <v>-2</v>
      </c>
      <c r="I20" s="56">
        <v>-2</v>
      </c>
      <c r="J20" s="56">
        <v>-2</v>
      </c>
      <c r="K20" s="56">
        <v>-2</v>
      </c>
      <c r="L20" s="56">
        <v>-2</v>
      </c>
      <c r="M20" s="56">
        <v>-2</v>
      </c>
      <c r="N20" s="56">
        <v>-5</v>
      </c>
      <c r="O20" s="56">
        <v>-15</v>
      </c>
      <c r="P20" s="56"/>
      <c r="Q20" s="56"/>
      <c r="R20" s="56"/>
      <c r="S20" s="56"/>
    </row>
    <row r="21" spans="1:19" x14ac:dyDescent="0.35">
      <c r="A21" s="56">
        <v>0</v>
      </c>
      <c r="B21" s="56">
        <v>11403</v>
      </c>
      <c r="C21" s="56" t="s">
        <v>211</v>
      </c>
      <c r="D21" s="56">
        <v>0</v>
      </c>
      <c r="E21" s="56">
        <v>0</v>
      </c>
      <c r="F21" s="56">
        <v>0</v>
      </c>
      <c r="G21" s="56">
        <v>0</v>
      </c>
      <c r="H21" s="56">
        <v>0</v>
      </c>
      <c r="I21" s="56">
        <v>0</v>
      </c>
      <c r="J21" s="56">
        <v>0</v>
      </c>
      <c r="K21" s="56">
        <v>0</v>
      </c>
      <c r="L21" s="56">
        <v>0</v>
      </c>
      <c r="M21" s="56">
        <v>0</v>
      </c>
      <c r="N21" s="56">
        <v>0</v>
      </c>
      <c r="O21" s="56">
        <v>0</v>
      </c>
      <c r="P21" s="56"/>
      <c r="Q21" s="56"/>
      <c r="R21" s="56"/>
      <c r="S21" s="56"/>
    </row>
    <row r="22" spans="1:19" x14ac:dyDescent="0.35">
      <c r="A22" s="56">
        <v>0</v>
      </c>
      <c r="B22" s="56">
        <v>11406</v>
      </c>
      <c r="C22" s="56" t="s">
        <v>211</v>
      </c>
      <c r="D22" s="56">
        <v>0</v>
      </c>
      <c r="E22" s="56">
        <v>1</v>
      </c>
      <c r="F22" s="56">
        <v>501</v>
      </c>
      <c r="G22" s="56">
        <v>506</v>
      </c>
      <c r="H22" s="56">
        <v>561</v>
      </c>
      <c r="I22" s="56">
        <v>628</v>
      </c>
      <c r="J22" s="56">
        <v>681</v>
      </c>
      <c r="K22" s="56">
        <v>608</v>
      </c>
      <c r="L22" s="56">
        <v>659</v>
      </c>
      <c r="M22" s="56">
        <v>684</v>
      </c>
      <c r="N22" s="56">
        <v>1569</v>
      </c>
      <c r="O22" s="56">
        <v>4829</v>
      </c>
      <c r="P22" s="56"/>
      <c r="Q22" s="56"/>
      <c r="R22" s="56"/>
      <c r="S22" s="56"/>
    </row>
    <row r="23" spans="1:19" x14ac:dyDescent="0.35">
      <c r="A23" s="56">
        <v>0</v>
      </c>
      <c r="B23" s="56">
        <v>11407</v>
      </c>
      <c r="C23" s="56" t="s">
        <v>211</v>
      </c>
      <c r="D23" s="56">
        <v>0</v>
      </c>
      <c r="E23" s="56">
        <v>10</v>
      </c>
      <c r="F23" s="56">
        <v>25</v>
      </c>
      <c r="G23" s="56">
        <v>28</v>
      </c>
      <c r="H23" s="56">
        <v>29</v>
      </c>
      <c r="I23" s="56">
        <v>31</v>
      </c>
      <c r="J23" s="56">
        <v>33</v>
      </c>
      <c r="K23" s="56">
        <v>33</v>
      </c>
      <c r="L23" s="56">
        <v>35</v>
      </c>
      <c r="M23" s="56">
        <v>37</v>
      </c>
      <c r="N23" s="56">
        <v>92</v>
      </c>
      <c r="O23" s="56">
        <v>261</v>
      </c>
      <c r="P23" s="56"/>
      <c r="Q23" s="56"/>
      <c r="R23" s="56"/>
      <c r="S23" s="56"/>
    </row>
    <row r="24" spans="1:19" x14ac:dyDescent="0.35">
      <c r="A24" s="56">
        <v>0</v>
      </c>
      <c r="B24" s="56">
        <v>11408</v>
      </c>
      <c r="C24" s="56" t="s">
        <v>211</v>
      </c>
      <c r="D24" s="56">
        <v>0</v>
      </c>
      <c r="E24" s="56">
        <v>0</v>
      </c>
      <c r="F24" s="56">
        <v>0</v>
      </c>
      <c r="G24" s="56">
        <v>0</v>
      </c>
      <c r="H24" s="56">
        <v>0</v>
      </c>
      <c r="I24" s="56">
        <v>0</v>
      </c>
      <c r="J24" s="56">
        <v>0</v>
      </c>
      <c r="K24" s="56">
        <v>0</v>
      </c>
      <c r="L24" s="56">
        <v>0</v>
      </c>
      <c r="M24" s="56">
        <v>0</v>
      </c>
      <c r="N24" s="56">
        <v>0</v>
      </c>
      <c r="O24" s="56">
        <v>0</v>
      </c>
      <c r="P24" s="56"/>
      <c r="Q24" s="56"/>
      <c r="R24" s="56"/>
      <c r="S24" s="56"/>
    </row>
    <row r="25" spans="1:19" x14ac:dyDescent="0.35">
      <c r="A25" s="56" t="s">
        <v>1304</v>
      </c>
      <c r="B25" s="56">
        <v>11404</v>
      </c>
      <c r="C25" s="56" t="s">
        <v>211</v>
      </c>
      <c r="D25" s="56">
        <v>0</v>
      </c>
      <c r="E25" s="56">
        <v>0</v>
      </c>
      <c r="F25" s="56">
        <v>195</v>
      </c>
      <c r="G25" s="56">
        <v>230</v>
      </c>
      <c r="H25" s="56">
        <v>248</v>
      </c>
      <c r="I25" s="56">
        <v>266</v>
      </c>
      <c r="J25" s="56">
        <v>311</v>
      </c>
      <c r="K25" s="56">
        <v>281</v>
      </c>
      <c r="L25" s="56">
        <v>327</v>
      </c>
      <c r="M25" s="56">
        <v>347</v>
      </c>
      <c r="N25" s="56">
        <v>673</v>
      </c>
      <c r="O25" s="56">
        <v>2205</v>
      </c>
      <c r="P25" s="56"/>
      <c r="Q25" s="56"/>
      <c r="R25" s="56"/>
      <c r="S25" s="56"/>
    </row>
    <row r="26" spans="1:19" x14ac:dyDescent="0.35">
      <c r="A26" s="56" t="s">
        <v>1316</v>
      </c>
      <c r="B26" s="56">
        <v>12001</v>
      </c>
      <c r="C26" s="56" t="s">
        <v>1384</v>
      </c>
      <c r="D26" s="56">
        <v>0</v>
      </c>
      <c r="E26" s="56">
        <v>20892</v>
      </c>
      <c r="F26" s="56">
        <v>11288</v>
      </c>
      <c r="G26" s="56">
        <v>9651</v>
      </c>
      <c r="H26" s="56">
        <v>-8548</v>
      </c>
      <c r="I26" s="56">
        <v>-463</v>
      </c>
      <c r="J26" s="56">
        <v>0</v>
      </c>
      <c r="K26" s="56">
        <v>0</v>
      </c>
      <c r="L26" s="56">
        <v>0</v>
      </c>
      <c r="M26" s="56">
        <v>0</v>
      </c>
      <c r="N26" s="56">
        <v>33283</v>
      </c>
      <c r="O26" s="56">
        <v>32820</v>
      </c>
      <c r="P26" s="56"/>
      <c r="Q26" s="56"/>
      <c r="R26" s="56"/>
      <c r="S26" s="56"/>
    </row>
    <row r="27" spans="1:19" x14ac:dyDescent="0.35">
      <c r="A27" s="56" t="s">
        <v>1318</v>
      </c>
      <c r="B27" s="56">
        <v>22003</v>
      </c>
      <c r="C27" s="56" t="s">
        <v>1384</v>
      </c>
      <c r="D27" s="56">
        <v>0</v>
      </c>
      <c r="E27" s="56">
        <v>24</v>
      </c>
      <c r="F27" s="56">
        <v>65</v>
      </c>
      <c r="G27" s="56">
        <v>112</v>
      </c>
      <c r="H27" s="56">
        <v>130</v>
      </c>
      <c r="I27" s="56">
        <v>98</v>
      </c>
      <c r="J27" s="56">
        <v>56</v>
      </c>
      <c r="K27" s="56">
        <v>15</v>
      </c>
      <c r="L27" s="56">
        <v>0</v>
      </c>
      <c r="M27" s="56">
        <v>0</v>
      </c>
      <c r="N27" s="56">
        <v>331</v>
      </c>
      <c r="O27" s="56">
        <v>500</v>
      </c>
      <c r="P27" s="56"/>
      <c r="Q27" s="56"/>
      <c r="R27" s="56"/>
      <c r="S27" s="56"/>
    </row>
    <row r="28" spans="1:19" x14ac:dyDescent="0.35">
      <c r="A28" s="56" t="s">
        <v>1320</v>
      </c>
      <c r="B28" s="56">
        <v>22004</v>
      </c>
      <c r="C28" s="56" t="s">
        <v>1384</v>
      </c>
      <c r="D28" s="56">
        <v>0</v>
      </c>
      <c r="E28" s="56">
        <v>50</v>
      </c>
      <c r="F28" s="56">
        <v>500</v>
      </c>
      <c r="G28" s="56">
        <v>920</v>
      </c>
      <c r="H28" s="56">
        <v>1310</v>
      </c>
      <c r="I28" s="56">
        <v>1680</v>
      </c>
      <c r="J28" s="56">
        <v>1780</v>
      </c>
      <c r="K28" s="56">
        <v>1640</v>
      </c>
      <c r="L28" s="56">
        <v>1090</v>
      </c>
      <c r="M28" s="56">
        <v>630</v>
      </c>
      <c r="N28" s="56">
        <v>2780</v>
      </c>
      <c r="O28" s="56">
        <v>9600</v>
      </c>
      <c r="P28" s="56"/>
      <c r="Q28" s="56"/>
      <c r="R28" s="56"/>
      <c r="S28" s="56"/>
    </row>
    <row r="29" spans="1:19" ht="45" customHeight="1" x14ac:dyDescent="0.35">
      <c r="A29" s="14" t="s">
        <v>1385</v>
      </c>
      <c r="B29" s="56">
        <v>22007</v>
      </c>
      <c r="C29" s="56" t="s">
        <v>1384</v>
      </c>
      <c r="D29" s="56">
        <v>-622</v>
      </c>
      <c r="E29" s="56">
        <v>80</v>
      </c>
      <c r="F29" s="56">
        <v>248</v>
      </c>
      <c r="G29" s="56">
        <v>266</v>
      </c>
      <c r="H29" s="56">
        <v>363</v>
      </c>
      <c r="I29" s="56">
        <v>464</v>
      </c>
      <c r="J29" s="56">
        <v>451</v>
      </c>
      <c r="K29" s="56">
        <v>336</v>
      </c>
      <c r="L29" s="56">
        <v>226</v>
      </c>
      <c r="M29" s="56">
        <v>117</v>
      </c>
      <c r="N29" s="56">
        <v>335</v>
      </c>
      <c r="O29" s="56">
        <v>1929</v>
      </c>
      <c r="P29" s="56"/>
      <c r="Q29" s="56"/>
      <c r="R29" s="56"/>
      <c r="S29" s="56"/>
    </row>
    <row r="30" spans="1:19" x14ac:dyDescent="0.35">
      <c r="A30" s="56" t="s">
        <v>1322</v>
      </c>
      <c r="B30" s="56">
        <v>23002</v>
      </c>
      <c r="C30" s="56" t="s">
        <v>1384</v>
      </c>
      <c r="D30" s="56">
        <v>0</v>
      </c>
      <c r="E30" s="56">
        <v>30</v>
      </c>
      <c r="F30" s="56">
        <v>90</v>
      </c>
      <c r="G30" s="56">
        <v>90</v>
      </c>
      <c r="H30" s="56">
        <v>85</v>
      </c>
      <c r="I30" s="56">
        <v>70</v>
      </c>
      <c r="J30" s="56">
        <v>65</v>
      </c>
      <c r="K30" s="56">
        <v>65</v>
      </c>
      <c r="L30" s="56">
        <v>35</v>
      </c>
      <c r="M30" s="56">
        <v>15</v>
      </c>
      <c r="N30" s="56">
        <v>295</v>
      </c>
      <c r="O30" s="56">
        <v>545</v>
      </c>
      <c r="P30" s="56"/>
      <c r="Q30" s="56"/>
      <c r="R30" s="56"/>
      <c r="S30" s="56"/>
    </row>
    <row r="31" spans="1:19" x14ac:dyDescent="0.35">
      <c r="A31" s="56" t="s">
        <v>1313</v>
      </c>
      <c r="B31" s="56">
        <v>30002</v>
      </c>
      <c r="C31" s="56" t="s">
        <v>1384</v>
      </c>
      <c r="D31" s="56">
        <v>0</v>
      </c>
      <c r="E31" s="56">
        <v>20</v>
      </c>
      <c r="F31" s="56">
        <v>65</v>
      </c>
      <c r="G31" s="56">
        <v>110</v>
      </c>
      <c r="H31" s="56">
        <v>135</v>
      </c>
      <c r="I31" s="56">
        <v>180</v>
      </c>
      <c r="J31" s="56">
        <v>230</v>
      </c>
      <c r="K31" s="56">
        <v>180</v>
      </c>
      <c r="L31" s="56">
        <v>60</v>
      </c>
      <c r="M31" s="56">
        <v>10</v>
      </c>
      <c r="N31" s="56">
        <v>330</v>
      </c>
      <c r="O31" s="56">
        <v>990</v>
      </c>
      <c r="P31" s="56"/>
      <c r="Q31" s="56"/>
      <c r="R31" s="56"/>
      <c r="S31" s="56"/>
    </row>
    <row r="32" spans="1:19" x14ac:dyDescent="0.35">
      <c r="A32" s="56" t="s">
        <v>1386</v>
      </c>
      <c r="B32" s="56">
        <v>13104</v>
      </c>
      <c r="C32" s="56" t="s">
        <v>1387</v>
      </c>
      <c r="D32" s="56">
        <v>0</v>
      </c>
      <c r="E32" s="56">
        <v>20</v>
      </c>
      <c r="F32" s="56">
        <v>145</v>
      </c>
      <c r="G32" s="56">
        <v>225</v>
      </c>
      <c r="H32" s="56">
        <v>238</v>
      </c>
      <c r="I32" s="56">
        <v>222</v>
      </c>
      <c r="J32" s="56">
        <v>206</v>
      </c>
      <c r="K32" s="56">
        <v>186</v>
      </c>
      <c r="L32" s="56">
        <v>165</v>
      </c>
      <c r="M32" s="56">
        <v>142</v>
      </c>
      <c r="N32" s="56">
        <v>628</v>
      </c>
      <c r="O32" s="56">
        <v>1550</v>
      </c>
      <c r="P32" s="56"/>
      <c r="Q32" s="56"/>
      <c r="R32" s="56"/>
      <c r="S32" s="56"/>
    </row>
    <row r="33" spans="1:19" x14ac:dyDescent="0.35">
      <c r="A33" s="56" t="s">
        <v>1388</v>
      </c>
      <c r="B33" s="56">
        <v>13105</v>
      </c>
      <c r="C33" s="56" t="s">
        <v>1387</v>
      </c>
      <c r="D33" s="56">
        <v>0</v>
      </c>
      <c r="E33" s="56">
        <v>0</v>
      </c>
      <c r="F33" s="56">
        <v>1050</v>
      </c>
      <c r="G33" s="56">
        <v>1692</v>
      </c>
      <c r="H33" s="56">
        <v>1781</v>
      </c>
      <c r="I33" s="56">
        <v>1842</v>
      </c>
      <c r="J33" s="56">
        <v>1901</v>
      </c>
      <c r="K33" s="56">
        <v>1944</v>
      </c>
      <c r="L33" s="56">
        <v>2054</v>
      </c>
      <c r="M33" s="56">
        <v>2137</v>
      </c>
      <c r="N33" s="56">
        <v>4522</v>
      </c>
      <c r="O33" s="56">
        <v>14401</v>
      </c>
      <c r="P33" s="56"/>
      <c r="Q33" s="56"/>
      <c r="R33" s="56"/>
      <c r="S33" s="56"/>
    </row>
    <row r="34" spans="1:19" x14ac:dyDescent="0.35">
      <c r="A34" s="56" t="s">
        <v>1350</v>
      </c>
      <c r="B34" s="56">
        <v>13204</v>
      </c>
      <c r="C34" s="56" t="s">
        <v>1387</v>
      </c>
      <c r="D34" s="56">
        <v>0</v>
      </c>
      <c r="E34" s="56">
        <v>59</v>
      </c>
      <c r="F34" s="56">
        <v>149</v>
      </c>
      <c r="G34" s="56">
        <v>244</v>
      </c>
      <c r="H34" s="56">
        <v>364</v>
      </c>
      <c r="I34" s="56">
        <v>498</v>
      </c>
      <c r="J34" s="56">
        <v>657</v>
      </c>
      <c r="K34" s="56">
        <v>851</v>
      </c>
      <c r="L34" s="56">
        <v>1086</v>
      </c>
      <c r="M34" s="56">
        <v>1410</v>
      </c>
      <c r="N34" s="56">
        <v>815</v>
      </c>
      <c r="O34" s="56">
        <v>5317</v>
      </c>
      <c r="P34" s="56"/>
      <c r="Q34" s="56"/>
      <c r="R34" s="56"/>
      <c r="S34" s="56"/>
    </row>
    <row r="35" spans="1:19" x14ac:dyDescent="0.35">
      <c r="A35" s="56" t="s">
        <v>1389</v>
      </c>
      <c r="B35" s="56">
        <v>13502</v>
      </c>
      <c r="C35" s="56" t="s">
        <v>1387</v>
      </c>
      <c r="D35" s="56">
        <v>0</v>
      </c>
      <c r="E35" s="56">
        <v>842</v>
      </c>
      <c r="F35" s="56">
        <v>1201</v>
      </c>
      <c r="G35" s="56">
        <v>1291</v>
      </c>
      <c r="H35" s="56">
        <v>1519</v>
      </c>
      <c r="I35" s="56">
        <v>1710</v>
      </c>
      <c r="J35" s="56">
        <v>1890</v>
      </c>
      <c r="K35" s="56">
        <v>2176</v>
      </c>
      <c r="L35" s="56">
        <v>2189</v>
      </c>
      <c r="M35" s="56">
        <v>1882</v>
      </c>
      <c r="N35" s="56">
        <v>4853</v>
      </c>
      <c r="O35" s="56">
        <v>14699</v>
      </c>
      <c r="P35" s="56"/>
      <c r="Q35" s="56"/>
      <c r="R35" s="56"/>
      <c r="S35" s="56"/>
    </row>
    <row r="36" spans="1:19" x14ac:dyDescent="0.35">
      <c r="A36" s="56" t="s">
        <v>1390</v>
      </c>
      <c r="B36" s="56">
        <v>13701</v>
      </c>
      <c r="C36" s="56" t="s">
        <v>1387</v>
      </c>
      <c r="D36" s="56">
        <v>0</v>
      </c>
      <c r="E36" s="56">
        <v>1</v>
      </c>
      <c r="F36" s="56">
        <v>1</v>
      </c>
      <c r="G36" s="56">
        <v>2</v>
      </c>
      <c r="H36" s="56">
        <v>2</v>
      </c>
      <c r="I36" s="56">
        <v>3</v>
      </c>
      <c r="J36" s="56">
        <v>3</v>
      </c>
      <c r="K36" s="56">
        <v>4</v>
      </c>
      <c r="L36" s="56">
        <v>5</v>
      </c>
      <c r="M36" s="56">
        <v>6</v>
      </c>
      <c r="N36" s="56">
        <v>6</v>
      </c>
      <c r="O36" s="56">
        <v>26</v>
      </c>
      <c r="P36" s="56"/>
      <c r="Q36" s="56"/>
      <c r="R36" s="56"/>
      <c r="S36" s="56"/>
    </row>
    <row r="37" spans="1:19" x14ac:dyDescent="0.35">
      <c r="A37" s="56" t="s">
        <v>1332</v>
      </c>
      <c r="B37" s="56">
        <v>21001</v>
      </c>
      <c r="C37" s="56" t="s">
        <v>1387</v>
      </c>
      <c r="D37" s="56">
        <v>0</v>
      </c>
      <c r="E37" s="56">
        <v>178</v>
      </c>
      <c r="F37" s="56">
        <v>716</v>
      </c>
      <c r="G37" s="56">
        <v>1268</v>
      </c>
      <c r="H37" s="56">
        <v>2150</v>
      </c>
      <c r="I37" s="56">
        <v>3000</v>
      </c>
      <c r="J37" s="56">
        <v>2906</v>
      </c>
      <c r="K37" s="56">
        <v>2533</v>
      </c>
      <c r="L37" s="56">
        <v>1750</v>
      </c>
      <c r="M37" s="56">
        <v>807</v>
      </c>
      <c r="N37" s="56">
        <v>4312</v>
      </c>
      <c r="O37" s="56">
        <v>15308</v>
      </c>
      <c r="P37" s="56"/>
      <c r="Q37" s="56"/>
      <c r="R37" s="56"/>
      <c r="S37" s="56"/>
    </row>
    <row r="38" spans="1:19" x14ac:dyDescent="0.35">
      <c r="A38" s="56">
        <v>0</v>
      </c>
      <c r="B38" s="56">
        <v>21002</v>
      </c>
      <c r="C38" s="56" t="s">
        <v>1387</v>
      </c>
      <c r="D38" s="56">
        <v>0</v>
      </c>
      <c r="E38" s="56">
        <v>86</v>
      </c>
      <c r="F38" s="56">
        <v>95</v>
      </c>
      <c r="G38" s="56">
        <v>125</v>
      </c>
      <c r="H38" s="56">
        <v>225</v>
      </c>
      <c r="I38" s="56">
        <v>225</v>
      </c>
      <c r="J38" s="56">
        <v>245</v>
      </c>
      <c r="K38" s="56">
        <v>240</v>
      </c>
      <c r="L38" s="56">
        <v>109</v>
      </c>
      <c r="M38" s="56">
        <v>50</v>
      </c>
      <c r="N38" s="56">
        <v>531</v>
      </c>
      <c r="O38" s="56">
        <v>1400</v>
      </c>
      <c r="P38" s="56"/>
      <c r="Q38" s="56"/>
      <c r="R38" s="56"/>
      <c r="S38" s="56"/>
    </row>
    <row r="39" spans="1:19" x14ac:dyDescent="0.35">
      <c r="A39" s="56" t="s">
        <v>1344</v>
      </c>
      <c r="B39" s="56">
        <v>22002</v>
      </c>
      <c r="C39" s="56" t="s">
        <v>1387</v>
      </c>
      <c r="D39" s="56">
        <v>0</v>
      </c>
      <c r="E39" s="56">
        <v>5</v>
      </c>
      <c r="F39" s="56">
        <v>41</v>
      </c>
      <c r="G39" s="56">
        <v>116</v>
      </c>
      <c r="H39" s="56">
        <v>284</v>
      </c>
      <c r="I39" s="56">
        <v>417</v>
      </c>
      <c r="J39" s="56">
        <v>459</v>
      </c>
      <c r="K39" s="56">
        <v>355</v>
      </c>
      <c r="L39" s="56">
        <v>210</v>
      </c>
      <c r="M39" s="56">
        <v>90</v>
      </c>
      <c r="N39" s="56">
        <v>446</v>
      </c>
      <c r="O39" s="56">
        <v>1977</v>
      </c>
      <c r="P39" s="56"/>
      <c r="Q39" s="56"/>
      <c r="R39" s="56"/>
      <c r="S39" s="56"/>
    </row>
    <row r="40" spans="1:19" x14ac:dyDescent="0.35">
      <c r="A40" s="56" t="s">
        <v>1360</v>
      </c>
      <c r="B40" s="56">
        <v>30001</v>
      </c>
      <c r="C40" s="56" t="s">
        <v>1387</v>
      </c>
      <c r="D40" s="56">
        <v>0</v>
      </c>
      <c r="E40" s="56">
        <v>25</v>
      </c>
      <c r="F40" s="56">
        <v>100</v>
      </c>
      <c r="G40" s="56">
        <v>125</v>
      </c>
      <c r="H40" s="56">
        <v>100</v>
      </c>
      <c r="I40" s="56">
        <v>75</v>
      </c>
      <c r="J40" s="56">
        <v>30</v>
      </c>
      <c r="K40" s="56">
        <v>20</v>
      </c>
      <c r="L40" s="56">
        <v>0</v>
      </c>
      <c r="M40" s="56">
        <v>0</v>
      </c>
      <c r="N40" s="56">
        <v>350</v>
      </c>
      <c r="O40" s="56">
        <v>475</v>
      </c>
      <c r="P40" s="56"/>
      <c r="Q40" s="56"/>
      <c r="R40" s="56"/>
      <c r="S40" s="56"/>
    </row>
    <row r="42" spans="1:19" x14ac:dyDescent="0.35">
      <c r="C42" s="1469" t="s">
        <v>1391</v>
      </c>
      <c r="D42" s="1469"/>
      <c r="E42" s="1469"/>
      <c r="F42" s="1469"/>
      <c r="G42" s="1469"/>
      <c r="H42" s="1469"/>
      <c r="I42" s="1469"/>
      <c r="J42" s="1469"/>
      <c r="K42" s="1469"/>
      <c r="L42" s="1469"/>
      <c r="M42" s="1469"/>
      <c r="N42" s="1469"/>
      <c r="O42" s="1469"/>
      <c r="P42" s="1120"/>
      <c r="Q42" s="1120"/>
      <c r="R42" s="1120"/>
      <c r="S42" s="1120"/>
    </row>
    <row r="43" spans="1:19" x14ac:dyDescent="0.35">
      <c r="A43" s="56" t="s">
        <v>1392</v>
      </c>
      <c r="B43" s="56">
        <v>10101</v>
      </c>
      <c r="C43" s="56" t="s">
        <v>1393</v>
      </c>
      <c r="D43" s="56">
        <v>0</v>
      </c>
      <c r="E43" s="56">
        <v>34679</v>
      </c>
      <c r="F43" s="56">
        <v>34258</v>
      </c>
      <c r="G43" s="56">
        <v>22039</v>
      </c>
      <c r="H43" s="56">
        <v>17702</v>
      </c>
      <c r="I43" s="56">
        <v>18699</v>
      </c>
      <c r="J43" s="56">
        <v>20798</v>
      </c>
      <c r="K43" s="56">
        <v>22756</v>
      </c>
      <c r="L43" s="56">
        <v>24658</v>
      </c>
      <c r="M43" s="56">
        <v>26659</v>
      </c>
      <c r="N43" s="56">
        <v>108678</v>
      </c>
      <c r="O43" s="56">
        <v>222248</v>
      </c>
      <c r="P43" s="56"/>
      <c r="Q43" s="56"/>
      <c r="R43" s="56"/>
      <c r="S43" s="56"/>
    </row>
    <row r="44" spans="1:19" x14ac:dyDescent="0.35">
      <c r="A44" s="56" t="s">
        <v>1394</v>
      </c>
      <c r="B44" s="56" t="s">
        <v>1395</v>
      </c>
      <c r="C44" s="56" t="s">
        <v>1393</v>
      </c>
      <c r="D44" s="56">
        <v>0</v>
      </c>
      <c r="E44" s="56">
        <v>113</v>
      </c>
      <c r="F44" s="56">
        <v>314</v>
      </c>
      <c r="G44" s="56">
        <v>470</v>
      </c>
      <c r="H44" s="56">
        <v>642</v>
      </c>
      <c r="I44" s="56">
        <v>812</v>
      </c>
      <c r="J44" s="56">
        <v>973</v>
      </c>
      <c r="K44" s="56">
        <v>1100</v>
      </c>
      <c r="L44" s="56">
        <v>1181</v>
      </c>
      <c r="M44" s="56">
        <v>1245</v>
      </c>
      <c r="N44" s="56">
        <v>1539</v>
      </c>
      <c r="O44" s="56">
        <v>6850</v>
      </c>
      <c r="P44" s="56"/>
      <c r="Q44" s="56"/>
      <c r="R44" s="56"/>
      <c r="S44" s="56"/>
    </row>
    <row r="45" spans="1:19" x14ac:dyDescent="0.35">
      <c r="A45" s="56" t="s">
        <v>1396</v>
      </c>
      <c r="B45" s="56">
        <v>13101</v>
      </c>
      <c r="C45" s="56" t="s">
        <v>1393</v>
      </c>
      <c r="D45" s="56">
        <v>0</v>
      </c>
      <c r="E45" s="56">
        <v>-1562</v>
      </c>
      <c r="F45" s="56">
        <v>-2183</v>
      </c>
      <c r="G45" s="56">
        <v>-3317</v>
      </c>
      <c r="H45" s="56">
        <v>-4822</v>
      </c>
      <c r="I45" s="56">
        <v>-6428</v>
      </c>
      <c r="J45" s="56">
        <v>-7677</v>
      </c>
      <c r="K45" s="56">
        <v>-8232</v>
      </c>
      <c r="L45" s="56">
        <v>-8329</v>
      </c>
      <c r="M45" s="56">
        <v>-8511</v>
      </c>
      <c r="N45" s="56">
        <v>-11885</v>
      </c>
      <c r="O45" s="56">
        <v>-51062</v>
      </c>
      <c r="P45" s="56"/>
      <c r="Q45" s="56"/>
      <c r="R45" s="56"/>
      <c r="S45" s="56"/>
    </row>
    <row r="46" spans="1:19" x14ac:dyDescent="0.35">
      <c r="A46" s="56" t="s">
        <v>1397</v>
      </c>
      <c r="B46" s="56">
        <v>13102</v>
      </c>
      <c r="C46" s="56" t="s">
        <v>1393</v>
      </c>
      <c r="D46" s="56">
        <v>0</v>
      </c>
      <c r="E46" s="56">
        <v>-2140</v>
      </c>
      <c r="F46" s="56">
        <v>-1559</v>
      </c>
      <c r="G46" s="56">
        <v>-2458</v>
      </c>
      <c r="H46" s="56">
        <v>-5367</v>
      </c>
      <c r="I46" s="56">
        <v>-2359</v>
      </c>
      <c r="J46" s="56">
        <v>-48</v>
      </c>
      <c r="K46" s="56">
        <v>-38</v>
      </c>
      <c r="L46" s="56">
        <v>-9</v>
      </c>
      <c r="M46" s="56">
        <v>15</v>
      </c>
      <c r="N46" s="56">
        <v>-11523</v>
      </c>
      <c r="O46" s="56">
        <v>-13962</v>
      </c>
      <c r="P46" s="56"/>
      <c r="Q46" s="56"/>
      <c r="R46" s="56"/>
      <c r="S46" s="56"/>
    </row>
    <row r="47" spans="1:19" x14ac:dyDescent="0.35">
      <c r="A47" s="56" t="s">
        <v>1398</v>
      </c>
      <c r="B47" s="56">
        <v>13104</v>
      </c>
      <c r="C47" s="56" t="s">
        <v>1393</v>
      </c>
      <c r="D47" s="56">
        <v>0</v>
      </c>
      <c r="E47" s="56">
        <v>-22</v>
      </c>
      <c r="F47" s="56">
        <v>-158</v>
      </c>
      <c r="G47" s="56">
        <v>-244</v>
      </c>
      <c r="H47" s="56">
        <v>-257</v>
      </c>
      <c r="I47" s="56">
        <v>-241</v>
      </c>
      <c r="J47" s="56">
        <v>-223</v>
      </c>
      <c r="K47" s="56">
        <v>-202</v>
      </c>
      <c r="L47" s="56">
        <v>-178</v>
      </c>
      <c r="M47" s="56">
        <v>-154</v>
      </c>
      <c r="N47" s="56">
        <v>-681</v>
      </c>
      <c r="O47" s="56">
        <v>-1679</v>
      </c>
      <c r="P47" s="56"/>
      <c r="Q47" s="56"/>
      <c r="R47" s="56"/>
      <c r="S47" s="56"/>
    </row>
    <row r="48" spans="1:19" x14ac:dyDescent="0.35">
      <c r="A48" s="56" t="s">
        <v>1399</v>
      </c>
      <c r="B48" s="56">
        <v>13105</v>
      </c>
      <c r="C48" s="56" t="s">
        <v>1393</v>
      </c>
      <c r="D48" s="56">
        <v>0</v>
      </c>
      <c r="E48" s="56">
        <v>0</v>
      </c>
      <c r="F48" s="56">
        <v>-1138</v>
      </c>
      <c r="G48" s="56">
        <v>-1832</v>
      </c>
      <c r="H48" s="56">
        <v>-1929</v>
      </c>
      <c r="I48" s="56">
        <v>-1996</v>
      </c>
      <c r="J48" s="56">
        <v>-2059</v>
      </c>
      <c r="K48" s="56">
        <v>-2106</v>
      </c>
      <c r="L48" s="56">
        <v>-2225</v>
      </c>
      <c r="M48" s="56">
        <v>-2315</v>
      </c>
      <c r="N48" s="56">
        <v>-4899</v>
      </c>
      <c r="O48" s="56">
        <v>-15600</v>
      </c>
      <c r="P48" s="56"/>
      <c r="Q48" s="56"/>
      <c r="R48" s="56"/>
      <c r="S48" s="56"/>
    </row>
    <row r="49" spans="1:19" x14ac:dyDescent="0.35">
      <c r="A49" s="56" t="s">
        <v>1400</v>
      </c>
      <c r="B49" s="56">
        <v>13303</v>
      </c>
      <c r="C49" s="56" t="s">
        <v>1393</v>
      </c>
      <c r="D49" s="56">
        <v>0</v>
      </c>
      <c r="E49" s="56">
        <v>-62</v>
      </c>
      <c r="F49" s="56">
        <v>-50</v>
      </c>
      <c r="G49" s="56">
        <v>-46</v>
      </c>
      <c r="H49" s="56">
        <v>-42</v>
      </c>
      <c r="I49" s="56">
        <v>-38</v>
      </c>
      <c r="J49" s="56">
        <v>-35</v>
      </c>
      <c r="K49" s="56">
        <v>-32</v>
      </c>
      <c r="L49" s="56">
        <v>-30</v>
      </c>
      <c r="M49" s="56">
        <v>-28</v>
      </c>
      <c r="N49" s="56">
        <v>-200</v>
      </c>
      <c r="O49" s="56">
        <v>-362</v>
      </c>
      <c r="P49" s="56"/>
      <c r="Q49" s="56"/>
      <c r="R49" s="56"/>
      <c r="S49" s="56"/>
    </row>
    <row r="50" spans="1:19" x14ac:dyDescent="0.35">
      <c r="A50" s="56" t="s">
        <v>1401</v>
      </c>
      <c r="B50" s="56" t="s">
        <v>1402</v>
      </c>
      <c r="C50" s="56" t="s">
        <v>1393</v>
      </c>
      <c r="D50" s="56">
        <v>0</v>
      </c>
      <c r="E50" s="56">
        <v>-2376</v>
      </c>
      <c r="F50" s="56">
        <v>-2679</v>
      </c>
      <c r="G50" s="56">
        <v>-2315</v>
      </c>
      <c r="H50" s="56">
        <v>-2572</v>
      </c>
      <c r="I50" s="56">
        <v>-2467</v>
      </c>
      <c r="J50" s="56">
        <v>-2490</v>
      </c>
      <c r="K50" s="56">
        <v>-2638</v>
      </c>
      <c r="L50" s="56">
        <v>-2569</v>
      </c>
      <c r="M50" s="56">
        <v>-2081</v>
      </c>
      <c r="N50" s="56">
        <v>-9943</v>
      </c>
      <c r="O50" s="56">
        <v>-22188</v>
      </c>
      <c r="P50" s="56"/>
      <c r="Q50" s="56"/>
      <c r="R50" s="56"/>
      <c r="S50" s="56"/>
    </row>
    <row r="51" spans="1:19" x14ac:dyDescent="0.35">
      <c r="A51" s="56" t="s">
        <v>1403</v>
      </c>
      <c r="B51" s="56">
        <v>13601</v>
      </c>
      <c r="C51" s="56" t="s">
        <v>1393</v>
      </c>
      <c r="D51" s="56">
        <v>0</v>
      </c>
      <c r="E51" s="56">
        <v>902</v>
      </c>
      <c r="F51" s="56">
        <v>1230</v>
      </c>
      <c r="G51" s="56">
        <v>1271</v>
      </c>
      <c r="H51" s="56">
        <v>1304</v>
      </c>
      <c r="I51" s="56">
        <v>1336</v>
      </c>
      <c r="J51" s="56">
        <v>1368</v>
      </c>
      <c r="K51" s="56">
        <v>1402</v>
      </c>
      <c r="L51" s="56">
        <v>1436</v>
      </c>
      <c r="M51" s="56">
        <v>1470</v>
      </c>
      <c r="N51" s="56">
        <v>4707</v>
      </c>
      <c r="O51" s="56">
        <v>11719</v>
      </c>
      <c r="P51" s="56"/>
      <c r="Q51" s="56"/>
      <c r="R51" s="56"/>
      <c r="S51" s="56"/>
    </row>
    <row r="52" spans="1:19" x14ac:dyDescent="0.35">
      <c r="A52" s="56" t="s">
        <v>1404</v>
      </c>
      <c r="B52" s="56" t="s">
        <v>1405</v>
      </c>
      <c r="C52" s="56" t="s">
        <v>1393</v>
      </c>
      <c r="D52" s="56">
        <v>0</v>
      </c>
      <c r="E52" s="56">
        <v>1</v>
      </c>
      <c r="F52" s="56">
        <v>1</v>
      </c>
      <c r="G52" s="56">
        <v>-678</v>
      </c>
      <c r="H52" s="56">
        <v>-858</v>
      </c>
      <c r="I52" s="56">
        <v>-7820</v>
      </c>
      <c r="J52" s="56">
        <v>-11303</v>
      </c>
      <c r="K52" s="56">
        <v>-12736</v>
      </c>
      <c r="L52" s="56">
        <v>-14927</v>
      </c>
      <c r="M52" s="56">
        <v>-17285</v>
      </c>
      <c r="N52" s="56">
        <v>-1535</v>
      </c>
      <c r="O52" s="56">
        <v>-65606</v>
      </c>
      <c r="P52" s="56"/>
      <c r="Q52" s="56"/>
      <c r="R52" s="56"/>
      <c r="S52" s="56"/>
    </row>
    <row r="53" spans="1:19" x14ac:dyDescent="0.35">
      <c r="A53" s="56" t="s">
        <v>1406</v>
      </c>
      <c r="B53" s="56">
        <v>13901</v>
      </c>
      <c r="C53" s="56" t="s">
        <v>1393</v>
      </c>
      <c r="D53" s="56">
        <v>0</v>
      </c>
      <c r="E53" s="56">
        <v>103</v>
      </c>
      <c r="F53" s="56">
        <v>135</v>
      </c>
      <c r="G53" s="56">
        <v>131</v>
      </c>
      <c r="H53" s="56">
        <v>130</v>
      </c>
      <c r="I53" s="56">
        <v>130</v>
      </c>
      <c r="J53" s="56">
        <v>131</v>
      </c>
      <c r="K53" s="56">
        <v>132</v>
      </c>
      <c r="L53" s="56">
        <v>133</v>
      </c>
      <c r="M53" s="56">
        <v>134</v>
      </c>
      <c r="N53" s="56">
        <v>498</v>
      </c>
      <c r="O53" s="56">
        <v>1159</v>
      </c>
      <c r="P53" s="56"/>
      <c r="Q53" s="56"/>
      <c r="R53" s="56"/>
      <c r="S53" s="56"/>
    </row>
    <row r="54" spans="1:19" x14ac:dyDescent="0.35">
      <c r="A54" s="56" t="s">
        <v>1407</v>
      </c>
      <c r="B54" s="56">
        <v>13902</v>
      </c>
      <c r="C54" s="56" t="s">
        <v>1393</v>
      </c>
      <c r="D54" s="56">
        <v>0</v>
      </c>
      <c r="E54" s="56">
        <v>-16</v>
      </c>
      <c r="F54" s="56">
        <v>-13</v>
      </c>
      <c r="G54" s="56">
        <v>-15</v>
      </c>
      <c r="H54" s="56">
        <v>-16</v>
      </c>
      <c r="I54" s="56">
        <v>-18</v>
      </c>
      <c r="J54" s="56">
        <v>-21</v>
      </c>
      <c r="K54" s="56">
        <v>-22</v>
      </c>
      <c r="L54" s="56">
        <v>-23</v>
      </c>
      <c r="M54" s="56">
        <v>-24</v>
      </c>
      <c r="N54" s="56">
        <v>-60</v>
      </c>
      <c r="O54" s="56">
        <v>-168</v>
      </c>
      <c r="P54" s="56"/>
      <c r="Q54" s="56"/>
      <c r="R54" s="56"/>
      <c r="S54" s="56"/>
    </row>
    <row r="55" spans="1:19" x14ac:dyDescent="0.35">
      <c r="A55" s="56" t="s">
        <v>1408</v>
      </c>
      <c r="B55" s="56" t="s">
        <v>1409</v>
      </c>
      <c r="C55" s="56" t="s">
        <v>1393</v>
      </c>
      <c r="D55" s="56">
        <v>0</v>
      </c>
      <c r="E55" s="56">
        <v>0</v>
      </c>
      <c r="F55" s="56">
        <v>0</v>
      </c>
      <c r="G55" s="56">
        <v>0</v>
      </c>
      <c r="H55" s="56">
        <v>0</v>
      </c>
      <c r="I55" s="56">
        <v>17666</v>
      </c>
      <c r="J55" s="56">
        <v>26198</v>
      </c>
      <c r="K55" s="56">
        <v>9453</v>
      </c>
      <c r="L55" s="56">
        <v>-274</v>
      </c>
      <c r="M55" s="56">
        <v>-284</v>
      </c>
      <c r="N55" s="56">
        <v>0</v>
      </c>
      <c r="O55" s="56">
        <v>52759</v>
      </c>
      <c r="P55" s="56"/>
      <c r="Q55" s="56"/>
      <c r="R55" s="56"/>
      <c r="S55" s="56"/>
    </row>
    <row r="56" spans="1:19" x14ac:dyDescent="0.35">
      <c r="A56" s="56" t="s">
        <v>1410</v>
      </c>
      <c r="B56" s="56">
        <v>60113</v>
      </c>
      <c r="C56" s="56" t="s">
        <v>1393</v>
      </c>
      <c r="D56" s="56">
        <v>0</v>
      </c>
      <c r="E56" s="56">
        <v>0</v>
      </c>
      <c r="F56" s="56">
        <v>0</v>
      </c>
      <c r="G56" s="56">
        <v>0</v>
      </c>
      <c r="H56" s="56">
        <v>850</v>
      </c>
      <c r="I56" s="74">
        <v>1350</v>
      </c>
      <c r="J56" s="74">
        <v>1400</v>
      </c>
      <c r="K56" s="74">
        <v>1200</v>
      </c>
      <c r="L56" s="74">
        <v>1050</v>
      </c>
      <c r="M56" s="56">
        <v>500</v>
      </c>
      <c r="N56" s="56">
        <v>850</v>
      </c>
      <c r="O56" s="74">
        <v>6350</v>
      </c>
      <c r="P56" s="74"/>
      <c r="Q56" s="74"/>
      <c r="R56" s="74"/>
      <c r="S56" s="74"/>
    </row>
    <row r="57" spans="1:19" x14ac:dyDescent="0.35">
      <c r="A57" s="56" t="s">
        <v>1411</v>
      </c>
      <c r="B57" s="56">
        <v>10201</v>
      </c>
      <c r="C57" s="56" t="s">
        <v>1393</v>
      </c>
      <c r="D57" s="56">
        <v>0</v>
      </c>
      <c r="E57" s="56">
        <v>5697</v>
      </c>
      <c r="F57" s="56">
        <v>7875</v>
      </c>
      <c r="G57" s="56">
        <v>8070</v>
      </c>
      <c r="H57" s="56">
        <v>8581</v>
      </c>
      <c r="I57" s="56">
        <v>8882</v>
      </c>
      <c r="J57" s="56">
        <v>8838</v>
      </c>
      <c r="K57" s="56">
        <v>8603</v>
      </c>
      <c r="L57" s="56">
        <v>8500</v>
      </c>
      <c r="M57" s="56">
        <v>8641</v>
      </c>
      <c r="N57" s="56">
        <v>30223</v>
      </c>
      <c r="O57" s="56">
        <v>73686</v>
      </c>
      <c r="P57" s="56"/>
      <c r="Q57" s="56"/>
      <c r="R57" s="56"/>
      <c r="S57" s="56"/>
    </row>
    <row r="58" spans="1:19" x14ac:dyDescent="0.35">
      <c r="A58" s="56" t="s">
        <v>1418</v>
      </c>
      <c r="B58" s="56">
        <v>13304</v>
      </c>
      <c r="C58" s="56" t="s">
        <v>1423</v>
      </c>
      <c r="D58" s="56">
        <v>0</v>
      </c>
      <c r="E58" s="56">
        <v>-273</v>
      </c>
      <c r="F58" s="56">
        <v>-193</v>
      </c>
      <c r="G58" s="56">
        <v>-203</v>
      </c>
      <c r="H58" s="56">
        <v>-216</v>
      </c>
      <c r="I58" s="56">
        <v>-230</v>
      </c>
      <c r="J58" s="56">
        <v>-241</v>
      </c>
      <c r="K58" s="56">
        <v>-240</v>
      </c>
      <c r="L58" s="56">
        <v>-229</v>
      </c>
      <c r="M58" s="56">
        <v>-217</v>
      </c>
      <c r="N58" s="56">
        <v>-887</v>
      </c>
      <c r="O58" s="56">
        <v>-2043</v>
      </c>
      <c r="P58" s="56"/>
      <c r="Q58" s="56"/>
      <c r="R58" s="56"/>
      <c r="S58" s="56"/>
    </row>
    <row r="59" spans="1:19" x14ac:dyDescent="0.35">
      <c r="A59" s="56" t="s">
        <v>1414</v>
      </c>
      <c r="B59" s="56" t="s">
        <v>1415</v>
      </c>
      <c r="C59" s="56" t="s">
        <v>1423</v>
      </c>
      <c r="D59" s="56">
        <v>0</v>
      </c>
      <c r="E59" s="56">
        <v>-2882</v>
      </c>
      <c r="F59" s="56">
        <v>-2038</v>
      </c>
      <c r="G59" s="56">
        <v>-1405</v>
      </c>
      <c r="H59" s="56">
        <v>-554</v>
      </c>
      <c r="I59" s="56">
        <v>-753</v>
      </c>
      <c r="J59" s="56">
        <v>-970</v>
      </c>
      <c r="K59" s="56">
        <v>-1231</v>
      </c>
      <c r="L59" s="56">
        <v>-1581</v>
      </c>
      <c r="M59" s="56">
        <v>-2108</v>
      </c>
      <c r="N59" s="56">
        <v>-6880</v>
      </c>
      <c r="O59" s="56">
        <v>-13523</v>
      </c>
      <c r="P59" s="56"/>
      <c r="Q59" s="56"/>
      <c r="R59" s="56"/>
      <c r="S59" s="56"/>
    </row>
    <row r="60" spans="1:19" x14ac:dyDescent="0.35">
      <c r="A60" s="1137" t="s">
        <v>1412</v>
      </c>
      <c r="B60" s="1138">
        <v>10301</v>
      </c>
      <c r="C60" s="1138" t="s">
        <v>239</v>
      </c>
      <c r="D60" s="1138">
        <v>0</v>
      </c>
      <c r="E60" s="1139">
        <v>2012</v>
      </c>
      <c r="F60" s="1139">
        <v>5106</v>
      </c>
      <c r="G60" s="1139">
        <v>11125</v>
      </c>
      <c r="H60" s="1139">
        <v>16116</v>
      </c>
      <c r="I60" s="1139">
        <v>21716</v>
      </c>
      <c r="J60" s="1139">
        <v>26314</v>
      </c>
      <c r="K60" s="1139">
        <v>31218</v>
      </c>
      <c r="L60" s="1139">
        <v>34877</v>
      </c>
      <c r="M60" s="1139">
        <v>31904</v>
      </c>
      <c r="N60" s="1139">
        <v>34359</v>
      </c>
      <c r="O60" s="1140">
        <v>180388</v>
      </c>
      <c r="P60" s="74"/>
      <c r="Q60" s="74"/>
      <c r="R60" s="74"/>
      <c r="S60" s="74"/>
    </row>
    <row r="61" spans="1:19" x14ac:dyDescent="0.35">
      <c r="A61" s="56" t="s">
        <v>1413</v>
      </c>
      <c r="B61" s="56">
        <v>12001</v>
      </c>
      <c r="C61" s="56" t="s">
        <v>239</v>
      </c>
      <c r="D61" s="56">
        <v>0</v>
      </c>
      <c r="E61" s="56">
        <v>1297</v>
      </c>
      <c r="F61" s="56">
        <v>-10555</v>
      </c>
      <c r="G61" s="56">
        <v>-10586</v>
      </c>
      <c r="H61" s="56">
        <v>-11431</v>
      </c>
      <c r="I61" s="56">
        <v>-154</v>
      </c>
      <c r="J61" s="56">
        <v>132</v>
      </c>
      <c r="K61" s="56">
        <v>53</v>
      </c>
      <c r="L61" s="56">
        <v>6</v>
      </c>
      <c r="M61" s="56">
        <v>0</v>
      </c>
      <c r="N61" s="56">
        <v>-31275</v>
      </c>
      <c r="O61" s="56">
        <v>-31238</v>
      </c>
      <c r="P61" s="56"/>
      <c r="Q61" s="56"/>
      <c r="R61" s="56"/>
      <c r="S61" s="56"/>
    </row>
    <row r="62" spans="1:19" x14ac:dyDescent="0.35">
      <c r="A62" s="56" t="s">
        <v>1416</v>
      </c>
      <c r="B62" s="56">
        <v>13301</v>
      </c>
      <c r="C62" s="56" t="s">
        <v>239</v>
      </c>
      <c r="D62" s="56">
        <v>0</v>
      </c>
      <c r="E62" s="56">
        <v>-1887</v>
      </c>
      <c r="F62" s="56">
        <v>-1348</v>
      </c>
      <c r="G62" s="56">
        <v>-1324</v>
      </c>
      <c r="H62" s="56">
        <v>-1345</v>
      </c>
      <c r="I62" s="56">
        <v>-1327</v>
      </c>
      <c r="J62" s="56">
        <v>-1277</v>
      </c>
      <c r="K62" s="56">
        <v>-1301</v>
      </c>
      <c r="L62" s="56">
        <v>-1314</v>
      </c>
      <c r="M62" s="56">
        <v>-1327</v>
      </c>
      <c r="N62" s="56">
        <v>-5904</v>
      </c>
      <c r="O62" s="56">
        <v>-12451</v>
      </c>
      <c r="P62" s="56"/>
      <c r="Q62" s="56"/>
      <c r="R62" s="56"/>
      <c r="S62" s="56"/>
    </row>
    <row r="63" spans="1:19" x14ac:dyDescent="0.35">
      <c r="A63" s="56" t="s">
        <v>1417</v>
      </c>
      <c r="B63" s="56">
        <v>13302</v>
      </c>
      <c r="C63" s="56" t="s">
        <v>239</v>
      </c>
      <c r="D63" s="56">
        <v>0</v>
      </c>
      <c r="E63" s="56">
        <v>-459</v>
      </c>
      <c r="F63" s="56">
        <v>-1021</v>
      </c>
      <c r="G63" s="56">
        <v>-2692</v>
      </c>
      <c r="H63" s="56">
        <v>-2770</v>
      </c>
      <c r="I63" s="56">
        <v>-2850</v>
      </c>
      <c r="J63" s="56">
        <v>-2935</v>
      </c>
      <c r="K63" s="56">
        <v>-3019</v>
      </c>
      <c r="L63" s="56">
        <v>-3092</v>
      </c>
      <c r="M63" s="56">
        <v>-3185</v>
      </c>
      <c r="N63" s="56">
        <v>-6942</v>
      </c>
      <c r="O63" s="56">
        <v>-22022</v>
      </c>
      <c r="P63" s="56"/>
      <c r="Q63" s="56"/>
      <c r="R63" s="56"/>
      <c r="S63" s="56"/>
    </row>
    <row r="64" spans="1:19" x14ac:dyDescent="0.35">
      <c r="A64" s="56" t="s">
        <v>1419</v>
      </c>
      <c r="B64" s="56" t="s">
        <v>1420</v>
      </c>
      <c r="C64" s="56" t="s">
        <v>239</v>
      </c>
      <c r="D64" s="56">
        <v>0</v>
      </c>
      <c r="E64" s="56">
        <v>-511</v>
      </c>
      <c r="F64" s="56">
        <v>-852</v>
      </c>
      <c r="G64" s="56">
        <v>-1050</v>
      </c>
      <c r="H64" s="56">
        <v>-1275</v>
      </c>
      <c r="I64" s="56">
        <v>-1572</v>
      </c>
      <c r="J64" s="56">
        <v>-1862</v>
      </c>
      <c r="K64" s="56">
        <v>-2104</v>
      </c>
      <c r="L64" s="56">
        <v>-2364</v>
      </c>
      <c r="M64" s="56">
        <v>-2615</v>
      </c>
      <c r="N64" s="56">
        <v>-3689</v>
      </c>
      <c r="O64" s="56">
        <v>-14209</v>
      </c>
      <c r="P64" s="56"/>
      <c r="Q64" s="56"/>
      <c r="R64" s="56"/>
      <c r="S64" s="56"/>
    </row>
    <row r="67" spans="3:19" x14ac:dyDescent="0.35">
      <c r="D67" s="1141">
        <v>2022</v>
      </c>
      <c r="E67" s="1141">
        <v>2023</v>
      </c>
      <c r="F67" s="1141">
        <v>2024</v>
      </c>
      <c r="G67" s="1141">
        <v>2025</v>
      </c>
      <c r="H67" s="1141">
        <v>2026</v>
      </c>
      <c r="I67" s="1141">
        <v>2027</v>
      </c>
      <c r="J67" s="1141">
        <v>2028</v>
      </c>
      <c r="K67" s="1141">
        <v>2029</v>
      </c>
      <c r="L67" s="1141">
        <v>2030</v>
      </c>
      <c r="M67" s="1142">
        <v>2031</v>
      </c>
      <c r="N67" s="1121" t="s">
        <v>1362</v>
      </c>
      <c r="O67" s="1143" t="s">
        <v>1363</v>
      </c>
      <c r="P67" s="1121"/>
      <c r="Q67" s="1121"/>
      <c r="R67" s="1121"/>
      <c r="S67" s="1121"/>
    </row>
    <row r="68" spans="3:19" x14ac:dyDescent="0.35">
      <c r="C68" s="1470" t="s">
        <v>1421</v>
      </c>
      <c r="D68" s="1471"/>
      <c r="E68" s="1471"/>
      <c r="F68" s="1471"/>
      <c r="G68" s="1471"/>
      <c r="H68" s="1471"/>
      <c r="I68" s="1471"/>
      <c r="J68" s="1471"/>
      <c r="K68" s="1471"/>
      <c r="L68" s="1471"/>
      <c r="M68" s="1471"/>
      <c r="N68" s="1471"/>
      <c r="O68" s="1472"/>
      <c r="P68" s="1120"/>
      <c r="Q68" s="1120"/>
      <c r="R68" s="1120"/>
      <c r="S68" s="1120"/>
    </row>
    <row r="69" spans="3:19" x14ac:dyDescent="0.35">
      <c r="C69" s="67" t="s">
        <v>1382</v>
      </c>
      <c r="D69" s="56">
        <f t="shared" ref="D69:O69" si="0">SUM(D3:D8)</f>
        <v>0</v>
      </c>
      <c r="E69" s="56">
        <f t="shared" si="0"/>
        <v>3947</v>
      </c>
      <c r="F69" s="56">
        <f t="shared" si="0"/>
        <v>4202</v>
      </c>
      <c r="G69" s="56">
        <f t="shared" si="0"/>
        <v>6275</v>
      </c>
      <c r="H69" s="56">
        <f t="shared" si="0"/>
        <v>7956</v>
      </c>
      <c r="I69" s="56">
        <f t="shared" si="0"/>
        <v>9969</v>
      </c>
      <c r="J69" s="56">
        <f t="shared" si="0"/>
        <v>12081</v>
      </c>
      <c r="K69" s="56">
        <f t="shared" si="0"/>
        <v>14493</v>
      </c>
      <c r="L69" s="56">
        <f t="shared" si="0"/>
        <v>16921</v>
      </c>
      <c r="M69" s="56">
        <f t="shared" si="0"/>
        <v>17112</v>
      </c>
      <c r="N69" s="56">
        <f t="shared" si="0"/>
        <v>22380</v>
      </c>
      <c r="O69" s="56">
        <f t="shared" si="0"/>
        <v>92956</v>
      </c>
      <c r="P69" s="56"/>
      <c r="Q69" s="56"/>
      <c r="R69" s="56"/>
      <c r="S69" s="56"/>
    </row>
    <row r="70" spans="3:19" x14ac:dyDescent="0.35">
      <c r="C70" s="67" t="s">
        <v>1250</v>
      </c>
      <c r="D70" s="56">
        <f t="shared" ref="D70:O70" si="1">SUM(D9)</f>
        <v>0</v>
      </c>
      <c r="E70" s="56">
        <f t="shared" si="1"/>
        <v>65</v>
      </c>
      <c r="F70" s="56">
        <f t="shared" si="1"/>
        <v>150</v>
      </c>
      <c r="G70" s="56">
        <f t="shared" si="1"/>
        <v>290</v>
      </c>
      <c r="H70" s="56">
        <f t="shared" si="1"/>
        <v>290</v>
      </c>
      <c r="I70" s="56">
        <f t="shared" si="1"/>
        <v>290</v>
      </c>
      <c r="J70" s="56">
        <f t="shared" si="1"/>
        <v>285</v>
      </c>
      <c r="K70" s="56">
        <f t="shared" si="1"/>
        <v>250</v>
      </c>
      <c r="L70" s="56">
        <f t="shared" si="1"/>
        <v>220</v>
      </c>
      <c r="M70" s="56">
        <f t="shared" si="1"/>
        <v>160</v>
      </c>
      <c r="N70" s="67">
        <f t="shared" si="1"/>
        <v>795</v>
      </c>
      <c r="O70" s="239">
        <f t="shared" si="1"/>
        <v>2000</v>
      </c>
      <c r="P70" s="56"/>
      <c r="Q70" s="56"/>
      <c r="R70" s="56"/>
      <c r="S70" s="56"/>
    </row>
    <row r="71" spans="3:19" x14ac:dyDescent="0.35">
      <c r="C71" s="67" t="s">
        <v>210</v>
      </c>
      <c r="D71" s="56">
        <f t="shared" ref="D71:O71" si="2">SUM(D10:D11)</f>
        <v>0</v>
      </c>
      <c r="E71" s="56">
        <f t="shared" si="2"/>
        <v>110</v>
      </c>
      <c r="F71" s="56">
        <f t="shared" si="2"/>
        <v>739</v>
      </c>
      <c r="G71" s="56">
        <f t="shared" si="2"/>
        <v>1195</v>
      </c>
      <c r="H71" s="56">
        <f t="shared" si="2"/>
        <v>1497</v>
      </c>
      <c r="I71" s="56">
        <f t="shared" si="2"/>
        <v>1910</v>
      </c>
      <c r="J71" s="56">
        <f t="shared" si="2"/>
        <v>2405</v>
      </c>
      <c r="K71" s="56">
        <f t="shared" si="2"/>
        <v>2922</v>
      </c>
      <c r="L71" s="56">
        <f t="shared" si="2"/>
        <v>3463</v>
      </c>
      <c r="M71" s="56">
        <f t="shared" si="2"/>
        <v>4007</v>
      </c>
      <c r="N71" s="67">
        <f t="shared" si="2"/>
        <v>3541</v>
      </c>
      <c r="O71" s="239">
        <f t="shared" si="2"/>
        <v>18248</v>
      </c>
      <c r="P71" s="56"/>
      <c r="Q71" s="56"/>
      <c r="R71" s="56"/>
      <c r="S71" s="56"/>
    </row>
    <row r="72" spans="3:19" x14ac:dyDescent="0.35">
      <c r="C72" s="67" t="s">
        <v>211</v>
      </c>
      <c r="D72" s="56">
        <f t="shared" ref="D72:O72" si="3">SUM(D12:D25)</f>
        <v>0</v>
      </c>
      <c r="E72" s="56">
        <f t="shared" si="3"/>
        <v>-415</v>
      </c>
      <c r="F72" s="56">
        <f t="shared" si="3"/>
        <v>2768</v>
      </c>
      <c r="G72" s="56">
        <f t="shared" si="3"/>
        <v>-12473</v>
      </c>
      <c r="H72" s="56">
        <f t="shared" si="3"/>
        <v>-5374</v>
      </c>
      <c r="I72" s="56">
        <f t="shared" si="3"/>
        <v>-25515</v>
      </c>
      <c r="J72" s="56">
        <f t="shared" si="3"/>
        <v>-43975</v>
      </c>
      <c r="K72" s="56">
        <f t="shared" si="3"/>
        <v>-46426</v>
      </c>
      <c r="L72" s="56">
        <f t="shared" si="3"/>
        <v>-56228</v>
      </c>
      <c r="M72" s="56">
        <f t="shared" si="3"/>
        <v>-60581</v>
      </c>
      <c r="N72" s="67">
        <f t="shared" si="3"/>
        <v>-15494</v>
      </c>
      <c r="O72" s="239">
        <f t="shared" si="3"/>
        <v>-248219</v>
      </c>
      <c r="P72" s="56"/>
      <c r="Q72" s="56"/>
      <c r="R72" s="56"/>
      <c r="S72" s="56"/>
    </row>
    <row r="73" spans="3:19" x14ac:dyDescent="0.35">
      <c r="C73" s="67" t="s">
        <v>1384</v>
      </c>
      <c r="D73" s="56">
        <f t="shared" ref="D73:O73" si="4">SUM(D26:D31)</f>
        <v>-622</v>
      </c>
      <c r="E73" s="56">
        <f t="shared" si="4"/>
        <v>21096</v>
      </c>
      <c r="F73" s="56">
        <f t="shared" si="4"/>
        <v>12256</v>
      </c>
      <c r="G73" s="56">
        <f t="shared" si="4"/>
        <v>11149</v>
      </c>
      <c r="H73" s="56">
        <f t="shared" si="4"/>
        <v>-6525</v>
      </c>
      <c r="I73" s="56">
        <f t="shared" si="4"/>
        <v>2029</v>
      </c>
      <c r="J73" s="56">
        <f t="shared" si="4"/>
        <v>2582</v>
      </c>
      <c r="K73" s="56">
        <f t="shared" si="4"/>
        <v>2236</v>
      </c>
      <c r="L73" s="56">
        <f t="shared" si="4"/>
        <v>1411</v>
      </c>
      <c r="M73" s="56">
        <f t="shared" si="4"/>
        <v>772</v>
      </c>
      <c r="N73" s="67">
        <f t="shared" si="4"/>
        <v>37354</v>
      </c>
      <c r="O73" s="239">
        <f t="shared" si="4"/>
        <v>46384</v>
      </c>
      <c r="P73" s="56"/>
      <c r="Q73" s="56"/>
      <c r="R73" s="56"/>
      <c r="S73" s="56"/>
    </row>
    <row r="74" spans="3:19" x14ac:dyDescent="0.35">
      <c r="C74" s="67" t="s">
        <v>1387</v>
      </c>
      <c r="D74" s="56">
        <f t="shared" ref="D74:O74" si="5">SUM(D32:D40)</f>
        <v>0</v>
      </c>
      <c r="E74" s="56">
        <f t="shared" si="5"/>
        <v>1216</v>
      </c>
      <c r="F74" s="56">
        <f t="shared" si="5"/>
        <v>3498</v>
      </c>
      <c r="G74" s="56">
        <f t="shared" si="5"/>
        <v>5088</v>
      </c>
      <c r="H74" s="56">
        <f t="shared" si="5"/>
        <v>6663</v>
      </c>
      <c r="I74" s="56">
        <f t="shared" si="5"/>
        <v>7992</v>
      </c>
      <c r="J74" s="56">
        <f t="shared" si="5"/>
        <v>8297</v>
      </c>
      <c r="K74" s="56">
        <f t="shared" si="5"/>
        <v>8309</v>
      </c>
      <c r="L74" s="56">
        <f t="shared" si="5"/>
        <v>7568</v>
      </c>
      <c r="M74" s="56">
        <f t="shared" si="5"/>
        <v>6524</v>
      </c>
      <c r="N74" s="344">
        <f t="shared" si="5"/>
        <v>16463</v>
      </c>
      <c r="O74" s="240">
        <f t="shared" si="5"/>
        <v>55153</v>
      </c>
      <c r="P74" s="56"/>
      <c r="Q74" s="56"/>
      <c r="R74" s="56"/>
      <c r="S74" s="56"/>
    </row>
    <row r="75" spans="3:19" x14ac:dyDescent="0.35">
      <c r="C75" s="1470" t="s">
        <v>1422</v>
      </c>
      <c r="D75" s="1471"/>
      <c r="E75" s="1471"/>
      <c r="F75" s="1471"/>
      <c r="G75" s="1471"/>
      <c r="H75" s="1471"/>
      <c r="I75" s="1471"/>
      <c r="J75" s="1471"/>
      <c r="K75" s="1471"/>
      <c r="L75" s="1471"/>
      <c r="M75" s="1471"/>
      <c r="N75" s="1471"/>
      <c r="O75" s="1472"/>
      <c r="P75" s="1120"/>
      <c r="Q75" s="1120"/>
      <c r="R75" s="1120"/>
      <c r="S75" s="1120"/>
    </row>
    <row r="76" spans="3:19" x14ac:dyDescent="0.35">
      <c r="C76" s="67" t="s">
        <v>384</v>
      </c>
      <c r="D76" s="56">
        <v>0</v>
      </c>
      <c r="E76" s="56">
        <v>596</v>
      </c>
      <c r="F76" s="56">
        <v>1406</v>
      </c>
      <c r="G76" s="56">
        <v>1885</v>
      </c>
      <c r="H76" s="56">
        <v>2113</v>
      </c>
      <c r="I76" s="56">
        <v>2058</v>
      </c>
      <c r="J76" s="56">
        <v>1745</v>
      </c>
      <c r="K76" s="56">
        <v>1369</v>
      </c>
      <c r="L76" s="56">
        <v>970</v>
      </c>
      <c r="M76" s="56">
        <v>369</v>
      </c>
      <c r="N76" s="892">
        <v>6000</v>
      </c>
      <c r="O76" s="746">
        <v>12511</v>
      </c>
      <c r="P76" s="56"/>
      <c r="Q76" s="56"/>
      <c r="R76" s="56"/>
      <c r="S76" s="56"/>
    </row>
    <row r="77" spans="3:19" x14ac:dyDescent="0.35">
      <c r="C77" s="67" t="s">
        <v>134</v>
      </c>
      <c r="D77" s="56">
        <v>0</v>
      </c>
      <c r="E77" s="56">
        <v>754</v>
      </c>
      <c r="F77" s="56">
        <v>2328</v>
      </c>
      <c r="G77" s="56">
        <v>3782</v>
      </c>
      <c r="H77" s="56">
        <v>5158</v>
      </c>
      <c r="I77" s="56">
        <v>4539</v>
      </c>
      <c r="J77" s="56">
        <v>3010</v>
      </c>
      <c r="K77" s="56">
        <v>1730</v>
      </c>
      <c r="L77" s="56">
        <v>790</v>
      </c>
      <c r="M77" s="56">
        <v>244</v>
      </c>
      <c r="N77" s="67">
        <v>12022</v>
      </c>
      <c r="O77" s="239">
        <v>22335</v>
      </c>
      <c r="P77" s="56"/>
      <c r="Q77" s="56"/>
      <c r="R77" s="56"/>
      <c r="S77" s="56"/>
    </row>
    <row r="78" spans="3:19" x14ac:dyDescent="0.35">
      <c r="C78" s="67" t="s">
        <v>192</v>
      </c>
      <c r="D78" s="56">
        <v>0</v>
      </c>
      <c r="E78" s="56">
        <v>68</v>
      </c>
      <c r="F78" s="56">
        <v>1363</v>
      </c>
      <c r="G78" s="56">
        <v>2433</v>
      </c>
      <c r="H78" s="56">
        <v>2803</v>
      </c>
      <c r="I78" s="56">
        <v>1741</v>
      </c>
      <c r="J78" s="56">
        <v>570</v>
      </c>
      <c r="K78" s="56">
        <v>35</v>
      </c>
      <c r="L78" s="56">
        <v>0</v>
      </c>
      <c r="M78" s="56">
        <v>0</v>
      </c>
      <c r="N78" s="67">
        <v>6667</v>
      </c>
      <c r="O78" s="239">
        <v>9013</v>
      </c>
      <c r="P78" s="56"/>
      <c r="Q78" s="56"/>
      <c r="R78" s="56"/>
      <c r="S78" s="56"/>
    </row>
    <row r="79" spans="3:19" x14ac:dyDescent="0.35">
      <c r="C79" s="67" t="s">
        <v>52</v>
      </c>
      <c r="D79" s="56">
        <v>0</v>
      </c>
      <c r="E79" s="56">
        <v>81</v>
      </c>
      <c r="F79" s="56">
        <v>350</v>
      </c>
      <c r="G79" s="56">
        <v>1354</v>
      </c>
      <c r="H79" s="56">
        <v>2869</v>
      </c>
      <c r="I79" s="56">
        <v>3890</v>
      </c>
      <c r="J79" s="56">
        <v>3430</v>
      </c>
      <c r="K79" s="56">
        <v>2260</v>
      </c>
      <c r="L79" s="56">
        <v>1320</v>
      </c>
      <c r="M79" s="56">
        <v>665</v>
      </c>
      <c r="N79" s="67">
        <v>4654</v>
      </c>
      <c r="O79" s="239">
        <v>16219</v>
      </c>
      <c r="P79" s="56"/>
      <c r="Q79" s="56"/>
      <c r="R79" s="56"/>
      <c r="S79" s="56"/>
    </row>
    <row r="80" spans="3:19" x14ac:dyDescent="0.35">
      <c r="C80" s="67" t="s">
        <v>57</v>
      </c>
      <c r="D80" s="56">
        <v>0</v>
      </c>
      <c r="E80" s="56">
        <v>794</v>
      </c>
      <c r="F80" s="56">
        <v>3183</v>
      </c>
      <c r="G80" s="56">
        <v>5818</v>
      </c>
      <c r="H80" s="56">
        <v>7253</v>
      </c>
      <c r="I80" s="56">
        <v>5628</v>
      </c>
      <c r="J80" s="56">
        <v>1977</v>
      </c>
      <c r="K80" s="56">
        <v>229</v>
      </c>
      <c r="L80" s="56">
        <v>33</v>
      </c>
      <c r="M80" s="56">
        <v>1</v>
      </c>
      <c r="N80" s="67">
        <v>17048</v>
      </c>
      <c r="O80" s="239">
        <v>24916</v>
      </c>
      <c r="P80" s="56"/>
      <c r="Q80" s="56"/>
      <c r="R80" s="56"/>
      <c r="S80" s="56"/>
    </row>
    <row r="81" spans="1:20" x14ac:dyDescent="0.35">
      <c r="C81" s="67"/>
      <c r="N81" s="344"/>
      <c r="O81" s="240"/>
      <c r="P81" s="56"/>
      <c r="Q81" s="56"/>
      <c r="R81" s="56"/>
      <c r="S81" s="56"/>
    </row>
    <row r="82" spans="1:20" x14ac:dyDescent="0.35">
      <c r="C82" s="1470" t="s">
        <v>1391</v>
      </c>
      <c r="D82" s="1471"/>
      <c r="E82" s="1471"/>
      <c r="F82" s="1471"/>
      <c r="G82" s="1471"/>
      <c r="H82" s="1471"/>
      <c r="I82" s="1471"/>
      <c r="J82" s="1471"/>
      <c r="K82" s="1471"/>
      <c r="L82" s="1471"/>
      <c r="M82" s="1471"/>
      <c r="N82" s="1471"/>
      <c r="O82" s="1472"/>
      <c r="P82" s="1120"/>
      <c r="Q82" s="1120"/>
      <c r="R82" s="1120"/>
      <c r="S82" s="1120"/>
    </row>
    <row r="83" spans="1:20" x14ac:dyDescent="0.35">
      <c r="C83" s="67" t="s">
        <v>1393</v>
      </c>
      <c r="D83" s="56">
        <f t="shared" ref="D83:O83" si="6">SUM(D43:D57)</f>
        <v>0</v>
      </c>
      <c r="E83" s="56">
        <f t="shared" si="6"/>
        <v>35317</v>
      </c>
      <c r="F83" s="56">
        <f t="shared" si="6"/>
        <v>36033</v>
      </c>
      <c r="G83" s="56">
        <f t="shared" si="6"/>
        <v>21076</v>
      </c>
      <c r="H83" s="56">
        <f t="shared" si="6"/>
        <v>13346</v>
      </c>
      <c r="I83" s="56">
        <f t="shared" si="6"/>
        <v>27508</v>
      </c>
      <c r="J83" s="56">
        <f t="shared" si="6"/>
        <v>35850</v>
      </c>
      <c r="K83" s="56">
        <f t="shared" si="6"/>
        <v>18640</v>
      </c>
      <c r="L83" s="56">
        <f t="shared" si="6"/>
        <v>8394</v>
      </c>
      <c r="M83" s="56">
        <f t="shared" si="6"/>
        <v>7982</v>
      </c>
      <c r="N83" s="56">
        <f t="shared" si="6"/>
        <v>105769</v>
      </c>
      <c r="O83" s="56">
        <f t="shared" si="6"/>
        <v>204144</v>
      </c>
      <c r="P83" s="56"/>
      <c r="Q83" s="56"/>
      <c r="R83" s="56"/>
      <c r="S83" s="56"/>
    </row>
    <row r="84" spans="1:20" x14ac:dyDescent="0.35">
      <c r="C84" s="67" t="s">
        <v>482</v>
      </c>
      <c r="D84" s="56">
        <f>SUM(D58:D59)</f>
        <v>0</v>
      </c>
      <c r="E84" s="56">
        <f t="shared" ref="E84:O84" si="7">SUM(E58:E59)</f>
        <v>-3155</v>
      </c>
      <c r="F84" s="56">
        <f t="shared" si="7"/>
        <v>-2231</v>
      </c>
      <c r="G84" s="56">
        <f t="shared" si="7"/>
        <v>-1608</v>
      </c>
      <c r="H84" s="56">
        <f t="shared" si="7"/>
        <v>-770</v>
      </c>
      <c r="I84" s="56">
        <f t="shared" si="7"/>
        <v>-983</v>
      </c>
      <c r="J84" s="56">
        <f t="shared" si="7"/>
        <v>-1211</v>
      </c>
      <c r="K84" s="56">
        <f t="shared" si="7"/>
        <v>-1471</v>
      </c>
      <c r="L84" s="56">
        <f t="shared" si="7"/>
        <v>-1810</v>
      </c>
      <c r="M84" s="56">
        <f t="shared" si="7"/>
        <v>-2325</v>
      </c>
      <c r="N84" s="56">
        <f t="shared" si="7"/>
        <v>-7767</v>
      </c>
      <c r="O84" s="56">
        <f t="shared" si="7"/>
        <v>-15566</v>
      </c>
      <c r="P84" s="56"/>
      <c r="Q84" s="56"/>
      <c r="R84" s="56"/>
      <c r="S84" s="56"/>
    </row>
    <row r="85" spans="1:20" x14ac:dyDescent="0.35">
      <c r="C85" s="67" t="s">
        <v>239</v>
      </c>
      <c r="D85" s="56">
        <f>SUM(D60:D64)</f>
        <v>0</v>
      </c>
      <c r="E85" s="56">
        <f t="shared" ref="E85:O85" si="8">SUM(E60:E64)</f>
        <v>452</v>
      </c>
      <c r="F85" s="56">
        <f t="shared" si="8"/>
        <v>-8670</v>
      </c>
      <c r="G85" s="56">
        <f t="shared" si="8"/>
        <v>-4527</v>
      </c>
      <c r="H85" s="56">
        <f t="shared" si="8"/>
        <v>-705</v>
      </c>
      <c r="I85" s="56">
        <f t="shared" si="8"/>
        <v>15813</v>
      </c>
      <c r="J85" s="56">
        <f t="shared" si="8"/>
        <v>20372</v>
      </c>
      <c r="K85" s="56">
        <f t="shared" si="8"/>
        <v>24847</v>
      </c>
      <c r="L85" s="56">
        <f t="shared" si="8"/>
        <v>28113</v>
      </c>
      <c r="M85" s="56">
        <f t="shared" si="8"/>
        <v>24777</v>
      </c>
      <c r="N85" s="56">
        <f t="shared" si="8"/>
        <v>-13451</v>
      </c>
      <c r="O85" s="56">
        <f t="shared" si="8"/>
        <v>100468</v>
      </c>
      <c r="P85" s="56"/>
      <c r="Q85" s="56"/>
      <c r="R85" s="56"/>
      <c r="S85" s="56"/>
    </row>
    <row r="87" spans="1:20" x14ac:dyDescent="0.35">
      <c r="A87" s="47" t="s">
        <v>1373</v>
      </c>
    </row>
    <row r="88" spans="1:20" x14ac:dyDescent="0.35">
      <c r="A88" s="1056" t="s">
        <v>1180</v>
      </c>
      <c r="B88" s="1057" t="s">
        <v>1181</v>
      </c>
      <c r="C88" s="1058">
        <v>2022</v>
      </c>
      <c r="D88" s="1058">
        <v>2023</v>
      </c>
      <c r="E88" s="1058">
        <v>2024</v>
      </c>
      <c r="F88" s="1058">
        <v>2025</v>
      </c>
      <c r="G88" s="1058">
        <v>2026</v>
      </c>
      <c r="H88" s="1058">
        <v>2027</v>
      </c>
      <c r="I88" s="1058">
        <v>2028</v>
      </c>
      <c r="J88" s="1058">
        <v>2029</v>
      </c>
      <c r="K88" s="1058">
        <v>2030</v>
      </c>
      <c r="L88" s="1058">
        <v>2031</v>
      </c>
      <c r="M88" s="1059" t="s">
        <v>1182</v>
      </c>
      <c r="N88" s="1059" t="s">
        <v>1183</v>
      </c>
      <c r="O88" s="1060" t="s">
        <v>1184</v>
      </c>
      <c r="P88" s="1060"/>
      <c r="Q88" s="1060"/>
      <c r="R88" s="1060"/>
      <c r="S88" s="1060"/>
      <c r="T88" s="1061" t="s">
        <v>1185</v>
      </c>
    </row>
    <row r="89" spans="1:20" x14ac:dyDescent="0.35">
      <c r="A89" s="1062" t="s">
        <v>1186</v>
      </c>
      <c r="B89" s="1063" t="s">
        <v>1187</v>
      </c>
      <c r="C89" s="1064">
        <v>0</v>
      </c>
      <c r="D89" s="1064">
        <v>3</v>
      </c>
      <c r="E89" s="1064">
        <v>3</v>
      </c>
      <c r="F89" s="1064">
        <v>3</v>
      </c>
      <c r="G89" s="1064">
        <v>3</v>
      </c>
      <c r="H89" s="1064">
        <v>1</v>
      </c>
      <c r="I89" s="1064">
        <v>0</v>
      </c>
      <c r="J89" s="1064">
        <v>0</v>
      </c>
      <c r="K89" s="1064">
        <v>0</v>
      </c>
      <c r="L89" s="1064">
        <v>0</v>
      </c>
      <c r="M89" s="1064">
        <v>12</v>
      </c>
      <c r="N89" s="1064">
        <v>13</v>
      </c>
      <c r="O89" s="1065" t="s">
        <v>1188</v>
      </c>
      <c r="P89" s="1065"/>
      <c r="Q89" s="1065"/>
      <c r="R89" s="1065"/>
      <c r="S89" s="1065"/>
      <c r="T89" s="1066"/>
    </row>
    <row r="90" spans="1:20" ht="24" customHeight="1" x14ac:dyDescent="0.35">
      <c r="A90" s="1062" t="s">
        <v>1189</v>
      </c>
      <c r="B90" s="1063" t="s">
        <v>1190</v>
      </c>
      <c r="C90" s="1064">
        <v>0</v>
      </c>
      <c r="D90" s="1064">
        <v>65</v>
      </c>
      <c r="E90" s="1064">
        <v>1360</v>
      </c>
      <c r="F90" s="1064">
        <v>2430</v>
      </c>
      <c r="G90" s="1064">
        <v>2800</v>
      </c>
      <c r="H90" s="1064">
        <v>1740</v>
      </c>
      <c r="I90" s="1064">
        <v>570</v>
      </c>
      <c r="J90" s="1064">
        <v>35</v>
      </c>
      <c r="K90" s="1064">
        <v>0</v>
      </c>
      <c r="L90" s="1064">
        <v>0</v>
      </c>
      <c r="M90" s="1064">
        <v>6655</v>
      </c>
      <c r="N90" s="1064">
        <v>9000</v>
      </c>
      <c r="O90" s="1065" t="s">
        <v>1188</v>
      </c>
      <c r="P90" s="1065"/>
      <c r="Q90" s="1065"/>
      <c r="R90" s="1065"/>
      <c r="S90" s="1065"/>
      <c r="T90" s="1067"/>
    </row>
    <row r="91" spans="1:20" x14ac:dyDescent="0.35">
      <c r="A91" s="1068" t="s">
        <v>1191</v>
      </c>
      <c r="B91" s="1069" t="s">
        <v>1192</v>
      </c>
      <c r="C91" s="1070">
        <v>0</v>
      </c>
      <c r="D91" s="1070">
        <v>0</v>
      </c>
      <c r="E91" s="1070">
        <v>601</v>
      </c>
      <c r="F91" s="1071">
        <v>1038</v>
      </c>
      <c r="G91" s="1071">
        <v>1251</v>
      </c>
      <c r="H91" s="1071">
        <v>1431</v>
      </c>
      <c r="I91" s="1071">
        <v>1492</v>
      </c>
      <c r="J91" s="1071">
        <v>1530</v>
      </c>
      <c r="K91" s="1071">
        <v>1567</v>
      </c>
      <c r="L91" s="1071">
        <v>1606</v>
      </c>
      <c r="M91" s="1071">
        <v>2890</v>
      </c>
      <c r="N91" s="1071">
        <v>10516</v>
      </c>
      <c r="O91" s="1072" t="s">
        <v>1193</v>
      </c>
      <c r="P91" s="1072"/>
      <c r="Q91" s="1072"/>
      <c r="R91" s="1072"/>
      <c r="S91" s="1072"/>
      <c r="T91" s="1073"/>
    </row>
    <row r="92" spans="1:20" x14ac:dyDescent="0.35">
      <c r="A92" s="1074" t="s">
        <v>1194</v>
      </c>
      <c r="B92" s="1075" t="s">
        <v>1195</v>
      </c>
      <c r="C92" s="1141">
        <v>0</v>
      </c>
      <c r="D92" s="1141">
        <v>30</v>
      </c>
      <c r="E92" s="1141">
        <v>120</v>
      </c>
      <c r="F92" s="1141">
        <v>165</v>
      </c>
      <c r="G92" s="1141">
        <v>370</v>
      </c>
      <c r="H92" s="1141">
        <v>470</v>
      </c>
      <c r="I92" s="1141">
        <v>420</v>
      </c>
      <c r="J92" s="1141">
        <v>285</v>
      </c>
      <c r="K92" s="1141">
        <v>220</v>
      </c>
      <c r="L92" s="1142">
        <v>65</v>
      </c>
      <c r="M92" s="1141">
        <v>685</v>
      </c>
      <c r="N92" s="1076">
        <v>2145</v>
      </c>
      <c r="O92" s="1077" t="s">
        <v>1196</v>
      </c>
      <c r="P92" s="1122"/>
      <c r="Q92" s="1122"/>
      <c r="R92" s="1122"/>
      <c r="S92" s="1122"/>
      <c r="T92" s="1078" t="s">
        <v>1197</v>
      </c>
    </row>
    <row r="93" spans="1:20" x14ac:dyDescent="0.35">
      <c r="A93" s="1062" t="s">
        <v>1198</v>
      </c>
      <c r="B93" s="1063" t="s">
        <v>1199</v>
      </c>
      <c r="C93" s="1064">
        <v>0</v>
      </c>
      <c r="D93" s="1064">
        <v>2</v>
      </c>
      <c r="E93" s="1064">
        <v>10</v>
      </c>
      <c r="F93" s="1064">
        <v>25</v>
      </c>
      <c r="G93" s="1064">
        <v>28</v>
      </c>
      <c r="H93" s="1064">
        <v>17</v>
      </c>
      <c r="I93" s="1064">
        <v>11</v>
      </c>
      <c r="J93" s="1064">
        <v>4</v>
      </c>
      <c r="K93" s="1064">
        <v>2</v>
      </c>
      <c r="L93" s="1064">
        <v>1</v>
      </c>
      <c r="M93" s="1064">
        <v>65</v>
      </c>
      <c r="N93" s="1064">
        <v>100</v>
      </c>
      <c r="O93" s="1065" t="s">
        <v>1196</v>
      </c>
      <c r="P93" s="1065"/>
      <c r="Q93" s="1065"/>
      <c r="R93" s="1065"/>
      <c r="S93" s="1065"/>
      <c r="T93" s="1066" t="s">
        <v>1200</v>
      </c>
    </row>
    <row r="94" spans="1:20" ht="24" customHeight="1" x14ac:dyDescent="0.35">
      <c r="A94" s="1079" t="s">
        <v>1201</v>
      </c>
      <c r="B94" s="1080" t="s">
        <v>1202</v>
      </c>
      <c r="C94" s="1064">
        <v>0</v>
      </c>
      <c r="D94" s="1064">
        <v>36</v>
      </c>
      <c r="E94" s="1064">
        <v>30</v>
      </c>
      <c r="F94" s="1064">
        <v>14</v>
      </c>
      <c r="G94" s="1064">
        <v>7</v>
      </c>
      <c r="H94" s="1064">
        <v>0</v>
      </c>
      <c r="I94" s="1064">
        <v>0</v>
      </c>
      <c r="J94" s="1064">
        <v>0</v>
      </c>
      <c r="K94" s="1064">
        <v>0</v>
      </c>
      <c r="L94" s="1064">
        <v>0</v>
      </c>
      <c r="M94" s="1064">
        <v>87</v>
      </c>
      <c r="N94" s="1064">
        <v>87</v>
      </c>
      <c r="O94" s="1065" t="s">
        <v>1196</v>
      </c>
      <c r="P94" s="1065"/>
      <c r="Q94" s="1065"/>
      <c r="R94" s="1065"/>
      <c r="S94" s="1065"/>
      <c r="T94" s="1066" t="s">
        <v>1203</v>
      </c>
    </row>
    <row r="95" spans="1:20" x14ac:dyDescent="0.35">
      <c r="A95" s="1062" t="s">
        <v>1204</v>
      </c>
      <c r="B95" s="1063" t="s">
        <v>1205</v>
      </c>
      <c r="C95" s="1064">
        <v>0</v>
      </c>
      <c r="D95" s="1081">
        <v>5240</v>
      </c>
      <c r="E95" s="1081">
        <v>4175</v>
      </c>
      <c r="F95" s="1081">
        <v>5215</v>
      </c>
      <c r="G95" s="1081">
        <v>6493</v>
      </c>
      <c r="H95" s="1081">
        <v>7982</v>
      </c>
      <c r="I95" s="1081">
        <v>9820</v>
      </c>
      <c r="J95" s="1081">
        <v>11813</v>
      </c>
      <c r="K95" s="1081">
        <v>14269</v>
      </c>
      <c r="L95" s="1081">
        <v>14605</v>
      </c>
      <c r="M95" s="1081">
        <v>21123</v>
      </c>
      <c r="N95" s="1081">
        <v>79612</v>
      </c>
      <c r="O95" s="1082" t="s">
        <v>1196</v>
      </c>
      <c r="P95" s="1082"/>
      <c r="Q95" s="1082"/>
      <c r="R95" s="1082"/>
      <c r="S95" s="1082"/>
      <c r="T95" s="1066"/>
    </row>
    <row r="96" spans="1:20" x14ac:dyDescent="0.35">
      <c r="A96" s="1062" t="s">
        <v>1206</v>
      </c>
      <c r="B96" s="1063" t="s">
        <v>1207</v>
      </c>
      <c r="C96" s="1083">
        <v>0</v>
      </c>
      <c r="D96" s="1083">
        <v>55</v>
      </c>
      <c r="E96" s="1083">
        <v>55</v>
      </c>
      <c r="F96" s="1083">
        <v>55</v>
      </c>
      <c r="G96" s="1083">
        <v>55</v>
      </c>
      <c r="H96" s="1083">
        <v>55</v>
      </c>
      <c r="I96" s="1083">
        <v>55</v>
      </c>
      <c r="J96" s="1083">
        <v>55</v>
      </c>
      <c r="K96" s="1083">
        <v>55</v>
      </c>
      <c r="L96" s="1083">
        <v>55</v>
      </c>
      <c r="M96" s="1083">
        <v>220</v>
      </c>
      <c r="N96" s="1083">
        <v>495</v>
      </c>
      <c r="O96" s="1084" t="s">
        <v>1196</v>
      </c>
      <c r="P96" s="1084"/>
      <c r="Q96" s="1084"/>
      <c r="R96" s="1084"/>
      <c r="S96" s="1084"/>
      <c r="T96" s="1067"/>
    </row>
    <row r="97" spans="1:20" x14ac:dyDescent="0.35">
      <c r="A97" s="1062" t="s">
        <v>1208</v>
      </c>
      <c r="B97" s="1063" t="s">
        <v>1209</v>
      </c>
      <c r="C97" s="1064">
        <v>0</v>
      </c>
      <c r="D97" s="1064">
        <v>19</v>
      </c>
      <c r="E97" s="1064">
        <v>26</v>
      </c>
      <c r="F97" s="1064">
        <v>27</v>
      </c>
      <c r="G97" s="1064">
        <v>17</v>
      </c>
      <c r="H97" s="1064">
        <v>7</v>
      </c>
      <c r="I97" s="1064">
        <v>3</v>
      </c>
      <c r="J97" s="1064">
        <v>1</v>
      </c>
      <c r="K97" s="1064">
        <v>0</v>
      </c>
      <c r="L97" s="1064">
        <v>0</v>
      </c>
      <c r="M97" s="1064">
        <v>89</v>
      </c>
      <c r="N97" s="1064">
        <v>100</v>
      </c>
      <c r="O97" s="1082" t="s">
        <v>1196</v>
      </c>
      <c r="P97" s="1082"/>
      <c r="Q97" s="1082"/>
      <c r="R97" s="1082"/>
      <c r="S97" s="1082"/>
      <c r="T97" s="1067"/>
    </row>
    <row r="98" spans="1:20" x14ac:dyDescent="0.35">
      <c r="A98" s="1062" t="s">
        <v>1210</v>
      </c>
      <c r="B98" s="1063" t="s">
        <v>1211</v>
      </c>
      <c r="C98" s="1064">
        <v>0</v>
      </c>
      <c r="D98" s="1064">
        <v>15</v>
      </c>
      <c r="E98" s="1064">
        <v>15</v>
      </c>
      <c r="F98" s="1064">
        <v>15</v>
      </c>
      <c r="G98" s="1064">
        <v>10</v>
      </c>
      <c r="H98" s="1064">
        <v>10</v>
      </c>
      <c r="I98" s="1064">
        <v>10</v>
      </c>
      <c r="J98" s="1064">
        <v>10</v>
      </c>
      <c r="K98" s="1064">
        <v>10</v>
      </c>
      <c r="L98" s="1064">
        <v>5</v>
      </c>
      <c r="M98" s="1064">
        <v>55</v>
      </c>
      <c r="N98" s="1064">
        <v>100</v>
      </c>
      <c r="O98" s="1065" t="s">
        <v>1196</v>
      </c>
      <c r="P98" s="1065"/>
      <c r="Q98" s="1065"/>
      <c r="R98" s="1065"/>
      <c r="S98" s="1065"/>
      <c r="T98" s="1067"/>
    </row>
    <row r="99" spans="1:20" ht="36" customHeight="1" x14ac:dyDescent="0.35">
      <c r="A99" s="1062" t="s">
        <v>1212</v>
      </c>
      <c r="B99" s="1063" t="s">
        <v>1213</v>
      </c>
      <c r="C99" s="1085">
        <v>0</v>
      </c>
      <c r="D99" s="1085">
        <v>22</v>
      </c>
      <c r="E99" s="1085">
        <v>96</v>
      </c>
      <c r="F99" s="1085">
        <v>170</v>
      </c>
      <c r="G99" s="1085">
        <v>213</v>
      </c>
      <c r="H99" s="1085">
        <v>160</v>
      </c>
      <c r="I99" s="1085">
        <v>47</v>
      </c>
      <c r="J99" s="1085">
        <v>2</v>
      </c>
      <c r="K99" s="1085">
        <v>0</v>
      </c>
      <c r="L99" s="1085">
        <v>0</v>
      </c>
      <c r="M99" s="1085">
        <v>501</v>
      </c>
      <c r="N99" s="1085">
        <v>710</v>
      </c>
      <c r="O99" s="1064" t="s">
        <v>1196</v>
      </c>
      <c r="P99" s="1064"/>
      <c r="Q99" s="1064"/>
      <c r="R99" s="1064"/>
      <c r="S99" s="1064"/>
      <c r="T99" s="1067"/>
    </row>
    <row r="100" spans="1:20" ht="36" customHeight="1" x14ac:dyDescent="0.35">
      <c r="A100" s="1062" t="s">
        <v>1214</v>
      </c>
      <c r="B100" s="1063" t="s">
        <v>1215</v>
      </c>
      <c r="C100" s="1086"/>
      <c r="D100" s="1086">
        <v>90</v>
      </c>
      <c r="E100" s="1086">
        <v>260</v>
      </c>
      <c r="F100" s="1086">
        <v>427</v>
      </c>
      <c r="G100" s="1086">
        <v>560</v>
      </c>
      <c r="H100" s="1086">
        <v>572</v>
      </c>
      <c r="I100" s="1086">
        <v>534</v>
      </c>
      <c r="J100" s="1086">
        <v>275</v>
      </c>
      <c r="K100" s="1086">
        <v>162</v>
      </c>
      <c r="L100" s="1086">
        <v>70</v>
      </c>
      <c r="M100" s="1086">
        <v>1347</v>
      </c>
      <c r="N100" s="1086">
        <v>2960</v>
      </c>
      <c r="O100" s="1087" t="s">
        <v>1196</v>
      </c>
      <c r="P100" s="1087"/>
      <c r="Q100" s="1087"/>
      <c r="R100" s="1087"/>
      <c r="S100" s="1087"/>
      <c r="T100" s="1067"/>
    </row>
    <row r="101" spans="1:20" x14ac:dyDescent="0.35">
      <c r="A101" s="1062" t="s">
        <v>1216</v>
      </c>
      <c r="B101" s="1063" t="s">
        <v>1217</v>
      </c>
      <c r="C101" s="1064">
        <v>0</v>
      </c>
      <c r="D101" s="1064">
        <v>40</v>
      </c>
      <c r="E101" s="1064">
        <v>60</v>
      </c>
      <c r="F101" s="1064">
        <v>52</v>
      </c>
      <c r="G101" s="1064">
        <v>40</v>
      </c>
      <c r="H101" s="1064">
        <v>27</v>
      </c>
      <c r="I101" s="1064">
        <v>19</v>
      </c>
      <c r="J101" s="1064">
        <v>10</v>
      </c>
      <c r="K101" s="1064">
        <v>2</v>
      </c>
      <c r="L101" s="1064">
        <v>0</v>
      </c>
      <c r="M101" s="1064">
        <v>192</v>
      </c>
      <c r="N101" s="1064">
        <v>250</v>
      </c>
      <c r="O101" s="1065" t="s">
        <v>1196</v>
      </c>
      <c r="P101" s="1065"/>
      <c r="Q101" s="1065"/>
      <c r="R101" s="1065"/>
      <c r="S101" s="1065"/>
      <c r="T101" s="1067"/>
    </row>
    <row r="102" spans="1:20" x14ac:dyDescent="0.35">
      <c r="A102" s="1079" t="s">
        <v>1218</v>
      </c>
      <c r="B102" s="1080" t="s">
        <v>1219</v>
      </c>
      <c r="C102" s="1064">
        <v>0</v>
      </c>
      <c r="D102" s="1064">
        <v>49</v>
      </c>
      <c r="E102" s="1064">
        <v>62</v>
      </c>
      <c r="F102" s="1064">
        <v>62</v>
      </c>
      <c r="G102" s="1064">
        <v>62</v>
      </c>
      <c r="H102" s="1064">
        <v>63</v>
      </c>
      <c r="I102" s="1064">
        <v>63</v>
      </c>
      <c r="J102" s="1064">
        <v>63</v>
      </c>
      <c r="K102" s="1064">
        <v>64</v>
      </c>
      <c r="L102" s="1064">
        <v>12</v>
      </c>
      <c r="M102" s="1064">
        <v>235</v>
      </c>
      <c r="N102" s="1064">
        <v>500</v>
      </c>
      <c r="O102" s="1065" t="s">
        <v>1196</v>
      </c>
      <c r="P102" s="1065"/>
      <c r="Q102" s="1065"/>
      <c r="R102" s="1065"/>
      <c r="S102" s="1065"/>
      <c r="T102" s="1067"/>
    </row>
    <row r="103" spans="1:20" x14ac:dyDescent="0.35">
      <c r="A103" s="1062" t="s">
        <v>1220</v>
      </c>
      <c r="B103" s="1063" t="s">
        <v>1221</v>
      </c>
      <c r="C103" s="1064">
        <v>0</v>
      </c>
      <c r="D103" s="1064">
        <v>0</v>
      </c>
      <c r="E103" s="1064">
        <v>0</v>
      </c>
      <c r="F103" s="1064">
        <v>0</v>
      </c>
      <c r="G103" s="1064">
        <v>-20</v>
      </c>
      <c r="H103" s="1064">
        <v>-28</v>
      </c>
      <c r="I103" s="1064">
        <v>-28</v>
      </c>
      <c r="J103" s="1064">
        <v>-28</v>
      </c>
      <c r="K103" s="1064">
        <v>-28</v>
      </c>
      <c r="L103" s="1064">
        <v>-28</v>
      </c>
      <c r="M103" s="1064">
        <v>-20</v>
      </c>
      <c r="N103" s="1064">
        <v>-160</v>
      </c>
      <c r="O103" s="1065" t="s">
        <v>1196</v>
      </c>
      <c r="P103" s="1065"/>
      <c r="Q103" s="1065"/>
      <c r="R103" s="1065"/>
      <c r="S103" s="1065"/>
      <c r="T103" s="1067"/>
    </row>
    <row r="104" spans="1:20" ht="24" customHeight="1" x14ac:dyDescent="0.35">
      <c r="A104" s="1062" t="s">
        <v>1222</v>
      </c>
      <c r="B104" s="1063" t="s">
        <v>1223</v>
      </c>
      <c r="C104" s="1064">
        <v>0</v>
      </c>
      <c r="D104" s="1064">
        <v>-235</v>
      </c>
      <c r="E104" s="1064">
        <v>-44</v>
      </c>
      <c r="F104" s="1064">
        <v>-22</v>
      </c>
      <c r="G104" s="1064">
        <v>-26</v>
      </c>
      <c r="H104" s="1064">
        <v>-23</v>
      </c>
      <c r="I104" s="1064">
        <v>-19</v>
      </c>
      <c r="J104" s="1064">
        <v>-41</v>
      </c>
      <c r="K104" s="1064">
        <v>-35</v>
      </c>
      <c r="L104" s="1064">
        <v>-39</v>
      </c>
      <c r="M104" s="1064">
        <v>-327</v>
      </c>
      <c r="N104" s="1064">
        <v>-484</v>
      </c>
      <c r="O104" s="1065" t="s">
        <v>1196</v>
      </c>
      <c r="P104" s="1065"/>
      <c r="Q104" s="1065"/>
      <c r="R104" s="1065"/>
      <c r="S104" s="1065"/>
      <c r="T104" s="1067"/>
    </row>
    <row r="105" spans="1:20" x14ac:dyDescent="0.35">
      <c r="A105" s="1062" t="s">
        <v>1224</v>
      </c>
      <c r="B105" s="1063" t="s">
        <v>1225</v>
      </c>
      <c r="C105" s="1064">
        <v>0</v>
      </c>
      <c r="D105" s="1064">
        <v>7</v>
      </c>
      <c r="E105" s="1064">
        <v>8</v>
      </c>
      <c r="F105" s="1064">
        <v>6</v>
      </c>
      <c r="G105" s="1064">
        <v>2</v>
      </c>
      <c r="H105" s="1064">
        <v>1</v>
      </c>
      <c r="I105" s="1064">
        <v>0</v>
      </c>
      <c r="J105" s="1064">
        <v>0</v>
      </c>
      <c r="K105" s="1064">
        <v>0</v>
      </c>
      <c r="L105" s="1064">
        <v>0</v>
      </c>
      <c r="M105" s="1064">
        <v>23</v>
      </c>
      <c r="N105" s="1064">
        <v>24</v>
      </c>
      <c r="O105" s="1065" t="s">
        <v>1196</v>
      </c>
      <c r="P105" s="1065"/>
      <c r="Q105" s="1065"/>
      <c r="R105" s="1065"/>
      <c r="S105" s="1065"/>
      <c r="T105" s="1067"/>
    </row>
    <row r="106" spans="1:20" ht="36" customHeight="1" x14ac:dyDescent="0.35">
      <c r="A106" s="1062" t="s">
        <v>1226</v>
      </c>
      <c r="B106" s="1063" t="s">
        <v>1227</v>
      </c>
      <c r="C106" s="1064">
        <v>0</v>
      </c>
      <c r="D106" s="1064">
        <v>50</v>
      </c>
      <c r="E106" s="1064">
        <v>77</v>
      </c>
      <c r="F106" s="1064">
        <v>87</v>
      </c>
      <c r="G106" s="1064">
        <v>81</v>
      </c>
      <c r="H106" s="1064">
        <v>50</v>
      </c>
      <c r="I106" s="1064">
        <v>30</v>
      </c>
      <c r="J106" s="1064">
        <v>10</v>
      </c>
      <c r="K106" s="1064">
        <v>0</v>
      </c>
      <c r="L106" s="1064">
        <v>0</v>
      </c>
      <c r="M106" s="1064">
        <v>295</v>
      </c>
      <c r="N106" s="1064">
        <v>385</v>
      </c>
      <c r="O106" s="1065" t="s">
        <v>1196</v>
      </c>
      <c r="P106" s="1065"/>
      <c r="Q106" s="1065"/>
      <c r="R106" s="1065"/>
      <c r="S106" s="1065"/>
      <c r="T106" s="1067"/>
    </row>
    <row r="107" spans="1:20" x14ac:dyDescent="0.35">
      <c r="A107" s="1079" t="s">
        <v>1228</v>
      </c>
      <c r="B107" s="1080" t="s">
        <v>1229</v>
      </c>
      <c r="C107" s="1064">
        <v>0</v>
      </c>
      <c r="D107" s="1064">
        <v>3</v>
      </c>
      <c r="E107" s="1064">
        <v>2</v>
      </c>
      <c r="F107" s="1064">
        <v>0</v>
      </c>
      <c r="G107" s="1064">
        <v>0</v>
      </c>
      <c r="H107" s="1064">
        <v>0</v>
      </c>
      <c r="I107" s="1064">
        <v>0</v>
      </c>
      <c r="J107" s="1064">
        <v>0</v>
      </c>
      <c r="K107" s="1064">
        <v>0</v>
      </c>
      <c r="L107" s="1064">
        <v>0</v>
      </c>
      <c r="M107" s="1064">
        <v>5</v>
      </c>
      <c r="N107" s="1064">
        <v>5</v>
      </c>
      <c r="O107" s="1065" t="s">
        <v>1230</v>
      </c>
      <c r="P107" s="1065"/>
      <c r="Q107" s="1065"/>
      <c r="R107" s="1065"/>
      <c r="S107" s="1065"/>
      <c r="T107" s="1067"/>
    </row>
    <row r="108" spans="1:20" x14ac:dyDescent="0.35">
      <c r="A108" s="1079" t="s">
        <v>1231</v>
      </c>
      <c r="B108" s="1080" t="s">
        <v>1232</v>
      </c>
      <c r="C108" s="1064">
        <v>0</v>
      </c>
      <c r="D108" s="1064">
        <v>70</v>
      </c>
      <c r="E108" s="1064">
        <v>80</v>
      </c>
      <c r="F108" s="1064">
        <v>62</v>
      </c>
      <c r="G108" s="1064">
        <v>25</v>
      </c>
      <c r="H108" s="1064">
        <v>13</v>
      </c>
      <c r="I108" s="1064">
        <v>0</v>
      </c>
      <c r="J108" s="1064">
        <v>0</v>
      </c>
      <c r="K108" s="1064">
        <v>0</v>
      </c>
      <c r="L108" s="1064">
        <v>0</v>
      </c>
      <c r="M108" s="1064">
        <v>237</v>
      </c>
      <c r="N108" s="1064">
        <v>250</v>
      </c>
      <c r="O108" s="1065" t="s">
        <v>1230</v>
      </c>
      <c r="P108" s="1065"/>
      <c r="Q108" s="1065"/>
      <c r="R108" s="1065"/>
      <c r="S108" s="1065"/>
      <c r="T108" s="1067"/>
    </row>
    <row r="109" spans="1:20" ht="24" customHeight="1" x14ac:dyDescent="0.35">
      <c r="A109" s="1079" t="s">
        <v>1233</v>
      </c>
      <c r="B109" s="1080" t="s">
        <v>1234</v>
      </c>
      <c r="C109" s="1083">
        <v>0</v>
      </c>
      <c r="D109" s="1083">
        <v>33</v>
      </c>
      <c r="E109" s="1083">
        <v>54</v>
      </c>
      <c r="F109" s="1083">
        <v>37</v>
      </c>
      <c r="G109" s="1083">
        <v>16</v>
      </c>
      <c r="H109" s="1083">
        <v>0</v>
      </c>
      <c r="I109" s="1083">
        <v>0</v>
      </c>
      <c r="J109" s="1083">
        <v>0</v>
      </c>
      <c r="K109" s="1083">
        <v>0</v>
      </c>
      <c r="L109" s="1083">
        <v>0</v>
      </c>
      <c r="M109" s="1083">
        <v>140</v>
      </c>
      <c r="N109" s="1083">
        <v>140</v>
      </c>
      <c r="O109" s="1065" t="s">
        <v>1196</v>
      </c>
      <c r="P109" s="1065"/>
      <c r="Q109" s="1065"/>
      <c r="R109" s="1065"/>
      <c r="S109" s="1065"/>
      <c r="T109" s="1067"/>
    </row>
    <row r="110" spans="1:20" x14ac:dyDescent="0.35">
      <c r="A110" s="1062" t="s">
        <v>1235</v>
      </c>
      <c r="B110" s="1063" t="s">
        <v>1236</v>
      </c>
      <c r="C110" s="1064">
        <v>0</v>
      </c>
      <c r="D110" s="1064">
        <v>40</v>
      </c>
      <c r="E110" s="1064">
        <v>40</v>
      </c>
      <c r="F110" s="1064">
        <v>30</v>
      </c>
      <c r="G110" s="1064">
        <v>10</v>
      </c>
      <c r="H110" s="1064">
        <v>5</v>
      </c>
      <c r="I110" s="1064">
        <v>0</v>
      </c>
      <c r="J110" s="1064">
        <v>0</v>
      </c>
      <c r="K110" s="1064">
        <v>0</v>
      </c>
      <c r="L110" s="1064">
        <v>0</v>
      </c>
      <c r="M110" s="1064">
        <v>120</v>
      </c>
      <c r="N110" s="1064">
        <v>125</v>
      </c>
      <c r="O110" s="1065" t="s">
        <v>1196</v>
      </c>
      <c r="P110" s="1065"/>
      <c r="Q110" s="1065"/>
      <c r="R110" s="1065"/>
      <c r="S110" s="1065"/>
      <c r="T110" s="1067"/>
    </row>
    <row r="111" spans="1:20" x14ac:dyDescent="0.35">
      <c r="A111" s="1079" t="s">
        <v>1237</v>
      </c>
      <c r="B111" s="1063" t="s">
        <v>1238</v>
      </c>
      <c r="C111" s="1064">
        <v>0</v>
      </c>
      <c r="D111" s="1064">
        <v>5</v>
      </c>
      <c r="E111" s="1064">
        <v>8</v>
      </c>
      <c r="F111" s="1064">
        <v>8</v>
      </c>
      <c r="G111" s="1064">
        <v>8</v>
      </c>
      <c r="H111" s="1064">
        <v>4</v>
      </c>
      <c r="I111" s="1064">
        <v>0</v>
      </c>
      <c r="J111" s="1064">
        <v>0</v>
      </c>
      <c r="K111" s="1064">
        <v>0</v>
      </c>
      <c r="L111" s="1064">
        <v>0</v>
      </c>
      <c r="M111" s="1064">
        <v>29</v>
      </c>
      <c r="N111" s="1064">
        <v>33</v>
      </c>
      <c r="O111" s="1065" t="s">
        <v>1196</v>
      </c>
      <c r="P111" s="1065"/>
      <c r="Q111" s="1065"/>
      <c r="R111" s="1065"/>
      <c r="S111" s="1065"/>
      <c r="T111" s="1067"/>
    </row>
    <row r="112" spans="1:20" x14ac:dyDescent="0.35">
      <c r="A112" s="1062" t="s">
        <v>1239</v>
      </c>
      <c r="B112" s="1080" t="s">
        <v>1240</v>
      </c>
      <c r="C112" s="1064">
        <v>0</v>
      </c>
      <c r="D112" s="1064">
        <v>3</v>
      </c>
      <c r="E112" s="1064">
        <v>8</v>
      </c>
      <c r="F112" s="1064">
        <v>8</v>
      </c>
      <c r="G112" s="1064">
        <v>8</v>
      </c>
      <c r="H112" s="1064">
        <v>3</v>
      </c>
      <c r="I112" s="1064">
        <v>0</v>
      </c>
      <c r="J112" s="1064">
        <v>0</v>
      </c>
      <c r="K112" s="1064">
        <v>0</v>
      </c>
      <c r="L112" s="1064">
        <v>0</v>
      </c>
      <c r="M112" s="1064">
        <v>27</v>
      </c>
      <c r="N112" s="1064">
        <v>30</v>
      </c>
      <c r="O112" s="1065" t="s">
        <v>1196</v>
      </c>
      <c r="P112" s="1065"/>
      <c r="Q112" s="1065"/>
      <c r="R112" s="1065"/>
      <c r="S112" s="1065"/>
      <c r="T112" s="1067"/>
    </row>
    <row r="113" spans="1:20" ht="24" customHeight="1" x14ac:dyDescent="0.35">
      <c r="A113" s="1062" t="s">
        <v>1241</v>
      </c>
      <c r="B113" s="1063" t="s">
        <v>1242</v>
      </c>
      <c r="C113" s="1083">
        <v>0</v>
      </c>
      <c r="D113" s="1083">
        <v>165</v>
      </c>
      <c r="E113" s="1083">
        <v>165</v>
      </c>
      <c r="F113" s="1083">
        <v>230</v>
      </c>
      <c r="G113" s="1083">
        <v>340</v>
      </c>
      <c r="H113" s="1083">
        <v>490</v>
      </c>
      <c r="I113" s="1083">
        <v>540</v>
      </c>
      <c r="J113" s="1083">
        <v>640</v>
      </c>
      <c r="K113" s="1083">
        <v>475</v>
      </c>
      <c r="L113" s="1083">
        <v>330</v>
      </c>
      <c r="M113" s="1083">
        <v>900</v>
      </c>
      <c r="N113" s="1083">
        <v>3375</v>
      </c>
      <c r="O113" s="1082" t="s">
        <v>1196</v>
      </c>
      <c r="P113" s="1082"/>
      <c r="Q113" s="1082"/>
      <c r="R113" s="1082"/>
      <c r="S113" s="1082"/>
      <c r="T113" s="1067"/>
    </row>
    <row r="114" spans="1:20" ht="24" customHeight="1" x14ac:dyDescent="0.35">
      <c r="A114" s="1088" t="s">
        <v>1212</v>
      </c>
      <c r="B114" s="1089" t="s">
        <v>1243</v>
      </c>
      <c r="C114" s="1064">
        <v>0</v>
      </c>
      <c r="D114" s="1064">
        <v>195</v>
      </c>
      <c r="E114" s="1064">
        <v>448</v>
      </c>
      <c r="F114" s="1064">
        <v>641</v>
      </c>
      <c r="G114" s="1064">
        <v>716</v>
      </c>
      <c r="H114" s="1064">
        <v>681</v>
      </c>
      <c r="I114" s="1064">
        <v>528</v>
      </c>
      <c r="J114" s="1064">
        <v>421</v>
      </c>
      <c r="K114" s="1064">
        <v>323</v>
      </c>
      <c r="L114" s="1064">
        <v>23</v>
      </c>
      <c r="M114" s="1081">
        <v>2000</v>
      </c>
      <c r="N114" s="1081">
        <v>3976</v>
      </c>
      <c r="O114" s="1082" t="s">
        <v>1196</v>
      </c>
      <c r="P114" s="1082"/>
      <c r="Q114" s="1082"/>
      <c r="R114" s="1082"/>
      <c r="S114" s="1082"/>
      <c r="T114" s="1090"/>
    </row>
    <row r="115" spans="1:20" ht="30" customHeight="1" x14ac:dyDescent="0.35">
      <c r="A115" s="1074" t="s">
        <v>1244</v>
      </c>
      <c r="B115" s="1075" t="s">
        <v>1245</v>
      </c>
      <c r="C115" s="1091">
        <v>0</v>
      </c>
      <c r="D115" s="1091">
        <v>20</v>
      </c>
      <c r="E115" s="1091">
        <v>57</v>
      </c>
      <c r="F115" s="1091">
        <v>96</v>
      </c>
      <c r="G115" s="1091">
        <v>150</v>
      </c>
      <c r="H115" s="1091">
        <v>200</v>
      </c>
      <c r="I115" s="1091">
        <v>185</v>
      </c>
      <c r="J115" s="1091">
        <v>147</v>
      </c>
      <c r="K115" s="1091">
        <v>106</v>
      </c>
      <c r="L115" s="1091">
        <v>39</v>
      </c>
      <c r="M115" s="1091">
        <v>323</v>
      </c>
      <c r="N115" s="1092">
        <v>1000</v>
      </c>
      <c r="O115" s="1093" t="s">
        <v>1246</v>
      </c>
      <c r="P115" s="1123"/>
      <c r="Q115" s="1123"/>
      <c r="R115" s="1123"/>
      <c r="S115" s="1123"/>
      <c r="T115" s="1094" t="s">
        <v>1247</v>
      </c>
    </row>
    <row r="116" spans="1:20" x14ac:dyDescent="0.35">
      <c r="A116" s="1079" t="s">
        <v>1248</v>
      </c>
      <c r="B116" s="1063" t="s">
        <v>1249</v>
      </c>
      <c r="C116" s="1064">
        <v>0</v>
      </c>
      <c r="D116" s="1064">
        <v>15</v>
      </c>
      <c r="E116" s="1064">
        <v>53</v>
      </c>
      <c r="F116" s="1064">
        <v>57</v>
      </c>
      <c r="G116" s="1064">
        <v>48</v>
      </c>
      <c r="H116" s="1064">
        <v>43</v>
      </c>
      <c r="I116" s="1064">
        <v>17</v>
      </c>
      <c r="J116" s="1064">
        <v>2</v>
      </c>
      <c r="K116" s="1064">
        <v>0</v>
      </c>
      <c r="L116" s="1064">
        <v>0</v>
      </c>
      <c r="M116" s="1064">
        <v>173</v>
      </c>
      <c r="N116" s="1064">
        <v>235</v>
      </c>
      <c r="O116" s="1065" t="s">
        <v>1250</v>
      </c>
      <c r="P116" s="1065"/>
      <c r="Q116" s="1065"/>
      <c r="R116" s="1065"/>
      <c r="S116" s="1065"/>
      <c r="T116" s="1066" t="s">
        <v>1251</v>
      </c>
    </row>
    <row r="117" spans="1:20" x14ac:dyDescent="0.35">
      <c r="A117" s="1062" t="s">
        <v>1252</v>
      </c>
      <c r="B117" s="1063" t="s">
        <v>1253</v>
      </c>
      <c r="C117" s="1064">
        <v>0</v>
      </c>
      <c r="D117" s="1064">
        <v>15</v>
      </c>
      <c r="E117" s="1064">
        <v>53</v>
      </c>
      <c r="F117" s="1064">
        <v>57</v>
      </c>
      <c r="G117" s="1064">
        <v>48</v>
      </c>
      <c r="H117" s="1064">
        <v>43</v>
      </c>
      <c r="I117" s="1064">
        <v>17</v>
      </c>
      <c r="J117" s="1064">
        <v>2</v>
      </c>
      <c r="K117" s="1064">
        <v>0</v>
      </c>
      <c r="L117" s="1064">
        <v>0</v>
      </c>
      <c r="M117" s="1064">
        <v>173</v>
      </c>
      <c r="N117" s="1064">
        <v>235</v>
      </c>
      <c r="O117" s="1065" t="s">
        <v>1250</v>
      </c>
      <c r="P117" s="1065"/>
      <c r="Q117" s="1065"/>
      <c r="R117" s="1065"/>
      <c r="S117" s="1065"/>
      <c r="T117" s="1066" t="s">
        <v>1251</v>
      </c>
    </row>
    <row r="118" spans="1:20" x14ac:dyDescent="0.35">
      <c r="A118" s="1079" t="s">
        <v>1254</v>
      </c>
      <c r="B118" s="1080" t="s">
        <v>1255</v>
      </c>
      <c r="C118" s="1064">
        <v>0</v>
      </c>
      <c r="D118" s="1064">
        <v>42</v>
      </c>
      <c r="E118" s="1064">
        <v>18</v>
      </c>
      <c r="F118" s="1064">
        <v>0</v>
      </c>
      <c r="G118" s="1064">
        <v>0</v>
      </c>
      <c r="H118" s="1064">
        <v>0</v>
      </c>
      <c r="I118" s="1064">
        <v>0</v>
      </c>
      <c r="J118" s="1064">
        <v>0</v>
      </c>
      <c r="K118" s="1064">
        <v>0</v>
      </c>
      <c r="L118" s="1064">
        <v>0</v>
      </c>
      <c r="M118" s="1064">
        <v>60</v>
      </c>
      <c r="N118" s="1064">
        <v>60</v>
      </c>
      <c r="O118" s="1065" t="s">
        <v>1246</v>
      </c>
      <c r="P118" s="1065"/>
      <c r="Q118" s="1065"/>
      <c r="R118" s="1065"/>
      <c r="S118" s="1065"/>
      <c r="T118" s="1067" t="s">
        <v>1256</v>
      </c>
    </row>
    <row r="119" spans="1:20" x14ac:dyDescent="0.35">
      <c r="A119" s="1062" t="s">
        <v>1257</v>
      </c>
      <c r="B119" s="1063" t="s">
        <v>1258</v>
      </c>
      <c r="C119" s="1064">
        <v>0</v>
      </c>
      <c r="D119" s="1064">
        <v>2</v>
      </c>
      <c r="E119" s="1064">
        <v>13</v>
      </c>
      <c r="F119" s="1064">
        <v>26</v>
      </c>
      <c r="G119" s="1064">
        <v>30</v>
      </c>
      <c r="H119" s="1064">
        <v>24</v>
      </c>
      <c r="I119" s="1064">
        <v>0</v>
      </c>
      <c r="J119" s="1064">
        <v>0</v>
      </c>
      <c r="K119" s="1064">
        <v>0</v>
      </c>
      <c r="L119" s="1064">
        <v>0</v>
      </c>
      <c r="M119" s="1064">
        <v>71</v>
      </c>
      <c r="N119" s="1064">
        <v>95</v>
      </c>
      <c r="O119" s="1065" t="s">
        <v>1246</v>
      </c>
      <c r="P119" s="1065"/>
      <c r="Q119" s="1065"/>
      <c r="R119" s="1065"/>
      <c r="S119" s="1065"/>
      <c r="T119" s="1066" t="s">
        <v>1259</v>
      </c>
    </row>
    <row r="120" spans="1:20" ht="36" customHeight="1" x14ac:dyDescent="0.35">
      <c r="A120" s="1062" t="s">
        <v>1260</v>
      </c>
      <c r="B120" s="1063" t="s">
        <v>1261</v>
      </c>
      <c r="C120" s="1064">
        <v>0</v>
      </c>
      <c r="D120" s="1064">
        <v>3</v>
      </c>
      <c r="E120" s="1064">
        <v>19</v>
      </c>
      <c r="F120" s="1064">
        <v>67</v>
      </c>
      <c r="G120" s="1064">
        <v>86</v>
      </c>
      <c r="H120" s="1064">
        <v>59</v>
      </c>
      <c r="I120" s="1064">
        <v>35</v>
      </c>
      <c r="J120" s="1064">
        <v>19</v>
      </c>
      <c r="K120" s="1064">
        <v>6</v>
      </c>
      <c r="L120" s="1064">
        <v>0</v>
      </c>
      <c r="M120" s="1064">
        <v>175</v>
      </c>
      <c r="N120" s="1064">
        <v>294</v>
      </c>
      <c r="O120" s="1065" t="s">
        <v>1246</v>
      </c>
      <c r="P120" s="1065"/>
      <c r="Q120" s="1065"/>
      <c r="R120" s="1065"/>
      <c r="S120" s="1065"/>
      <c r="T120" s="1090" t="s">
        <v>1262</v>
      </c>
    </row>
    <row r="121" spans="1:20" x14ac:dyDescent="0.35">
      <c r="A121" s="1062" t="s">
        <v>1263</v>
      </c>
      <c r="B121" s="1063" t="s">
        <v>1264</v>
      </c>
      <c r="C121" s="1064">
        <v>0</v>
      </c>
      <c r="D121" s="1064">
        <v>65</v>
      </c>
      <c r="E121" s="1064">
        <v>150</v>
      </c>
      <c r="F121" s="1064">
        <v>290</v>
      </c>
      <c r="G121" s="1064">
        <v>290</v>
      </c>
      <c r="H121" s="1064">
        <v>290</v>
      </c>
      <c r="I121" s="1064">
        <v>285</v>
      </c>
      <c r="J121" s="1064">
        <v>250</v>
      </c>
      <c r="K121" s="1064">
        <v>220</v>
      </c>
      <c r="L121" s="1064">
        <v>160</v>
      </c>
      <c r="M121" s="1064">
        <v>795</v>
      </c>
      <c r="N121" s="1081">
        <v>2000</v>
      </c>
      <c r="O121" s="1065" t="s">
        <v>1246</v>
      </c>
      <c r="P121" s="1065"/>
      <c r="Q121" s="1065"/>
      <c r="R121" s="1065"/>
      <c r="S121" s="1065"/>
      <c r="T121" s="1067"/>
    </row>
    <row r="122" spans="1:20" x14ac:dyDescent="0.35">
      <c r="A122" s="1062" t="s">
        <v>1265</v>
      </c>
      <c r="B122" s="1063" t="s">
        <v>1266</v>
      </c>
      <c r="C122" s="1064">
        <v>0</v>
      </c>
      <c r="D122" s="1064">
        <v>5</v>
      </c>
      <c r="E122" s="1064">
        <v>20</v>
      </c>
      <c r="F122" s="1064">
        <v>65</v>
      </c>
      <c r="G122" s="1064">
        <v>105</v>
      </c>
      <c r="H122" s="1064">
        <v>140</v>
      </c>
      <c r="I122" s="1064">
        <v>175</v>
      </c>
      <c r="J122" s="1064">
        <v>210</v>
      </c>
      <c r="K122" s="1064">
        <v>150</v>
      </c>
      <c r="L122" s="1064">
        <v>35</v>
      </c>
      <c r="M122" s="1064">
        <v>195</v>
      </c>
      <c r="N122" s="1064">
        <v>905</v>
      </c>
      <c r="O122" s="1095" t="s">
        <v>1246</v>
      </c>
      <c r="P122" s="1095"/>
      <c r="Q122" s="1095"/>
      <c r="R122" s="1095"/>
      <c r="S122" s="1095"/>
      <c r="T122" s="1096"/>
    </row>
    <row r="123" spans="1:20" x14ac:dyDescent="0.35">
      <c r="A123" s="1062" t="s">
        <v>1267</v>
      </c>
      <c r="B123" s="1063" t="s">
        <v>1268</v>
      </c>
      <c r="C123" s="1064">
        <v>0</v>
      </c>
      <c r="D123" s="1064">
        <v>10</v>
      </c>
      <c r="E123" s="1064">
        <v>150</v>
      </c>
      <c r="F123" s="1064">
        <v>300</v>
      </c>
      <c r="G123" s="1064">
        <v>590</v>
      </c>
      <c r="H123" s="1064">
        <v>460</v>
      </c>
      <c r="I123" s="1064">
        <v>295</v>
      </c>
      <c r="J123" s="1064">
        <v>195</v>
      </c>
      <c r="K123" s="1064">
        <v>0</v>
      </c>
      <c r="L123" s="1064">
        <v>0</v>
      </c>
      <c r="M123" s="1081">
        <v>1050</v>
      </c>
      <c r="N123" s="1081">
        <v>2000</v>
      </c>
      <c r="O123" s="1065" t="s">
        <v>1246</v>
      </c>
      <c r="P123" s="1065"/>
      <c r="Q123" s="1065"/>
      <c r="R123" s="1065"/>
      <c r="S123" s="1065"/>
      <c r="T123" s="1067"/>
    </row>
    <row r="124" spans="1:20" x14ac:dyDescent="0.35">
      <c r="A124" s="1062" t="s">
        <v>1269</v>
      </c>
      <c r="B124" s="1063" t="s">
        <v>1270</v>
      </c>
      <c r="C124" s="1064"/>
      <c r="D124" s="1064"/>
      <c r="E124" s="1064"/>
      <c r="F124" s="1064"/>
      <c r="G124" s="1064"/>
      <c r="H124" s="1064"/>
      <c r="I124" s="1064"/>
      <c r="J124" s="1064"/>
      <c r="K124" s="1064"/>
      <c r="L124" s="1064"/>
      <c r="M124" s="1064"/>
      <c r="N124" s="1064"/>
      <c r="O124" s="1065"/>
      <c r="P124" s="1065"/>
      <c r="Q124" s="1065"/>
      <c r="R124" s="1065"/>
      <c r="S124" s="1065"/>
      <c r="T124" s="1067"/>
    </row>
    <row r="125" spans="1:20" ht="24" customHeight="1" x14ac:dyDescent="0.35">
      <c r="A125" s="1079" t="s">
        <v>1271</v>
      </c>
      <c r="B125" s="1080" t="s">
        <v>1272</v>
      </c>
      <c r="C125" s="1083">
        <v>0</v>
      </c>
      <c r="D125" s="1083">
        <v>72</v>
      </c>
      <c r="E125" s="1083">
        <v>123</v>
      </c>
      <c r="F125" s="1083">
        <v>122</v>
      </c>
      <c r="G125" s="1083">
        <v>115</v>
      </c>
      <c r="H125" s="1083">
        <v>55</v>
      </c>
      <c r="I125" s="1083">
        <v>55</v>
      </c>
      <c r="J125" s="1083">
        <v>33</v>
      </c>
      <c r="K125" s="1083">
        <v>0</v>
      </c>
      <c r="L125" s="1083">
        <v>0</v>
      </c>
      <c r="M125" s="1083">
        <v>432</v>
      </c>
      <c r="N125" s="1083">
        <v>575</v>
      </c>
      <c r="O125" s="1064" t="s">
        <v>1246</v>
      </c>
      <c r="P125" s="1064"/>
      <c r="Q125" s="1064"/>
      <c r="R125" s="1064"/>
      <c r="S125" s="1064"/>
      <c r="T125" s="1067"/>
    </row>
    <row r="126" spans="1:20" x14ac:dyDescent="0.35">
      <c r="A126" s="1062" t="s">
        <v>1273</v>
      </c>
      <c r="B126" s="1063" t="s">
        <v>1274</v>
      </c>
      <c r="C126" s="1064">
        <v>0</v>
      </c>
      <c r="D126" s="1064">
        <v>1</v>
      </c>
      <c r="E126" s="1064">
        <v>2</v>
      </c>
      <c r="F126" s="1064">
        <v>2</v>
      </c>
      <c r="G126" s="1064">
        <v>2</v>
      </c>
      <c r="H126" s="1064">
        <v>2</v>
      </c>
      <c r="I126" s="1064">
        <v>2</v>
      </c>
      <c r="J126" s="1064">
        <v>2</v>
      </c>
      <c r="K126" s="1064">
        <v>2</v>
      </c>
      <c r="L126" s="1064">
        <v>1</v>
      </c>
      <c r="M126" s="1064">
        <v>7</v>
      </c>
      <c r="N126" s="1064">
        <v>16</v>
      </c>
      <c r="O126" s="1065" t="s">
        <v>1246</v>
      </c>
      <c r="P126" s="1065"/>
      <c r="Q126" s="1065"/>
      <c r="R126" s="1065"/>
      <c r="S126" s="1065"/>
      <c r="T126" s="1067"/>
    </row>
    <row r="127" spans="1:20" x14ac:dyDescent="0.35">
      <c r="A127" s="1062" t="s">
        <v>1275</v>
      </c>
      <c r="B127" s="1063" t="s">
        <v>1276</v>
      </c>
      <c r="C127" s="1064">
        <v>0</v>
      </c>
      <c r="D127" s="1064">
        <v>49</v>
      </c>
      <c r="E127" s="1064">
        <v>190</v>
      </c>
      <c r="F127" s="1064">
        <v>379</v>
      </c>
      <c r="G127" s="1064">
        <v>531</v>
      </c>
      <c r="H127" s="1064">
        <v>619</v>
      </c>
      <c r="I127" s="1064">
        <v>580</v>
      </c>
      <c r="J127" s="1064">
        <v>387</v>
      </c>
      <c r="K127" s="1064">
        <v>196</v>
      </c>
      <c r="L127" s="1064">
        <v>69</v>
      </c>
      <c r="M127" s="1081">
        <v>1149</v>
      </c>
      <c r="N127" s="1081">
        <v>3000</v>
      </c>
      <c r="O127" s="1065" t="s">
        <v>1246</v>
      </c>
      <c r="P127" s="1065"/>
      <c r="Q127" s="1065"/>
      <c r="R127" s="1065"/>
      <c r="S127" s="1065"/>
      <c r="T127" s="1067"/>
    </row>
    <row r="128" spans="1:20" x14ac:dyDescent="0.35">
      <c r="A128" s="1079" t="s">
        <v>1277</v>
      </c>
      <c r="B128" s="1080" t="s">
        <v>1278</v>
      </c>
      <c r="C128" s="1064">
        <v>0</v>
      </c>
      <c r="D128" s="1064">
        <v>22</v>
      </c>
      <c r="E128" s="1064">
        <v>22</v>
      </c>
      <c r="F128" s="1064">
        <v>6</v>
      </c>
      <c r="G128" s="1064">
        <v>0</v>
      </c>
      <c r="H128" s="1064">
        <v>0</v>
      </c>
      <c r="I128" s="1064">
        <v>0</v>
      </c>
      <c r="J128" s="1064">
        <v>0</v>
      </c>
      <c r="K128" s="1064">
        <v>0</v>
      </c>
      <c r="L128" s="1064">
        <v>0</v>
      </c>
      <c r="M128" s="1064">
        <v>50</v>
      </c>
      <c r="N128" s="1064">
        <v>50</v>
      </c>
      <c r="O128" s="1065" t="s">
        <v>1246</v>
      </c>
      <c r="P128" s="1065"/>
      <c r="Q128" s="1065"/>
      <c r="R128" s="1065"/>
      <c r="S128" s="1065"/>
      <c r="T128" s="1066"/>
    </row>
    <row r="129" spans="1:20" x14ac:dyDescent="0.35">
      <c r="A129" s="1062" t="s">
        <v>1279</v>
      </c>
      <c r="B129" s="1063" t="s">
        <v>1280</v>
      </c>
      <c r="C129" s="1064">
        <v>0</v>
      </c>
      <c r="D129" s="1064">
        <v>30</v>
      </c>
      <c r="E129" s="1064">
        <v>30</v>
      </c>
      <c r="F129" s="1064">
        <v>40</v>
      </c>
      <c r="G129" s="1064">
        <v>15</v>
      </c>
      <c r="H129" s="1064">
        <v>5</v>
      </c>
      <c r="I129" s="1064">
        <v>5</v>
      </c>
      <c r="J129" s="1064">
        <v>0</v>
      </c>
      <c r="K129" s="1064">
        <v>0</v>
      </c>
      <c r="L129" s="1064">
        <v>0</v>
      </c>
      <c r="M129" s="1064">
        <v>115</v>
      </c>
      <c r="N129" s="1064">
        <v>125</v>
      </c>
      <c r="O129" s="1065" t="s">
        <v>1246</v>
      </c>
      <c r="P129" s="1065"/>
      <c r="Q129" s="1065"/>
      <c r="R129" s="1065"/>
      <c r="S129" s="1065"/>
      <c r="T129" s="1067"/>
    </row>
    <row r="130" spans="1:20" x14ac:dyDescent="0.35">
      <c r="A130" s="1062" t="s">
        <v>1281</v>
      </c>
      <c r="B130" s="1063" t="s">
        <v>1282</v>
      </c>
      <c r="C130" s="1064">
        <v>0</v>
      </c>
      <c r="D130" s="1064">
        <v>10</v>
      </c>
      <c r="E130" s="1064">
        <v>230</v>
      </c>
      <c r="F130" s="1064">
        <v>660</v>
      </c>
      <c r="G130" s="1064">
        <v>945</v>
      </c>
      <c r="H130" s="1064">
        <v>605</v>
      </c>
      <c r="I130" s="1064">
        <v>100</v>
      </c>
      <c r="J130" s="1064">
        <v>0</v>
      </c>
      <c r="K130" s="1064">
        <v>0</v>
      </c>
      <c r="L130" s="1064">
        <v>0</v>
      </c>
      <c r="M130" s="1081">
        <v>1845</v>
      </c>
      <c r="N130" s="1081">
        <v>2550</v>
      </c>
      <c r="O130" s="1065" t="s">
        <v>1246</v>
      </c>
      <c r="P130" s="1065"/>
      <c r="Q130" s="1065"/>
      <c r="R130" s="1065"/>
      <c r="S130" s="1065"/>
      <c r="T130" s="1067"/>
    </row>
    <row r="131" spans="1:20" x14ac:dyDescent="0.35">
      <c r="A131" s="1062" t="s">
        <v>1283</v>
      </c>
      <c r="B131" s="1063" t="s">
        <v>1284</v>
      </c>
      <c r="C131" s="1064">
        <v>0</v>
      </c>
      <c r="D131" s="1064">
        <v>10</v>
      </c>
      <c r="E131" s="1064">
        <v>45</v>
      </c>
      <c r="F131" s="1064">
        <v>70</v>
      </c>
      <c r="G131" s="1064">
        <v>100</v>
      </c>
      <c r="H131" s="1064">
        <v>100</v>
      </c>
      <c r="I131" s="1064">
        <v>100</v>
      </c>
      <c r="J131" s="1064">
        <v>100</v>
      </c>
      <c r="K131" s="1064">
        <v>100</v>
      </c>
      <c r="L131" s="1064">
        <v>100</v>
      </c>
      <c r="M131" s="1064">
        <v>225</v>
      </c>
      <c r="N131" s="1064">
        <v>725</v>
      </c>
      <c r="O131" s="1065" t="s">
        <v>1246</v>
      </c>
      <c r="P131" s="1065"/>
      <c r="Q131" s="1065"/>
      <c r="R131" s="1065"/>
      <c r="S131" s="1065"/>
      <c r="T131" s="1067"/>
    </row>
    <row r="132" spans="1:20" x14ac:dyDescent="0.35">
      <c r="A132" s="1079" t="s">
        <v>1285</v>
      </c>
      <c r="B132" s="1080" t="s">
        <v>1286</v>
      </c>
      <c r="C132" s="1064">
        <v>0</v>
      </c>
      <c r="D132" s="1064">
        <v>14</v>
      </c>
      <c r="E132" s="1064">
        <v>11</v>
      </c>
      <c r="F132" s="1064">
        <v>0</v>
      </c>
      <c r="G132" s="1064">
        <v>0</v>
      </c>
      <c r="H132" s="1064">
        <v>0</v>
      </c>
      <c r="I132" s="1064">
        <v>0</v>
      </c>
      <c r="J132" s="1064">
        <v>0</v>
      </c>
      <c r="K132" s="1064">
        <v>0</v>
      </c>
      <c r="L132" s="1064">
        <v>0</v>
      </c>
      <c r="M132" s="1064">
        <v>25</v>
      </c>
      <c r="N132" s="1064">
        <v>25</v>
      </c>
      <c r="O132" s="1065" t="s">
        <v>1250</v>
      </c>
      <c r="P132" s="1065"/>
      <c r="Q132" s="1065"/>
      <c r="R132" s="1065"/>
      <c r="S132" s="1065"/>
      <c r="T132" s="1066"/>
    </row>
    <row r="133" spans="1:20" x14ac:dyDescent="0.35">
      <c r="A133" s="1079" t="s">
        <v>1287</v>
      </c>
      <c r="B133" s="1080" t="s">
        <v>1288</v>
      </c>
      <c r="C133" s="1064">
        <v>0</v>
      </c>
      <c r="D133" s="1064">
        <v>84</v>
      </c>
      <c r="E133" s="1064">
        <v>320</v>
      </c>
      <c r="F133" s="1064">
        <v>638</v>
      </c>
      <c r="G133" s="1064">
        <v>928</v>
      </c>
      <c r="H133" s="1064">
        <v>940</v>
      </c>
      <c r="I133" s="1064">
        <v>720</v>
      </c>
      <c r="J133" s="1064">
        <v>300</v>
      </c>
      <c r="K133" s="1064">
        <v>120</v>
      </c>
      <c r="L133" s="1064">
        <v>0</v>
      </c>
      <c r="M133" s="1081">
        <v>1970</v>
      </c>
      <c r="N133" s="1081">
        <v>4050</v>
      </c>
      <c r="O133" s="1065" t="s">
        <v>1250</v>
      </c>
      <c r="P133" s="1065"/>
      <c r="Q133" s="1065"/>
      <c r="R133" s="1065"/>
      <c r="S133" s="1065"/>
      <c r="T133" s="1067"/>
    </row>
    <row r="134" spans="1:20" x14ac:dyDescent="0.35">
      <c r="A134" s="1062" t="s">
        <v>1289</v>
      </c>
      <c r="B134" s="1063" t="s">
        <v>1290</v>
      </c>
      <c r="C134" s="1064">
        <v>0</v>
      </c>
      <c r="D134" s="1064">
        <v>40</v>
      </c>
      <c r="E134" s="1064">
        <v>200</v>
      </c>
      <c r="F134" s="1064">
        <v>400</v>
      </c>
      <c r="G134" s="1064">
        <v>660</v>
      </c>
      <c r="H134" s="1064">
        <v>640</v>
      </c>
      <c r="I134" s="1064">
        <v>515</v>
      </c>
      <c r="J134" s="1064">
        <v>240</v>
      </c>
      <c r="K134" s="1064">
        <v>105</v>
      </c>
      <c r="L134" s="1064">
        <v>0</v>
      </c>
      <c r="M134" s="1081">
        <v>1300</v>
      </c>
      <c r="N134" s="1081">
        <v>2800</v>
      </c>
      <c r="O134" s="1065" t="s">
        <v>1250</v>
      </c>
      <c r="P134" s="1065"/>
      <c r="Q134" s="1065"/>
      <c r="R134" s="1065"/>
      <c r="S134" s="1065"/>
      <c r="T134" s="1067"/>
    </row>
    <row r="135" spans="1:20" x14ac:dyDescent="0.35">
      <c r="A135" s="1062" t="s">
        <v>1291</v>
      </c>
      <c r="B135" s="1063" t="s">
        <v>1292</v>
      </c>
      <c r="C135" s="1097">
        <v>0</v>
      </c>
      <c r="D135" s="1097">
        <v>138</v>
      </c>
      <c r="E135" s="1097">
        <v>566</v>
      </c>
      <c r="F135" s="1097">
        <v>994</v>
      </c>
      <c r="G135" s="1098">
        <v>1328</v>
      </c>
      <c r="H135" s="1098">
        <v>1791</v>
      </c>
      <c r="I135" s="1098">
        <v>2350</v>
      </c>
      <c r="J135" s="1098">
        <v>2928</v>
      </c>
      <c r="K135" s="1098">
        <v>3548</v>
      </c>
      <c r="L135" s="1098">
        <v>4162</v>
      </c>
      <c r="M135" s="1098">
        <v>3026</v>
      </c>
      <c r="N135" s="1098">
        <v>17805</v>
      </c>
      <c r="O135" s="1099" t="s">
        <v>54</v>
      </c>
      <c r="P135" s="1099"/>
      <c r="Q135" s="1099"/>
      <c r="R135" s="1099"/>
      <c r="S135" s="1099"/>
      <c r="T135" s="1100"/>
    </row>
    <row r="136" spans="1:20" x14ac:dyDescent="0.35">
      <c r="A136" s="1062" t="s">
        <v>1293</v>
      </c>
      <c r="B136" s="1063" t="s">
        <v>1294</v>
      </c>
      <c r="C136" s="1097">
        <v>0</v>
      </c>
      <c r="D136" s="1097">
        <v>0</v>
      </c>
      <c r="E136" s="1097">
        <v>235</v>
      </c>
      <c r="F136" s="1097">
        <v>317</v>
      </c>
      <c r="G136" s="1097">
        <v>304</v>
      </c>
      <c r="H136" s="1097">
        <v>314</v>
      </c>
      <c r="I136" s="1097">
        <v>324</v>
      </c>
      <c r="J136" s="1097">
        <v>335</v>
      </c>
      <c r="K136" s="1097">
        <v>346</v>
      </c>
      <c r="L136" s="1097">
        <v>359</v>
      </c>
      <c r="M136" s="1097">
        <v>856</v>
      </c>
      <c r="N136" s="1098">
        <v>2534</v>
      </c>
      <c r="O136" s="1099" t="s">
        <v>54</v>
      </c>
      <c r="P136" s="1099"/>
      <c r="Q136" s="1099"/>
      <c r="R136" s="1099"/>
      <c r="S136" s="1099"/>
      <c r="T136" s="1067"/>
    </row>
    <row r="137" spans="1:20" ht="24" customHeight="1" x14ac:dyDescent="0.35">
      <c r="A137" s="1062" t="s">
        <v>1295</v>
      </c>
      <c r="B137" s="1063" t="s">
        <v>1296</v>
      </c>
      <c r="C137" s="1101"/>
      <c r="D137" s="1101">
        <v>333</v>
      </c>
      <c r="E137" s="1101">
        <v>314</v>
      </c>
      <c r="F137" s="1101">
        <v>314</v>
      </c>
      <c r="G137" s="1101">
        <v>-4530</v>
      </c>
      <c r="H137" s="1101">
        <v>-9118</v>
      </c>
      <c r="I137" s="1101">
        <v>-18184</v>
      </c>
      <c r="J137" s="1101">
        <v>-20493</v>
      </c>
      <c r="K137" s="1101">
        <v>-23289</v>
      </c>
      <c r="L137" s="1101">
        <v>-24298</v>
      </c>
      <c r="M137" s="1101">
        <v>-569</v>
      </c>
      <c r="N137" s="1101">
        <v>-95951</v>
      </c>
      <c r="O137" s="1102" t="s">
        <v>55</v>
      </c>
      <c r="P137" s="1102"/>
      <c r="Q137" s="1102"/>
      <c r="R137" s="1102"/>
      <c r="S137" s="1102"/>
      <c r="T137" s="1103"/>
    </row>
    <row r="138" spans="1:20" ht="36" customHeight="1" x14ac:dyDescent="0.35">
      <c r="A138" s="1062" t="s">
        <v>1291</v>
      </c>
      <c r="B138" s="1063" t="s">
        <v>1297</v>
      </c>
      <c r="C138" s="1104">
        <v>0</v>
      </c>
      <c r="D138" s="1104">
        <v>-2447</v>
      </c>
      <c r="E138" s="1104">
        <v>-3716</v>
      </c>
      <c r="F138" s="1104">
        <v>-19171</v>
      </c>
      <c r="G138" s="1104">
        <v>-7014</v>
      </c>
      <c r="H138" s="1104">
        <v>-7706</v>
      </c>
      <c r="I138" s="1104">
        <v>-8497</v>
      </c>
      <c r="J138" s="1104">
        <v>-9360</v>
      </c>
      <c r="K138" s="1104">
        <v>-10602</v>
      </c>
      <c r="L138" s="1104">
        <v>-11603</v>
      </c>
      <c r="M138" s="1104">
        <v>-32348</v>
      </c>
      <c r="N138" s="1104">
        <v>-80116</v>
      </c>
      <c r="O138" s="1102" t="s">
        <v>55</v>
      </c>
      <c r="P138" s="1102"/>
      <c r="Q138" s="1102"/>
      <c r="R138" s="1102"/>
      <c r="S138" s="1102"/>
      <c r="T138" s="1067"/>
    </row>
    <row r="139" spans="1:20" x14ac:dyDescent="0.35">
      <c r="A139" s="1062" t="s">
        <v>1298</v>
      </c>
      <c r="B139" s="1063" t="s">
        <v>1299</v>
      </c>
      <c r="C139" s="1101">
        <v>0</v>
      </c>
      <c r="D139" s="1101">
        <v>53</v>
      </c>
      <c r="E139" s="1101">
        <v>1991</v>
      </c>
      <c r="F139" s="1101">
        <v>3308</v>
      </c>
      <c r="G139" s="1101">
        <v>3545</v>
      </c>
      <c r="H139" s="1101">
        <v>4537</v>
      </c>
      <c r="I139" s="1101">
        <v>4476</v>
      </c>
      <c r="J139" s="1101">
        <v>3947</v>
      </c>
      <c r="K139" s="1101">
        <v>1781</v>
      </c>
      <c r="L139" s="1101">
        <v>1462</v>
      </c>
      <c r="M139" s="1101">
        <v>8897</v>
      </c>
      <c r="N139" s="1101">
        <v>25100</v>
      </c>
      <c r="O139" s="1102" t="s">
        <v>55</v>
      </c>
      <c r="P139" s="1102"/>
      <c r="Q139" s="1102"/>
      <c r="R139" s="1102"/>
      <c r="S139" s="1102"/>
      <c r="T139" s="1067"/>
    </row>
    <row r="140" spans="1:20" x14ac:dyDescent="0.35">
      <c r="A140" s="1062" t="s">
        <v>1300</v>
      </c>
      <c r="B140" s="1063" t="s">
        <v>1301</v>
      </c>
      <c r="C140" s="1105">
        <v>0</v>
      </c>
      <c r="D140" s="1105">
        <v>0</v>
      </c>
      <c r="E140" s="1105">
        <v>0</v>
      </c>
      <c r="F140" s="1105">
        <v>0</v>
      </c>
      <c r="G140" s="1105">
        <v>0</v>
      </c>
      <c r="H140" s="1106">
        <v>-16290</v>
      </c>
      <c r="I140" s="1106">
        <v>-25656</v>
      </c>
      <c r="J140" s="1106">
        <v>-23394</v>
      </c>
      <c r="K140" s="1106">
        <v>-27561</v>
      </c>
      <c r="L140" s="1106">
        <v>-29250</v>
      </c>
      <c r="M140" s="1105">
        <v>0</v>
      </c>
      <c r="N140" s="1106">
        <v>-122151</v>
      </c>
      <c r="O140" s="1102" t="s">
        <v>55</v>
      </c>
      <c r="P140" s="1102"/>
      <c r="Q140" s="1102"/>
      <c r="R140" s="1102"/>
      <c r="S140" s="1102"/>
      <c r="T140" s="1067"/>
    </row>
    <row r="141" spans="1:20" ht="36" customHeight="1" x14ac:dyDescent="0.35">
      <c r="A141" s="1062" t="s">
        <v>1302</v>
      </c>
      <c r="B141" s="1063" t="s">
        <v>1303</v>
      </c>
      <c r="C141" s="1101">
        <v>0</v>
      </c>
      <c r="D141" s="1101">
        <v>-70</v>
      </c>
      <c r="E141" s="1101">
        <v>300</v>
      </c>
      <c r="F141" s="1101">
        <v>862</v>
      </c>
      <c r="G141" s="1101">
        <v>577</v>
      </c>
      <c r="H141" s="1101">
        <v>464</v>
      </c>
      <c r="I141" s="1101">
        <v>549</v>
      </c>
      <c r="J141" s="1101">
        <v>501</v>
      </c>
      <c r="K141" s="1101">
        <v>591</v>
      </c>
      <c r="L141" s="1101">
        <v>630</v>
      </c>
      <c r="M141" s="1101">
        <v>1669</v>
      </c>
      <c r="N141" s="1101">
        <v>4404</v>
      </c>
      <c r="O141" s="1102" t="s">
        <v>55</v>
      </c>
      <c r="P141" s="1102"/>
      <c r="Q141" s="1102"/>
      <c r="R141" s="1102"/>
      <c r="S141" s="1102"/>
      <c r="T141" s="1067"/>
    </row>
    <row r="142" spans="1:20" x14ac:dyDescent="0.35">
      <c r="A142" s="1062" t="s">
        <v>1304</v>
      </c>
      <c r="B142" s="1063" t="s">
        <v>1305</v>
      </c>
      <c r="C142" s="1105">
        <v>0</v>
      </c>
      <c r="D142" s="1105">
        <v>0</v>
      </c>
      <c r="E142" s="1105">
        <v>195</v>
      </c>
      <c r="F142" s="1105">
        <v>230</v>
      </c>
      <c r="G142" s="1105">
        <v>248</v>
      </c>
      <c r="H142" s="1105">
        <v>266</v>
      </c>
      <c r="I142" s="1105">
        <v>311</v>
      </c>
      <c r="J142" s="1105">
        <v>281</v>
      </c>
      <c r="K142" s="1105">
        <v>327</v>
      </c>
      <c r="L142" s="1105">
        <v>347</v>
      </c>
      <c r="M142" s="1105">
        <v>673</v>
      </c>
      <c r="N142" s="1106">
        <v>2205</v>
      </c>
      <c r="O142" s="1102" t="s">
        <v>55</v>
      </c>
      <c r="P142" s="1102"/>
      <c r="Q142" s="1102"/>
      <c r="R142" s="1102"/>
      <c r="S142" s="1102"/>
      <c r="T142" s="1067"/>
    </row>
    <row r="143" spans="1:20" x14ac:dyDescent="0.35">
      <c r="A143" s="1079" t="s">
        <v>1306</v>
      </c>
      <c r="B143" s="1080" t="s">
        <v>1307</v>
      </c>
      <c r="C143" s="1107">
        <v>0</v>
      </c>
      <c r="D143" s="1107">
        <v>70</v>
      </c>
      <c r="E143" s="1107">
        <v>132</v>
      </c>
      <c r="F143" s="1107">
        <v>51</v>
      </c>
      <c r="G143" s="1107">
        <v>20</v>
      </c>
      <c r="H143" s="1107">
        <v>8</v>
      </c>
      <c r="I143" s="1107">
        <v>0</v>
      </c>
      <c r="J143" s="1107">
        <v>0</v>
      </c>
      <c r="K143" s="1107">
        <v>0</v>
      </c>
      <c r="L143" s="1107">
        <v>0</v>
      </c>
      <c r="M143" s="1107">
        <v>273</v>
      </c>
      <c r="N143" s="1107">
        <v>281</v>
      </c>
      <c r="O143" s="1108" t="s">
        <v>1308</v>
      </c>
      <c r="P143" s="1108"/>
      <c r="Q143" s="1108"/>
      <c r="R143" s="1108"/>
      <c r="S143" s="1108"/>
      <c r="T143" s="1067" t="s">
        <v>1309</v>
      </c>
    </row>
    <row r="144" spans="1:20" x14ac:dyDescent="0.35">
      <c r="A144" s="1079" t="s">
        <v>1310</v>
      </c>
      <c r="B144" s="1080" t="s">
        <v>1311</v>
      </c>
      <c r="C144" s="1107">
        <v>0</v>
      </c>
      <c r="D144" s="1107">
        <v>465</v>
      </c>
      <c r="E144" s="1109">
        <v>2420</v>
      </c>
      <c r="F144" s="1109">
        <v>4755</v>
      </c>
      <c r="G144" s="1109">
        <v>5980</v>
      </c>
      <c r="H144" s="1109">
        <v>4694</v>
      </c>
      <c r="I144" s="1109">
        <v>1573</v>
      </c>
      <c r="J144" s="1107">
        <v>93</v>
      </c>
      <c r="K144" s="1107">
        <v>0</v>
      </c>
      <c r="L144" s="1107">
        <v>0</v>
      </c>
      <c r="M144" s="1109">
        <v>13620</v>
      </c>
      <c r="N144" s="1109">
        <v>19980</v>
      </c>
      <c r="O144" s="1108" t="s">
        <v>1308</v>
      </c>
      <c r="P144" s="1108"/>
      <c r="Q144" s="1108"/>
      <c r="R144" s="1108"/>
      <c r="S144" s="1108"/>
      <c r="T144" s="1067" t="s">
        <v>1312</v>
      </c>
    </row>
    <row r="145" spans="1:20" x14ac:dyDescent="0.35">
      <c r="A145" s="1062" t="s">
        <v>1313</v>
      </c>
      <c r="B145" s="1063" t="s">
        <v>1314</v>
      </c>
      <c r="C145" s="1107">
        <v>0</v>
      </c>
      <c r="D145" s="1107">
        <v>20</v>
      </c>
      <c r="E145" s="1107">
        <v>65</v>
      </c>
      <c r="F145" s="1107">
        <v>110</v>
      </c>
      <c r="G145" s="1107">
        <v>135</v>
      </c>
      <c r="H145" s="1107">
        <v>180</v>
      </c>
      <c r="I145" s="1107">
        <v>230</v>
      </c>
      <c r="J145" s="1107">
        <v>180</v>
      </c>
      <c r="K145" s="1107">
        <v>60</v>
      </c>
      <c r="L145" s="1107">
        <v>10</v>
      </c>
      <c r="M145" s="1107">
        <v>330</v>
      </c>
      <c r="N145" s="1107">
        <v>990</v>
      </c>
      <c r="O145" s="1108" t="s">
        <v>1308</v>
      </c>
      <c r="P145" s="1108"/>
      <c r="Q145" s="1108"/>
      <c r="R145" s="1108"/>
      <c r="S145" s="1108"/>
      <c r="T145" s="1090" t="s">
        <v>1315</v>
      </c>
    </row>
    <row r="146" spans="1:20" x14ac:dyDescent="0.35">
      <c r="A146" s="1062" t="s">
        <v>1316</v>
      </c>
      <c r="B146" s="1063" t="s">
        <v>1317</v>
      </c>
      <c r="C146" s="1107">
        <v>0</v>
      </c>
      <c r="D146" s="1109">
        <v>20892</v>
      </c>
      <c r="E146" s="1109">
        <v>11288</v>
      </c>
      <c r="F146" s="1109">
        <v>9651</v>
      </c>
      <c r="G146" s="1109">
        <v>-8548</v>
      </c>
      <c r="H146" s="1107">
        <v>-463</v>
      </c>
      <c r="I146" s="1107">
        <v>0</v>
      </c>
      <c r="J146" s="1107">
        <v>0</v>
      </c>
      <c r="K146" s="1107">
        <v>0</v>
      </c>
      <c r="L146" s="1107">
        <v>0</v>
      </c>
      <c r="M146" s="1109">
        <v>33283</v>
      </c>
      <c r="N146" s="1109">
        <v>32820</v>
      </c>
      <c r="O146" s="1110" t="s">
        <v>1308</v>
      </c>
      <c r="P146" s="1110"/>
      <c r="Q146" s="1110"/>
      <c r="R146" s="1110"/>
      <c r="S146" s="1110"/>
      <c r="T146" s="1067"/>
    </row>
    <row r="147" spans="1:20" x14ac:dyDescent="0.35">
      <c r="A147" s="1062" t="s">
        <v>1318</v>
      </c>
      <c r="B147" s="1063" t="s">
        <v>1319</v>
      </c>
      <c r="C147" s="1107">
        <v>0</v>
      </c>
      <c r="D147" s="1107">
        <v>24</v>
      </c>
      <c r="E147" s="1107">
        <v>65</v>
      </c>
      <c r="F147" s="1107">
        <v>112</v>
      </c>
      <c r="G147" s="1107">
        <v>130</v>
      </c>
      <c r="H147" s="1107">
        <v>98</v>
      </c>
      <c r="I147" s="1107">
        <v>56</v>
      </c>
      <c r="J147" s="1107">
        <v>15</v>
      </c>
      <c r="K147" s="1107">
        <v>0</v>
      </c>
      <c r="L147" s="1107">
        <v>0</v>
      </c>
      <c r="M147" s="1107">
        <v>331</v>
      </c>
      <c r="N147" s="1107">
        <v>500</v>
      </c>
      <c r="O147" s="1110" t="s">
        <v>1308</v>
      </c>
      <c r="P147" s="1110"/>
      <c r="Q147" s="1110"/>
      <c r="R147" s="1110"/>
      <c r="S147" s="1110"/>
      <c r="T147" s="1067"/>
    </row>
    <row r="148" spans="1:20" x14ac:dyDescent="0.35">
      <c r="A148" s="1111" t="s">
        <v>1320</v>
      </c>
      <c r="B148" s="1112" t="s">
        <v>1321</v>
      </c>
      <c r="C148" s="1107">
        <v>0</v>
      </c>
      <c r="D148" s="1107">
        <v>50</v>
      </c>
      <c r="E148" s="1107">
        <v>500</v>
      </c>
      <c r="F148" s="1107">
        <v>920</v>
      </c>
      <c r="G148" s="1109">
        <v>1310</v>
      </c>
      <c r="H148" s="1109">
        <v>1680</v>
      </c>
      <c r="I148" s="1109">
        <v>1780</v>
      </c>
      <c r="J148" s="1109">
        <v>1640</v>
      </c>
      <c r="K148" s="1109">
        <v>1090</v>
      </c>
      <c r="L148" s="1107">
        <v>630</v>
      </c>
      <c r="M148" s="1109">
        <v>2780</v>
      </c>
      <c r="N148" s="1109">
        <v>9600</v>
      </c>
      <c r="O148" s="1110" t="s">
        <v>1308</v>
      </c>
      <c r="P148" s="1110"/>
      <c r="Q148" s="1110"/>
      <c r="R148" s="1110"/>
      <c r="S148" s="1110"/>
      <c r="T148" s="1113"/>
    </row>
    <row r="149" spans="1:20" x14ac:dyDescent="0.35">
      <c r="A149" s="1062" t="s">
        <v>1322</v>
      </c>
      <c r="B149" s="1063" t="s">
        <v>1323</v>
      </c>
      <c r="C149" s="1107">
        <v>0</v>
      </c>
      <c r="D149" s="1107">
        <v>30</v>
      </c>
      <c r="E149" s="1107">
        <v>90</v>
      </c>
      <c r="F149" s="1107">
        <v>90</v>
      </c>
      <c r="G149" s="1107">
        <v>85</v>
      </c>
      <c r="H149" s="1107">
        <v>70</v>
      </c>
      <c r="I149" s="1107">
        <v>65</v>
      </c>
      <c r="J149" s="1107">
        <v>65</v>
      </c>
      <c r="K149" s="1107">
        <v>35</v>
      </c>
      <c r="L149" s="1107">
        <v>15</v>
      </c>
      <c r="M149" s="1107">
        <v>295</v>
      </c>
      <c r="N149" s="1107">
        <v>545</v>
      </c>
      <c r="O149" s="1110" t="s">
        <v>1308</v>
      </c>
      <c r="P149" s="1110"/>
      <c r="Q149" s="1110"/>
      <c r="R149" s="1110"/>
      <c r="S149" s="1110"/>
      <c r="T149" s="1067"/>
    </row>
    <row r="150" spans="1:20" x14ac:dyDescent="0.35">
      <c r="A150" s="1062" t="s">
        <v>1324</v>
      </c>
      <c r="B150" s="1063" t="s">
        <v>1325</v>
      </c>
      <c r="C150" s="1107">
        <v>0</v>
      </c>
      <c r="D150" s="1107">
        <v>185</v>
      </c>
      <c r="E150" s="1107">
        <v>394</v>
      </c>
      <c r="F150" s="1107">
        <v>639</v>
      </c>
      <c r="G150" s="1107">
        <v>722</v>
      </c>
      <c r="H150" s="1107">
        <v>595</v>
      </c>
      <c r="I150" s="1107">
        <v>346</v>
      </c>
      <c r="J150" s="1107">
        <v>101</v>
      </c>
      <c r="K150" s="1107">
        <v>18</v>
      </c>
      <c r="L150" s="1107">
        <v>0</v>
      </c>
      <c r="M150" s="1109">
        <v>1940</v>
      </c>
      <c r="N150" s="1109">
        <v>3000</v>
      </c>
      <c r="O150" s="1108" t="s">
        <v>1308</v>
      </c>
      <c r="P150" s="1108"/>
      <c r="Q150" s="1108"/>
      <c r="R150" s="1108"/>
      <c r="S150" s="1108"/>
      <c r="T150" s="1067"/>
    </row>
    <row r="151" spans="1:20" x14ac:dyDescent="0.35">
      <c r="A151" s="1062" t="s">
        <v>1326</v>
      </c>
      <c r="B151" s="1063" t="s">
        <v>1327</v>
      </c>
      <c r="C151" s="1107">
        <v>0</v>
      </c>
      <c r="D151" s="1107">
        <v>8</v>
      </c>
      <c r="E151" s="1107">
        <v>26</v>
      </c>
      <c r="F151" s="1107">
        <v>41</v>
      </c>
      <c r="G151" s="1107">
        <v>38</v>
      </c>
      <c r="H151" s="1107">
        <v>22</v>
      </c>
      <c r="I151" s="1107">
        <v>11</v>
      </c>
      <c r="J151" s="1107">
        <v>4</v>
      </c>
      <c r="K151" s="1107">
        <v>0</v>
      </c>
      <c r="L151" s="1107">
        <v>0</v>
      </c>
      <c r="M151" s="1107">
        <v>113</v>
      </c>
      <c r="N151" s="1107">
        <v>150</v>
      </c>
      <c r="O151" s="1108" t="s">
        <v>1308</v>
      </c>
      <c r="P151" s="1108"/>
      <c r="Q151" s="1108"/>
      <c r="R151" s="1108"/>
      <c r="S151" s="1108"/>
      <c r="T151" s="1067"/>
    </row>
    <row r="152" spans="1:20" ht="24" customHeight="1" x14ac:dyDescent="0.35">
      <c r="A152" s="1079" t="s">
        <v>1328</v>
      </c>
      <c r="B152" s="1080" t="s">
        <v>1329</v>
      </c>
      <c r="C152" s="1114">
        <v>0</v>
      </c>
      <c r="D152" s="1115">
        <v>77</v>
      </c>
      <c r="E152" s="1115">
        <v>232</v>
      </c>
      <c r="F152" s="1115">
        <v>341</v>
      </c>
      <c r="G152" s="1115">
        <v>496</v>
      </c>
      <c r="H152" s="1115">
        <v>310</v>
      </c>
      <c r="I152" s="1115">
        <v>47</v>
      </c>
      <c r="J152" s="1115">
        <v>31</v>
      </c>
      <c r="K152" s="1115">
        <v>15</v>
      </c>
      <c r="L152" s="1115">
        <v>1</v>
      </c>
      <c r="M152" s="1116">
        <v>1146</v>
      </c>
      <c r="N152" s="1116">
        <v>1550</v>
      </c>
      <c r="O152" s="1117" t="s">
        <v>1330</v>
      </c>
      <c r="P152" s="1124"/>
      <c r="Q152" s="1124"/>
      <c r="R152" s="1124"/>
      <c r="S152" s="1124"/>
      <c r="T152" s="1067" t="s">
        <v>1331</v>
      </c>
    </row>
    <row r="153" spans="1:20" ht="30" customHeight="1" x14ac:dyDescent="0.35">
      <c r="A153" s="1062" t="s">
        <v>1332</v>
      </c>
      <c r="B153" s="1063" t="s">
        <v>1333</v>
      </c>
      <c r="C153" s="1118">
        <v>0</v>
      </c>
      <c r="D153" s="1118">
        <v>264</v>
      </c>
      <c r="E153" s="1118">
        <v>715</v>
      </c>
      <c r="F153" s="1118">
        <v>1393</v>
      </c>
      <c r="G153" s="1118">
        <v>2492</v>
      </c>
      <c r="H153" s="1118">
        <v>3364</v>
      </c>
      <c r="I153" s="1118">
        <v>3209</v>
      </c>
      <c r="J153" s="1118">
        <v>2750</v>
      </c>
      <c r="K153" s="1118">
        <v>1783</v>
      </c>
      <c r="L153" s="1118">
        <v>744</v>
      </c>
      <c r="M153" s="1119">
        <v>4864</v>
      </c>
      <c r="N153" s="1119">
        <v>16714</v>
      </c>
      <c r="O153" s="1125" t="s">
        <v>52</v>
      </c>
      <c r="P153" s="1125"/>
      <c r="Q153" s="1125"/>
      <c r="R153" s="1125"/>
      <c r="S153" s="1125"/>
      <c r="T153" s="1126" t="s">
        <v>1334</v>
      </c>
    </row>
    <row r="154" spans="1:20" x14ac:dyDescent="0.35">
      <c r="A154" s="1062" t="s">
        <v>1335</v>
      </c>
      <c r="B154" s="1063" t="s">
        <v>1336</v>
      </c>
      <c r="C154" s="1127">
        <v>0</v>
      </c>
      <c r="D154" s="1127">
        <v>0</v>
      </c>
      <c r="E154" s="1127">
        <v>50</v>
      </c>
      <c r="F154" s="1127">
        <v>270</v>
      </c>
      <c r="G154" s="1127">
        <v>680</v>
      </c>
      <c r="H154" s="1127">
        <v>850</v>
      </c>
      <c r="I154" s="1127">
        <v>730</v>
      </c>
      <c r="J154" s="1127">
        <v>485</v>
      </c>
      <c r="K154" s="1127">
        <v>285</v>
      </c>
      <c r="L154" s="1127">
        <v>145</v>
      </c>
      <c r="M154" s="1128">
        <v>1000</v>
      </c>
      <c r="N154" s="1128">
        <v>3495</v>
      </c>
      <c r="O154" s="1129" t="s">
        <v>52</v>
      </c>
      <c r="P154" s="1129"/>
      <c r="Q154" s="1129"/>
      <c r="R154" s="1129"/>
      <c r="S154" s="1129"/>
      <c r="T154" s="1130" t="s">
        <v>1337</v>
      </c>
    </row>
    <row r="155" spans="1:20" x14ac:dyDescent="0.35">
      <c r="A155" s="1062" t="s">
        <v>1338</v>
      </c>
      <c r="B155" s="1063" t="s">
        <v>1339</v>
      </c>
      <c r="C155" s="1127">
        <v>0</v>
      </c>
      <c r="D155" s="1127">
        <v>5</v>
      </c>
      <c r="E155" s="1127">
        <v>5</v>
      </c>
      <c r="F155" s="1127">
        <v>10</v>
      </c>
      <c r="G155" s="1127">
        <v>25</v>
      </c>
      <c r="H155" s="1127">
        <v>70</v>
      </c>
      <c r="I155" s="1127">
        <v>175</v>
      </c>
      <c r="J155" s="1127">
        <v>385</v>
      </c>
      <c r="K155" s="1127">
        <v>460</v>
      </c>
      <c r="L155" s="1127">
        <v>325</v>
      </c>
      <c r="M155" s="1127">
        <v>45</v>
      </c>
      <c r="N155" s="1128">
        <v>1460</v>
      </c>
      <c r="O155" s="1131" t="s">
        <v>52</v>
      </c>
      <c r="P155" s="1131"/>
      <c r="Q155" s="1131"/>
      <c r="R155" s="1131"/>
      <c r="S155" s="1131"/>
      <c r="T155" s="1130" t="s">
        <v>1340</v>
      </c>
    </row>
    <row r="156" spans="1:20" x14ac:dyDescent="0.35">
      <c r="A156" s="1079" t="s">
        <v>1341</v>
      </c>
      <c r="B156" s="1080" t="s">
        <v>1342</v>
      </c>
      <c r="C156" s="1127">
        <v>0</v>
      </c>
      <c r="D156" s="1127">
        <v>6</v>
      </c>
      <c r="E156" s="1127">
        <v>8</v>
      </c>
      <c r="F156" s="1127">
        <v>1</v>
      </c>
      <c r="G156" s="1127">
        <v>0</v>
      </c>
      <c r="H156" s="1127">
        <v>0</v>
      </c>
      <c r="I156" s="1127">
        <v>0</v>
      </c>
      <c r="J156" s="1127">
        <v>0</v>
      </c>
      <c r="K156" s="1127">
        <v>0</v>
      </c>
      <c r="L156" s="1127">
        <v>0</v>
      </c>
      <c r="M156" s="1127">
        <v>15</v>
      </c>
      <c r="N156" s="1127">
        <v>15</v>
      </c>
      <c r="O156" s="1131" t="s">
        <v>52</v>
      </c>
      <c r="P156" s="1131"/>
      <c r="Q156" s="1131"/>
      <c r="R156" s="1131"/>
      <c r="S156" s="1131"/>
      <c r="T156" s="1130" t="s">
        <v>1343</v>
      </c>
    </row>
    <row r="157" spans="1:20" ht="24" customHeight="1" x14ac:dyDescent="0.35">
      <c r="A157" s="1062" t="s">
        <v>1344</v>
      </c>
      <c r="B157" s="1063" t="s">
        <v>1345</v>
      </c>
      <c r="C157" s="1127">
        <v>0</v>
      </c>
      <c r="D157" s="1127">
        <v>5</v>
      </c>
      <c r="E157" s="1127">
        <v>41</v>
      </c>
      <c r="F157" s="1127">
        <v>116</v>
      </c>
      <c r="G157" s="1127">
        <v>284</v>
      </c>
      <c r="H157" s="1127">
        <v>417</v>
      </c>
      <c r="I157" s="1127">
        <v>459</v>
      </c>
      <c r="J157" s="1127">
        <v>355</v>
      </c>
      <c r="K157" s="1127">
        <v>210</v>
      </c>
      <c r="L157" s="1127">
        <v>90</v>
      </c>
      <c r="M157" s="1127">
        <v>446</v>
      </c>
      <c r="N157" s="1128">
        <v>1977</v>
      </c>
      <c r="O157" s="1132" t="s">
        <v>52</v>
      </c>
      <c r="P157" s="1132"/>
      <c r="Q157" s="1132"/>
      <c r="R157" s="1132"/>
      <c r="S157" s="1132"/>
      <c r="T157" s="1133" t="s">
        <v>1346</v>
      </c>
    </row>
    <row r="158" spans="1:20" ht="24" customHeight="1" x14ac:dyDescent="0.35">
      <c r="A158" s="1062" t="s">
        <v>1347</v>
      </c>
      <c r="B158" s="1063" t="s">
        <v>1348</v>
      </c>
      <c r="C158" s="1127">
        <v>0</v>
      </c>
      <c r="D158" s="1127">
        <v>20</v>
      </c>
      <c r="E158" s="1127">
        <v>100</v>
      </c>
      <c r="F158" s="1127">
        <v>460</v>
      </c>
      <c r="G158" s="1128">
        <v>1070</v>
      </c>
      <c r="H158" s="1128">
        <v>1430</v>
      </c>
      <c r="I158" s="1128">
        <v>1110</v>
      </c>
      <c r="J158" s="1127">
        <v>660</v>
      </c>
      <c r="K158" s="1127">
        <v>300</v>
      </c>
      <c r="L158" s="1127">
        <v>100</v>
      </c>
      <c r="M158" s="1128">
        <v>1650</v>
      </c>
      <c r="N158" s="1128">
        <v>5250</v>
      </c>
      <c r="O158" s="1131" t="s">
        <v>52</v>
      </c>
      <c r="P158" s="1131"/>
      <c r="Q158" s="1131"/>
      <c r="R158" s="1131"/>
      <c r="S158" s="1131"/>
      <c r="T158" s="1130" t="s">
        <v>1349</v>
      </c>
    </row>
    <row r="159" spans="1:20" x14ac:dyDescent="0.35">
      <c r="A159" s="1062" t="s">
        <v>1350</v>
      </c>
      <c r="B159" s="1063" t="s">
        <v>1351</v>
      </c>
      <c r="C159" s="1145">
        <v>0</v>
      </c>
      <c r="D159" s="1145">
        <v>56</v>
      </c>
      <c r="E159" s="1145">
        <v>141</v>
      </c>
      <c r="F159" s="1145">
        <v>230</v>
      </c>
      <c r="G159" s="1145">
        <v>343</v>
      </c>
      <c r="H159" s="1145">
        <v>470</v>
      </c>
      <c r="I159" s="1145">
        <v>620</v>
      </c>
      <c r="J159" s="1145">
        <v>802</v>
      </c>
      <c r="K159" s="1145">
        <v>1024</v>
      </c>
      <c r="L159" s="1145">
        <v>1330</v>
      </c>
      <c r="M159" s="1145">
        <v>769</v>
      </c>
      <c r="N159" s="1145">
        <v>5015</v>
      </c>
      <c r="O159" s="1129" t="s">
        <v>52</v>
      </c>
      <c r="P159" s="1129"/>
      <c r="Q159" s="1129"/>
      <c r="R159" s="1129"/>
      <c r="S159" s="1129"/>
      <c r="T159" s="1067"/>
    </row>
    <row r="160" spans="1:20" x14ac:dyDescent="0.35">
      <c r="A160" s="1062" t="s">
        <v>1352</v>
      </c>
      <c r="B160" s="1063" t="s">
        <v>1353</v>
      </c>
      <c r="C160" s="1127"/>
      <c r="D160" s="1127"/>
      <c r="E160" s="1127"/>
      <c r="F160" s="1127"/>
      <c r="G160" s="1127"/>
      <c r="H160" s="1127"/>
      <c r="I160" s="1127"/>
      <c r="J160" s="1127"/>
      <c r="K160" s="1127"/>
      <c r="L160" s="1127"/>
      <c r="M160" s="1127"/>
      <c r="N160" s="1128"/>
      <c r="O160" s="1132"/>
      <c r="P160" s="1132"/>
      <c r="Q160" s="1132"/>
      <c r="R160" s="1132"/>
      <c r="S160" s="1132"/>
      <c r="T160" s="1067"/>
    </row>
    <row r="161" spans="1:21" x14ac:dyDescent="0.35">
      <c r="A161" s="1062" t="s">
        <v>1354</v>
      </c>
      <c r="B161" s="1063" t="s">
        <v>1355</v>
      </c>
      <c r="C161" s="1127"/>
      <c r="D161" s="1127"/>
      <c r="E161" s="1127"/>
      <c r="F161" s="1127"/>
      <c r="G161" s="1127"/>
      <c r="H161" s="1127"/>
      <c r="I161" s="1127"/>
      <c r="J161" s="1127"/>
      <c r="K161" s="1127"/>
      <c r="L161" s="1127"/>
      <c r="M161" s="1127"/>
      <c r="N161" s="1128"/>
      <c r="O161" s="1146"/>
      <c r="P161" s="1146"/>
      <c r="Q161" s="1146"/>
      <c r="R161" s="1146"/>
      <c r="S161" s="1146"/>
      <c r="T161" s="1147"/>
    </row>
    <row r="162" spans="1:21" x14ac:dyDescent="0.35">
      <c r="A162" s="1062" t="s">
        <v>1356</v>
      </c>
      <c r="B162" s="1063" t="s">
        <v>1357</v>
      </c>
      <c r="C162" s="1127">
        <v>0</v>
      </c>
      <c r="D162" s="1127">
        <v>20</v>
      </c>
      <c r="E162" s="1127">
        <v>70</v>
      </c>
      <c r="F162" s="1127">
        <v>130</v>
      </c>
      <c r="G162" s="1127">
        <v>155</v>
      </c>
      <c r="H162" s="1127">
        <v>155</v>
      </c>
      <c r="I162" s="1127">
        <v>155</v>
      </c>
      <c r="J162" s="1127">
        <v>135</v>
      </c>
      <c r="K162" s="1127">
        <v>80</v>
      </c>
      <c r="L162" s="1127">
        <v>20</v>
      </c>
      <c r="M162" s="1127">
        <v>375</v>
      </c>
      <c r="N162" s="1127">
        <v>920</v>
      </c>
      <c r="O162" s="1131" t="s">
        <v>52</v>
      </c>
      <c r="P162" s="1131"/>
      <c r="Q162" s="1131"/>
      <c r="R162" s="1131"/>
      <c r="S162" s="1131"/>
      <c r="T162" s="1067"/>
    </row>
    <row r="163" spans="1:21" x14ac:dyDescent="0.35">
      <c r="A163" s="1079" t="s">
        <v>1358</v>
      </c>
      <c r="B163" s="1080" t="s">
        <v>1359</v>
      </c>
      <c r="C163" s="1127">
        <v>0</v>
      </c>
      <c r="D163" s="1127">
        <v>15</v>
      </c>
      <c r="E163" s="1127">
        <v>12</v>
      </c>
      <c r="F163" s="1127">
        <v>8</v>
      </c>
      <c r="G163" s="1127">
        <v>4</v>
      </c>
      <c r="H163" s="1127">
        <v>0</v>
      </c>
      <c r="I163" s="1127">
        <v>0</v>
      </c>
      <c r="J163" s="1127">
        <v>0</v>
      </c>
      <c r="K163" s="1127">
        <v>0</v>
      </c>
      <c r="L163" s="1127">
        <v>0</v>
      </c>
      <c r="M163" s="1127">
        <v>39</v>
      </c>
      <c r="N163" s="1127">
        <v>39</v>
      </c>
      <c r="O163" s="1131" t="s">
        <v>52</v>
      </c>
      <c r="P163" s="1131"/>
      <c r="Q163" s="1131"/>
      <c r="R163" s="1131"/>
      <c r="S163" s="1131"/>
      <c r="T163" s="1067"/>
    </row>
    <row r="164" spans="1:21" x14ac:dyDescent="0.35">
      <c r="A164" s="1062" t="s">
        <v>1360</v>
      </c>
      <c r="B164" s="1063" t="s">
        <v>1361</v>
      </c>
      <c r="C164" s="1148">
        <v>0</v>
      </c>
      <c r="D164" s="1148">
        <v>25</v>
      </c>
      <c r="E164" s="1148">
        <v>100</v>
      </c>
      <c r="F164" s="1148">
        <v>125</v>
      </c>
      <c r="G164" s="1148">
        <v>100</v>
      </c>
      <c r="H164" s="1148">
        <v>75</v>
      </c>
      <c r="I164" s="1148">
        <v>30</v>
      </c>
      <c r="J164" s="1148">
        <v>20</v>
      </c>
      <c r="K164" s="1148">
        <v>0</v>
      </c>
      <c r="L164" s="1148">
        <v>0</v>
      </c>
      <c r="M164" s="1148">
        <v>350</v>
      </c>
      <c r="N164" s="1148">
        <v>475</v>
      </c>
      <c r="O164" s="1149" t="s">
        <v>52</v>
      </c>
      <c r="P164" s="1149"/>
      <c r="Q164" s="1149"/>
      <c r="R164" s="1149"/>
      <c r="S164" s="1149"/>
      <c r="T164" s="1067"/>
    </row>
    <row r="165" spans="1:21" x14ac:dyDescent="0.35">
      <c r="A165" s="42"/>
      <c r="B165" s="1015"/>
      <c r="C165" s="57"/>
      <c r="D165" s="57"/>
      <c r="E165" s="57"/>
      <c r="F165" s="57"/>
      <c r="G165" s="57"/>
      <c r="H165" s="57"/>
      <c r="I165" s="57"/>
      <c r="J165" s="57"/>
      <c r="K165" s="57"/>
      <c r="L165" s="57"/>
      <c r="M165" s="57"/>
      <c r="N165" s="57"/>
      <c r="O165" s="42"/>
      <c r="P165" s="42"/>
      <c r="Q165" s="42"/>
      <c r="R165" s="42"/>
      <c r="S165" s="42"/>
      <c r="T165" s="1015"/>
    </row>
    <row r="167" spans="1:21" x14ac:dyDescent="0.35">
      <c r="A167" s="43" t="s">
        <v>1369</v>
      </c>
    </row>
    <row r="168" spans="1:21" x14ac:dyDescent="0.35">
      <c r="A168" s="1150"/>
      <c r="B168" s="1150"/>
      <c r="C168" s="1134"/>
      <c r="D168" s="1134">
        <v>2022</v>
      </c>
      <c r="E168" s="1134">
        <v>2023</v>
      </c>
      <c r="F168" s="1134">
        <v>2024</v>
      </c>
      <c r="G168" s="1134">
        <v>2025</v>
      </c>
      <c r="H168" s="1134">
        <v>2026</v>
      </c>
      <c r="I168" s="1134">
        <v>2027</v>
      </c>
      <c r="J168" s="1134">
        <v>2028</v>
      </c>
      <c r="K168" s="1134">
        <v>2029</v>
      </c>
      <c r="L168" s="1134">
        <v>2030</v>
      </c>
      <c r="M168" s="1135">
        <v>2031</v>
      </c>
      <c r="N168" s="1136" t="s">
        <v>1362</v>
      </c>
      <c r="O168" s="1136" t="s">
        <v>1363</v>
      </c>
      <c r="P168" s="1121"/>
      <c r="Q168" s="1121"/>
      <c r="R168" s="1121"/>
      <c r="S168" s="1121"/>
      <c r="U168" s="29"/>
    </row>
    <row r="169" spans="1:21" x14ac:dyDescent="0.35">
      <c r="A169" s="1151" t="s">
        <v>1364</v>
      </c>
      <c r="B169" s="1151"/>
      <c r="C169" s="1157"/>
      <c r="D169" s="1157">
        <f t="shared" ref="D169:O169" si="9">D78/1000</f>
        <v>0</v>
      </c>
      <c r="E169" s="1157">
        <f t="shared" si="9"/>
        <v>6.8000000000000005E-2</v>
      </c>
      <c r="F169" s="1157">
        <f t="shared" si="9"/>
        <v>1.363</v>
      </c>
      <c r="G169" s="1157">
        <f t="shared" si="9"/>
        <v>2.4329999999999998</v>
      </c>
      <c r="H169" s="1157">
        <f t="shared" si="9"/>
        <v>2.8029999999999999</v>
      </c>
      <c r="I169" s="1157">
        <f t="shared" si="9"/>
        <v>1.7410000000000001</v>
      </c>
      <c r="J169" s="1157">
        <f t="shared" si="9"/>
        <v>0.56999999999999995</v>
      </c>
      <c r="K169" s="1157">
        <f t="shared" si="9"/>
        <v>3.5000000000000003E-2</v>
      </c>
      <c r="L169" s="1157">
        <f t="shared" si="9"/>
        <v>0</v>
      </c>
      <c r="M169" s="1157">
        <f t="shared" si="9"/>
        <v>0</v>
      </c>
      <c r="N169" s="1157">
        <f t="shared" si="9"/>
        <v>6.6669999999999998</v>
      </c>
      <c r="O169" s="1157">
        <f t="shared" si="9"/>
        <v>9.0129999999999999</v>
      </c>
      <c r="P169" s="1157"/>
      <c r="Q169" s="1157"/>
      <c r="R169" s="1157"/>
      <c r="S169" s="1157"/>
      <c r="U169" s="29"/>
    </row>
    <row r="170" spans="1:21" x14ac:dyDescent="0.35">
      <c r="A170" s="1151" t="s">
        <v>1365</v>
      </c>
      <c r="B170" s="1151"/>
      <c r="C170" s="1157"/>
      <c r="D170" s="1157">
        <f t="shared" ref="D170:O170" si="10">(D77+D70)/1000</f>
        <v>0</v>
      </c>
      <c r="E170" s="1157">
        <f t="shared" si="10"/>
        <v>0.81899999999999995</v>
      </c>
      <c r="F170" s="1157">
        <f t="shared" si="10"/>
        <v>2.4780000000000002</v>
      </c>
      <c r="G170" s="1157">
        <f t="shared" si="10"/>
        <v>4.0720000000000001</v>
      </c>
      <c r="H170" s="1157">
        <f t="shared" si="10"/>
        <v>5.4480000000000004</v>
      </c>
      <c r="I170" s="1157">
        <f t="shared" si="10"/>
        <v>4.8289999999999997</v>
      </c>
      <c r="J170" s="1157">
        <f t="shared" si="10"/>
        <v>3.2949999999999999</v>
      </c>
      <c r="K170" s="1157">
        <f t="shared" si="10"/>
        <v>1.98</v>
      </c>
      <c r="L170" s="1157">
        <f t="shared" si="10"/>
        <v>1.01</v>
      </c>
      <c r="M170" s="1157">
        <f t="shared" si="10"/>
        <v>0.40400000000000003</v>
      </c>
      <c r="N170" s="1157">
        <f t="shared" si="10"/>
        <v>12.817</v>
      </c>
      <c r="O170" s="1157">
        <f t="shared" si="10"/>
        <v>24.335000000000001</v>
      </c>
      <c r="P170" s="1157"/>
      <c r="Q170" s="1157"/>
      <c r="R170" s="1157"/>
      <c r="S170" s="1157"/>
      <c r="U170" s="29"/>
    </row>
    <row r="171" spans="1:21" x14ac:dyDescent="0.35">
      <c r="A171" s="1151" t="s">
        <v>1366</v>
      </c>
      <c r="B171" s="1151"/>
      <c r="C171" s="1157"/>
      <c r="D171" s="1157">
        <f t="shared" ref="D171:O171" si="11">(D69+D76)/1000</f>
        <v>0</v>
      </c>
      <c r="E171" s="1157">
        <f t="shared" si="11"/>
        <v>4.5430000000000001</v>
      </c>
      <c r="F171" s="1157">
        <f t="shared" si="11"/>
        <v>5.6079999999999997</v>
      </c>
      <c r="G171" s="1157">
        <f t="shared" si="11"/>
        <v>8.16</v>
      </c>
      <c r="H171" s="1157">
        <f t="shared" si="11"/>
        <v>10.069000000000001</v>
      </c>
      <c r="I171" s="1157">
        <f t="shared" si="11"/>
        <v>12.026999999999999</v>
      </c>
      <c r="J171" s="1157">
        <f t="shared" si="11"/>
        <v>13.826000000000001</v>
      </c>
      <c r="K171" s="1157">
        <f t="shared" si="11"/>
        <v>15.862</v>
      </c>
      <c r="L171" s="1157">
        <f t="shared" si="11"/>
        <v>17.890999999999998</v>
      </c>
      <c r="M171" s="1157">
        <f t="shared" si="11"/>
        <v>17.481000000000002</v>
      </c>
      <c r="N171" s="1157">
        <f t="shared" si="11"/>
        <v>28.38</v>
      </c>
      <c r="O171" s="1157">
        <f t="shared" si="11"/>
        <v>105.467</v>
      </c>
      <c r="P171" s="1157"/>
      <c r="Q171" s="1157"/>
      <c r="R171" s="1157"/>
      <c r="S171" s="1157"/>
      <c r="U171" s="29"/>
    </row>
    <row r="172" spans="1:21" x14ac:dyDescent="0.35">
      <c r="A172" s="1152" t="s">
        <v>52</v>
      </c>
      <c r="B172" s="1152"/>
      <c r="C172" s="1157"/>
      <c r="D172" s="1157">
        <f t="shared" ref="D172:O172" si="12">(D79+D74)/1000</f>
        <v>0</v>
      </c>
      <c r="E172" s="1157">
        <f t="shared" si="12"/>
        <v>1.2969999999999999</v>
      </c>
      <c r="F172" s="1157">
        <f t="shared" si="12"/>
        <v>3.8479999999999999</v>
      </c>
      <c r="G172" s="1157">
        <f t="shared" si="12"/>
        <v>6.4420000000000002</v>
      </c>
      <c r="H172" s="1157">
        <f t="shared" si="12"/>
        <v>9.532</v>
      </c>
      <c r="I172" s="1157">
        <f t="shared" si="12"/>
        <v>11.882</v>
      </c>
      <c r="J172" s="1157">
        <f t="shared" si="12"/>
        <v>11.727</v>
      </c>
      <c r="K172" s="1157">
        <f t="shared" si="12"/>
        <v>10.569000000000001</v>
      </c>
      <c r="L172" s="1157">
        <f t="shared" si="12"/>
        <v>8.8879999999999999</v>
      </c>
      <c r="M172" s="1157">
        <f t="shared" si="12"/>
        <v>7.1890000000000001</v>
      </c>
      <c r="N172" s="1157">
        <f t="shared" si="12"/>
        <v>21.117000000000001</v>
      </c>
      <c r="O172" s="1157">
        <f t="shared" si="12"/>
        <v>71.372</v>
      </c>
      <c r="P172" s="1157"/>
      <c r="Q172" s="1157"/>
      <c r="R172" s="1157"/>
      <c r="S172" s="1157"/>
      <c r="U172" s="29"/>
    </row>
    <row r="173" spans="1:21" x14ac:dyDescent="0.35">
      <c r="A173" s="1153" t="s">
        <v>526</v>
      </c>
      <c r="B173" s="1153"/>
      <c r="C173" s="1157"/>
      <c r="D173" s="1157"/>
      <c r="E173" s="1157"/>
      <c r="F173" s="1157"/>
      <c r="G173" s="1157"/>
      <c r="H173" s="1157"/>
      <c r="I173" s="1157"/>
      <c r="J173" s="1157"/>
      <c r="K173" s="1157"/>
      <c r="L173" s="1157"/>
      <c r="M173" s="1157"/>
      <c r="N173" s="1157"/>
      <c r="O173" s="1157"/>
      <c r="P173" s="1157"/>
      <c r="Q173" s="1157"/>
      <c r="R173" s="1157"/>
      <c r="S173" s="1157"/>
      <c r="U173" s="29"/>
    </row>
    <row r="174" spans="1:21" x14ac:dyDescent="0.35">
      <c r="A174" s="1154" t="s">
        <v>54</v>
      </c>
      <c r="B174" s="1154"/>
      <c r="C174" s="1157"/>
      <c r="D174" s="1157">
        <f t="shared" ref="D174:O174" si="13">D71/1000</f>
        <v>0</v>
      </c>
      <c r="E174" s="1157">
        <f t="shared" si="13"/>
        <v>0.11</v>
      </c>
      <c r="F174" s="1157">
        <f t="shared" si="13"/>
        <v>0.73899999999999999</v>
      </c>
      <c r="G174" s="1157">
        <f t="shared" si="13"/>
        <v>1.1950000000000001</v>
      </c>
      <c r="H174" s="1157">
        <f t="shared" si="13"/>
        <v>1.4970000000000001</v>
      </c>
      <c r="I174" s="1157">
        <f t="shared" si="13"/>
        <v>1.91</v>
      </c>
      <c r="J174" s="1157">
        <f t="shared" si="13"/>
        <v>2.4049999999999998</v>
      </c>
      <c r="K174" s="1157">
        <f t="shared" si="13"/>
        <v>2.9220000000000002</v>
      </c>
      <c r="L174" s="1157">
        <f t="shared" si="13"/>
        <v>3.4630000000000001</v>
      </c>
      <c r="M174" s="1157">
        <f t="shared" si="13"/>
        <v>4.0069999999999997</v>
      </c>
      <c r="N174" s="1157">
        <f t="shared" si="13"/>
        <v>3.5409999999999999</v>
      </c>
      <c r="O174" s="1157">
        <f t="shared" si="13"/>
        <v>18.248000000000001</v>
      </c>
      <c r="P174" s="1157"/>
      <c r="Q174" s="1157"/>
      <c r="R174" s="1157"/>
      <c r="S174" s="1157"/>
      <c r="U174" s="29"/>
    </row>
    <row r="175" spans="1:21" x14ac:dyDescent="0.35">
      <c r="A175" s="1154" t="s">
        <v>1367</v>
      </c>
      <c r="B175" s="1154"/>
      <c r="C175" s="1157"/>
      <c r="D175" s="1157">
        <f t="shared" ref="D175:O175" si="14">D72/1000</f>
        <v>0</v>
      </c>
      <c r="E175" s="1157">
        <f t="shared" si="14"/>
        <v>-0.41499999999999998</v>
      </c>
      <c r="F175" s="1157">
        <f t="shared" si="14"/>
        <v>2.7679999999999998</v>
      </c>
      <c r="G175" s="1157">
        <f t="shared" si="14"/>
        <v>-12.473000000000001</v>
      </c>
      <c r="H175" s="1157">
        <f t="shared" si="14"/>
        <v>-5.3739999999999997</v>
      </c>
      <c r="I175" s="1157">
        <f t="shared" si="14"/>
        <v>-25.515000000000001</v>
      </c>
      <c r="J175" s="1157">
        <f t="shared" si="14"/>
        <v>-43.975000000000001</v>
      </c>
      <c r="K175" s="1157">
        <f t="shared" si="14"/>
        <v>-46.426000000000002</v>
      </c>
      <c r="L175" s="1157">
        <f t="shared" si="14"/>
        <v>-56.228000000000002</v>
      </c>
      <c r="M175" s="1157">
        <f t="shared" si="14"/>
        <v>-60.581000000000003</v>
      </c>
      <c r="N175" s="1157">
        <f t="shared" si="14"/>
        <v>-15.494</v>
      </c>
      <c r="O175" s="1157">
        <f t="shared" si="14"/>
        <v>-248.21899999999999</v>
      </c>
      <c r="P175" s="1157"/>
      <c r="Q175" s="1157"/>
      <c r="R175" s="1157"/>
      <c r="S175" s="1157"/>
      <c r="U175" s="29"/>
    </row>
    <row r="176" spans="1:21" x14ac:dyDescent="0.35">
      <c r="A176" s="1155" t="s">
        <v>57</v>
      </c>
      <c r="B176" s="1155"/>
      <c r="C176" s="1157"/>
      <c r="D176" s="1157">
        <f t="shared" ref="D176:O176" si="15">(D80+D73)/1000</f>
        <v>-0.622</v>
      </c>
      <c r="E176" s="1157">
        <f t="shared" si="15"/>
        <v>21.89</v>
      </c>
      <c r="F176" s="1157">
        <f t="shared" si="15"/>
        <v>15.439</v>
      </c>
      <c r="G176" s="1157">
        <f t="shared" si="15"/>
        <v>16.966999999999999</v>
      </c>
      <c r="H176" s="1157">
        <f t="shared" si="15"/>
        <v>0.72799999999999998</v>
      </c>
      <c r="I176" s="1157">
        <f t="shared" si="15"/>
        <v>7.657</v>
      </c>
      <c r="J176" s="1157">
        <f t="shared" si="15"/>
        <v>4.5590000000000002</v>
      </c>
      <c r="K176" s="1157">
        <f t="shared" si="15"/>
        <v>2.4649999999999999</v>
      </c>
      <c r="L176" s="1157">
        <f t="shared" si="15"/>
        <v>1.444</v>
      </c>
      <c r="M176" s="1157">
        <f t="shared" si="15"/>
        <v>0.77300000000000002</v>
      </c>
      <c r="N176" s="1157">
        <f t="shared" si="15"/>
        <v>54.402000000000001</v>
      </c>
      <c r="O176" s="1157">
        <f t="shared" si="15"/>
        <v>71.3</v>
      </c>
      <c r="P176" s="1157"/>
      <c r="Q176" s="1157"/>
      <c r="R176" s="1157"/>
      <c r="S176" s="1157"/>
      <c r="U176" s="29"/>
    </row>
    <row r="177" spans="1:21" x14ac:dyDescent="0.35">
      <c r="A177" s="1156" t="s">
        <v>1423</v>
      </c>
      <c r="B177" s="1156"/>
      <c r="C177" s="1157"/>
      <c r="D177" s="1144">
        <f t="shared" ref="D177:O177" si="16">D84/1000</f>
        <v>0</v>
      </c>
      <c r="E177" s="1144">
        <f t="shared" si="16"/>
        <v>-3.1549999999999998</v>
      </c>
      <c r="F177" s="1144">
        <f t="shared" si="16"/>
        <v>-2.2309999999999999</v>
      </c>
      <c r="G177" s="1144">
        <f t="shared" si="16"/>
        <v>-1.6080000000000001</v>
      </c>
      <c r="H177" s="1144">
        <f t="shared" si="16"/>
        <v>-0.77</v>
      </c>
      <c r="I177" s="1144">
        <f t="shared" si="16"/>
        <v>-0.98299999999999998</v>
      </c>
      <c r="J177" s="1144">
        <f t="shared" si="16"/>
        <v>-1.2110000000000001</v>
      </c>
      <c r="K177" s="1144">
        <f t="shared" si="16"/>
        <v>-1.4710000000000001</v>
      </c>
      <c r="L177" s="1144">
        <f t="shared" si="16"/>
        <v>-1.81</v>
      </c>
      <c r="M177" s="1144">
        <f t="shared" si="16"/>
        <v>-2.3250000000000002</v>
      </c>
      <c r="N177" s="1144">
        <f t="shared" si="16"/>
        <v>-7.7670000000000003</v>
      </c>
      <c r="O177" s="1144">
        <f t="shared" si="16"/>
        <v>-15.566000000000001</v>
      </c>
      <c r="P177" s="1144"/>
      <c r="Q177" s="1144"/>
      <c r="R177" s="1144"/>
      <c r="S177" s="1144"/>
      <c r="U177" s="29"/>
    </row>
    <row r="178" spans="1:21" x14ac:dyDescent="0.35">
      <c r="A178" s="1156" t="s">
        <v>239</v>
      </c>
      <c r="B178" s="1156"/>
      <c r="C178" s="1157"/>
      <c r="D178" s="1144">
        <f t="shared" ref="D178:O178" si="17">D85/1000</f>
        <v>0</v>
      </c>
      <c r="E178" s="1144">
        <f t="shared" si="17"/>
        <v>0.45200000000000001</v>
      </c>
      <c r="F178" s="1144">
        <f t="shared" si="17"/>
        <v>-8.67</v>
      </c>
      <c r="G178" s="1144">
        <f t="shared" si="17"/>
        <v>-4.5270000000000001</v>
      </c>
      <c r="H178" s="1144">
        <f t="shared" si="17"/>
        <v>-0.70499999999999996</v>
      </c>
      <c r="I178" s="1144">
        <f t="shared" si="17"/>
        <v>15.813000000000001</v>
      </c>
      <c r="J178" s="1144">
        <f t="shared" si="17"/>
        <v>20.372</v>
      </c>
      <c r="K178" s="1144">
        <f t="shared" si="17"/>
        <v>24.847000000000001</v>
      </c>
      <c r="L178" s="1144">
        <f t="shared" si="17"/>
        <v>28.113</v>
      </c>
      <c r="M178" s="1144">
        <f t="shared" si="17"/>
        <v>24.777000000000001</v>
      </c>
      <c r="N178" s="1144">
        <f t="shared" si="17"/>
        <v>-13.451000000000001</v>
      </c>
      <c r="O178" s="1144">
        <f t="shared" si="17"/>
        <v>100.468</v>
      </c>
      <c r="P178" s="1144"/>
      <c r="Q178" s="1144"/>
      <c r="R178" s="1144"/>
      <c r="S178" s="1144"/>
      <c r="U178" s="29"/>
    </row>
    <row r="179" spans="1:21" x14ac:dyDescent="0.35">
      <c r="A179" s="1156" t="s">
        <v>106</v>
      </c>
      <c r="B179" s="1156"/>
      <c r="C179" s="1157"/>
      <c r="D179" s="1144">
        <f t="shared" ref="D179:O179" si="18">D83/1000</f>
        <v>0</v>
      </c>
      <c r="E179" s="1144">
        <f t="shared" si="18"/>
        <v>35.317</v>
      </c>
      <c r="F179" s="1144">
        <f t="shared" si="18"/>
        <v>36.033000000000001</v>
      </c>
      <c r="G179" s="1144">
        <f t="shared" si="18"/>
        <v>21.076000000000001</v>
      </c>
      <c r="H179" s="1144">
        <f t="shared" si="18"/>
        <v>13.346</v>
      </c>
      <c r="I179" s="1144">
        <f t="shared" si="18"/>
        <v>27.507999999999999</v>
      </c>
      <c r="J179" s="1144">
        <f t="shared" si="18"/>
        <v>35.85</v>
      </c>
      <c r="K179" s="1144">
        <f t="shared" si="18"/>
        <v>18.64</v>
      </c>
      <c r="L179" s="1144">
        <f t="shared" si="18"/>
        <v>8.3940000000000001</v>
      </c>
      <c r="M179" s="1144">
        <f t="shared" si="18"/>
        <v>7.9820000000000002</v>
      </c>
      <c r="N179" s="1144">
        <f t="shared" si="18"/>
        <v>105.76900000000001</v>
      </c>
      <c r="O179" s="1144">
        <f t="shared" si="18"/>
        <v>204.14400000000001</v>
      </c>
      <c r="P179" s="1144"/>
      <c r="Q179" s="1144"/>
      <c r="R179" s="1144"/>
      <c r="S179" s="1144"/>
      <c r="U179" s="29"/>
    </row>
    <row r="182" spans="1:21" x14ac:dyDescent="0.35">
      <c r="A182" s="43" t="s">
        <v>1368</v>
      </c>
    </row>
    <row r="183" spans="1:21" x14ac:dyDescent="0.35">
      <c r="A183" s="1150"/>
      <c r="B183" s="1150"/>
      <c r="C183" s="1150"/>
      <c r="D183" s="1150" t="s">
        <v>183</v>
      </c>
      <c r="E183" s="1150" t="s">
        <v>184</v>
      </c>
      <c r="F183" s="1150" t="s">
        <v>185</v>
      </c>
      <c r="G183" s="1150" t="s">
        <v>186</v>
      </c>
      <c r="H183" s="1150" t="s">
        <v>187</v>
      </c>
      <c r="I183" s="1150" t="s">
        <v>188</v>
      </c>
      <c r="J183" s="1150" t="s">
        <v>189</v>
      </c>
      <c r="K183" s="1150" t="s">
        <v>190</v>
      </c>
      <c r="L183" s="1150" t="s">
        <v>191</v>
      </c>
      <c r="M183" s="1150" t="s">
        <v>175</v>
      </c>
      <c r="N183" s="1150" t="s">
        <v>176</v>
      </c>
      <c r="O183" s="1150" t="s">
        <v>177</v>
      </c>
      <c r="P183" s="1150" t="s">
        <v>763</v>
      </c>
      <c r="Q183" s="1150" t="s">
        <v>764</v>
      </c>
      <c r="R183" s="1150" t="s">
        <v>765</v>
      </c>
      <c r="S183" s="1150" t="s">
        <v>1151</v>
      </c>
      <c r="U183" s="29"/>
    </row>
    <row r="184" spans="1:21" x14ac:dyDescent="0.35">
      <c r="A184" s="1151" t="s">
        <v>1364</v>
      </c>
      <c r="B184" s="1151"/>
      <c r="C184" s="1158"/>
      <c r="D184" s="1158">
        <f t="shared" ref="D184:D191" si="19">D169</f>
        <v>0</v>
      </c>
      <c r="E184" s="1158">
        <f>D184</f>
        <v>0</v>
      </c>
      <c r="F184" s="1158">
        <f t="shared" ref="F184:F191" si="20">E169</f>
        <v>6.8000000000000005E-2</v>
      </c>
      <c r="G184" s="1158">
        <f>F184</f>
        <v>6.8000000000000005E-2</v>
      </c>
      <c r="H184" s="1158">
        <f>G184</f>
        <v>6.8000000000000005E-2</v>
      </c>
      <c r="I184" s="1158">
        <f>H184</f>
        <v>6.8000000000000005E-2</v>
      </c>
      <c r="J184" s="1158">
        <f t="shared" ref="J184:J191" si="21">F169</f>
        <v>1.363</v>
      </c>
      <c r="K184" s="1158">
        <f t="shared" ref="K184:M191" si="22">J184</f>
        <v>1.363</v>
      </c>
      <c r="L184" s="1158">
        <f t="shared" si="22"/>
        <v>1.363</v>
      </c>
      <c r="M184" s="1158">
        <f>L184</f>
        <v>1.363</v>
      </c>
      <c r="N184" s="1158">
        <f>G169</f>
        <v>2.4329999999999998</v>
      </c>
      <c r="O184" s="1158">
        <f>N184</f>
        <v>2.4329999999999998</v>
      </c>
      <c r="P184" s="1158">
        <f t="shared" ref="P184:Q184" si="23">O184</f>
        <v>2.4329999999999998</v>
      </c>
      <c r="Q184" s="1158">
        <f t="shared" si="23"/>
        <v>2.4329999999999998</v>
      </c>
      <c r="R184" s="1158">
        <f>H169</f>
        <v>2.8029999999999999</v>
      </c>
      <c r="S184" s="1158">
        <f>R184</f>
        <v>2.8029999999999999</v>
      </c>
      <c r="U184" s="29"/>
    </row>
    <row r="185" spans="1:21" x14ac:dyDescent="0.35">
      <c r="A185" s="1151" t="s">
        <v>1365</v>
      </c>
      <c r="B185" s="1151"/>
      <c r="C185" s="1158"/>
      <c r="D185" s="1158">
        <f t="shared" si="19"/>
        <v>0</v>
      </c>
      <c r="E185" s="1158">
        <f t="shared" ref="E185:E191" si="24">D185</f>
        <v>0</v>
      </c>
      <c r="F185" s="1158">
        <f t="shared" si="20"/>
        <v>0.81899999999999995</v>
      </c>
      <c r="G185" s="1158">
        <f t="shared" ref="G185:I191" si="25">F185</f>
        <v>0.81899999999999995</v>
      </c>
      <c r="H185" s="1158">
        <f t="shared" si="25"/>
        <v>0.81899999999999995</v>
      </c>
      <c r="I185" s="1158">
        <f t="shared" si="25"/>
        <v>0.81899999999999995</v>
      </c>
      <c r="J185" s="1158">
        <f>F170</f>
        <v>2.4780000000000002</v>
      </c>
      <c r="K185" s="1158">
        <f t="shared" si="22"/>
        <v>2.4780000000000002</v>
      </c>
      <c r="L185" s="1158">
        <f t="shared" si="22"/>
        <v>2.4780000000000002</v>
      </c>
      <c r="M185" s="1158">
        <f>L185</f>
        <v>2.4780000000000002</v>
      </c>
      <c r="N185" s="1158">
        <f>G170</f>
        <v>4.0720000000000001</v>
      </c>
      <c r="O185" s="1158">
        <f>N185</f>
        <v>4.0720000000000001</v>
      </c>
      <c r="P185" s="1158">
        <f t="shared" ref="P185:Q194" si="26">O185</f>
        <v>4.0720000000000001</v>
      </c>
      <c r="Q185" s="1158">
        <f t="shared" si="26"/>
        <v>4.0720000000000001</v>
      </c>
      <c r="R185" s="1158">
        <f>H170</f>
        <v>5.4480000000000004</v>
      </c>
      <c r="S185" s="1158">
        <f t="shared" ref="S185:S194" si="27">R185</f>
        <v>5.4480000000000004</v>
      </c>
      <c r="U185" s="29"/>
    </row>
    <row r="186" spans="1:21" x14ac:dyDescent="0.35">
      <c r="A186" s="1151" t="s">
        <v>1366</v>
      </c>
      <c r="B186" s="1151"/>
      <c r="C186" s="1158"/>
      <c r="D186" s="1158">
        <f t="shared" si="19"/>
        <v>0</v>
      </c>
      <c r="E186" s="1158">
        <f t="shared" si="24"/>
        <v>0</v>
      </c>
      <c r="F186" s="1158">
        <f t="shared" si="20"/>
        <v>4.5430000000000001</v>
      </c>
      <c r="G186" s="1158">
        <f t="shared" si="25"/>
        <v>4.5430000000000001</v>
      </c>
      <c r="H186" s="1158">
        <f t="shared" si="25"/>
        <v>4.5430000000000001</v>
      </c>
      <c r="I186" s="1158">
        <f t="shared" si="25"/>
        <v>4.5430000000000001</v>
      </c>
      <c r="J186" s="1158">
        <f t="shared" si="21"/>
        <v>5.6079999999999997</v>
      </c>
      <c r="K186" s="1158">
        <f t="shared" si="22"/>
        <v>5.6079999999999997</v>
      </c>
      <c r="L186" s="1158">
        <f t="shared" si="22"/>
        <v>5.6079999999999997</v>
      </c>
      <c r="M186" s="1158">
        <f t="shared" si="22"/>
        <v>5.6079999999999997</v>
      </c>
      <c r="N186" s="1158">
        <f>G171</f>
        <v>8.16</v>
      </c>
      <c r="O186" s="1158">
        <f t="shared" ref="O186:O191" si="28">N186</f>
        <v>8.16</v>
      </c>
      <c r="P186" s="1158">
        <f t="shared" si="26"/>
        <v>8.16</v>
      </c>
      <c r="Q186" s="1158">
        <f t="shared" si="26"/>
        <v>8.16</v>
      </c>
      <c r="R186" s="1158">
        <f t="shared" ref="R186:R194" si="29">H171</f>
        <v>10.069000000000001</v>
      </c>
      <c r="S186" s="1158">
        <f t="shared" si="27"/>
        <v>10.069000000000001</v>
      </c>
      <c r="U186" s="29"/>
    </row>
    <row r="187" spans="1:21" x14ac:dyDescent="0.35">
      <c r="A187" s="1152" t="s">
        <v>52</v>
      </c>
      <c r="B187" s="1152"/>
      <c r="C187" s="1158"/>
      <c r="D187" s="1158">
        <f t="shared" si="19"/>
        <v>0</v>
      </c>
      <c r="E187" s="1158">
        <f t="shared" si="24"/>
        <v>0</v>
      </c>
      <c r="F187" s="1158">
        <f t="shared" si="20"/>
        <v>1.2969999999999999</v>
      </c>
      <c r="G187" s="1158">
        <f t="shared" si="25"/>
        <v>1.2969999999999999</v>
      </c>
      <c r="H187" s="1158">
        <f t="shared" si="25"/>
        <v>1.2969999999999999</v>
      </c>
      <c r="I187" s="1158">
        <f t="shared" si="25"/>
        <v>1.2969999999999999</v>
      </c>
      <c r="J187" s="1158">
        <f t="shared" si="21"/>
        <v>3.8479999999999999</v>
      </c>
      <c r="K187" s="1158">
        <f t="shared" si="22"/>
        <v>3.8479999999999999</v>
      </c>
      <c r="L187" s="1158">
        <f t="shared" si="22"/>
        <v>3.8479999999999999</v>
      </c>
      <c r="M187" s="1158">
        <f t="shared" si="22"/>
        <v>3.8479999999999999</v>
      </c>
      <c r="N187" s="1158">
        <f t="shared" ref="N187:N191" si="30">G172</f>
        <v>6.4420000000000002</v>
      </c>
      <c r="O187" s="1158">
        <f t="shared" si="28"/>
        <v>6.4420000000000002</v>
      </c>
      <c r="P187" s="1158">
        <f t="shared" si="26"/>
        <v>6.4420000000000002</v>
      </c>
      <c r="Q187" s="1158">
        <f t="shared" si="26"/>
        <v>6.4420000000000002</v>
      </c>
      <c r="R187" s="1158">
        <f t="shared" si="29"/>
        <v>9.532</v>
      </c>
      <c r="S187" s="1158">
        <f t="shared" si="27"/>
        <v>9.532</v>
      </c>
      <c r="U187" s="29"/>
    </row>
    <row r="188" spans="1:21" x14ac:dyDescent="0.35">
      <c r="A188" s="1153" t="s">
        <v>526</v>
      </c>
      <c r="B188" s="1153"/>
      <c r="C188" s="1158"/>
      <c r="D188" s="1158">
        <f t="shared" si="19"/>
        <v>0</v>
      </c>
      <c r="E188" s="1158">
        <f t="shared" si="24"/>
        <v>0</v>
      </c>
      <c r="F188" s="1158">
        <f t="shared" si="20"/>
        <v>0</v>
      </c>
      <c r="G188" s="1158">
        <f t="shared" si="25"/>
        <v>0</v>
      </c>
      <c r="H188" s="1158">
        <f t="shared" si="25"/>
        <v>0</v>
      </c>
      <c r="I188" s="1158">
        <f t="shared" si="25"/>
        <v>0</v>
      </c>
      <c r="J188" s="1158">
        <f t="shared" si="21"/>
        <v>0</v>
      </c>
      <c r="K188" s="1158">
        <f t="shared" si="22"/>
        <v>0</v>
      </c>
      <c r="L188" s="1158">
        <f t="shared" si="22"/>
        <v>0</v>
      </c>
      <c r="M188" s="1158">
        <f t="shared" si="22"/>
        <v>0</v>
      </c>
      <c r="N188" s="1158">
        <f t="shared" si="30"/>
        <v>0</v>
      </c>
      <c r="O188" s="1158">
        <f t="shared" si="28"/>
        <v>0</v>
      </c>
      <c r="P188" s="1158">
        <f t="shared" si="26"/>
        <v>0</v>
      </c>
      <c r="Q188" s="1158">
        <f t="shared" si="26"/>
        <v>0</v>
      </c>
      <c r="R188" s="1158">
        <f t="shared" si="29"/>
        <v>0</v>
      </c>
      <c r="S188" s="1158">
        <f t="shared" si="27"/>
        <v>0</v>
      </c>
      <c r="U188" s="29"/>
    </row>
    <row r="189" spans="1:21" x14ac:dyDescent="0.35">
      <c r="A189" s="1154" t="s">
        <v>54</v>
      </c>
      <c r="B189" s="1154"/>
      <c r="C189" s="1158"/>
      <c r="D189" s="1158">
        <f t="shared" si="19"/>
        <v>0</v>
      </c>
      <c r="E189" s="1158">
        <f t="shared" si="24"/>
        <v>0</v>
      </c>
      <c r="F189" s="1158">
        <f t="shared" si="20"/>
        <v>0.11</v>
      </c>
      <c r="G189" s="1158">
        <f t="shared" si="25"/>
        <v>0.11</v>
      </c>
      <c r="H189" s="1158">
        <f t="shared" si="25"/>
        <v>0.11</v>
      </c>
      <c r="I189" s="1158">
        <f t="shared" si="25"/>
        <v>0.11</v>
      </c>
      <c r="J189" s="1158">
        <f t="shared" si="21"/>
        <v>0.73899999999999999</v>
      </c>
      <c r="K189" s="1158">
        <f t="shared" si="22"/>
        <v>0.73899999999999999</v>
      </c>
      <c r="L189" s="1158">
        <f t="shared" si="22"/>
        <v>0.73899999999999999</v>
      </c>
      <c r="M189" s="1158">
        <f t="shared" si="22"/>
        <v>0.73899999999999999</v>
      </c>
      <c r="N189" s="1158">
        <f t="shared" si="30"/>
        <v>1.1950000000000001</v>
      </c>
      <c r="O189" s="1158">
        <f t="shared" si="28"/>
        <v>1.1950000000000001</v>
      </c>
      <c r="P189" s="1158">
        <f t="shared" si="26"/>
        <v>1.1950000000000001</v>
      </c>
      <c r="Q189" s="1158">
        <f t="shared" si="26"/>
        <v>1.1950000000000001</v>
      </c>
      <c r="R189" s="1158">
        <f t="shared" si="29"/>
        <v>1.4970000000000001</v>
      </c>
      <c r="S189" s="1158">
        <f t="shared" si="27"/>
        <v>1.4970000000000001</v>
      </c>
      <c r="U189" s="29"/>
    </row>
    <row r="190" spans="1:21" x14ac:dyDescent="0.35">
      <c r="A190" s="1154" t="s">
        <v>1367</v>
      </c>
      <c r="B190" s="1154"/>
      <c r="C190" s="1158"/>
      <c r="D190" s="1158">
        <f t="shared" si="19"/>
        <v>0</v>
      </c>
      <c r="E190" s="1158">
        <f t="shared" si="24"/>
        <v>0</v>
      </c>
      <c r="F190" s="1158">
        <f t="shared" si="20"/>
        <v>-0.41499999999999998</v>
      </c>
      <c r="G190" s="1158">
        <f t="shared" si="25"/>
        <v>-0.41499999999999998</v>
      </c>
      <c r="H190" s="1158">
        <f t="shared" si="25"/>
        <v>-0.41499999999999998</v>
      </c>
      <c r="I190" s="1158">
        <f t="shared" si="25"/>
        <v>-0.41499999999999998</v>
      </c>
      <c r="J190" s="1158">
        <f t="shared" si="21"/>
        <v>2.7679999999999998</v>
      </c>
      <c r="K190" s="1158">
        <f t="shared" si="22"/>
        <v>2.7679999999999998</v>
      </c>
      <c r="L190" s="1158">
        <f t="shared" si="22"/>
        <v>2.7679999999999998</v>
      </c>
      <c r="M190" s="1158">
        <f t="shared" si="22"/>
        <v>2.7679999999999998</v>
      </c>
      <c r="N190" s="1158">
        <f t="shared" si="30"/>
        <v>-12.473000000000001</v>
      </c>
      <c r="O190" s="1158">
        <f t="shared" si="28"/>
        <v>-12.473000000000001</v>
      </c>
      <c r="P190" s="1158">
        <f t="shared" si="26"/>
        <v>-12.473000000000001</v>
      </c>
      <c r="Q190" s="1158">
        <f t="shared" si="26"/>
        <v>-12.473000000000001</v>
      </c>
      <c r="R190" s="1158">
        <f t="shared" si="29"/>
        <v>-5.3739999999999997</v>
      </c>
      <c r="S190" s="1158">
        <f t="shared" si="27"/>
        <v>-5.3739999999999997</v>
      </c>
      <c r="U190" s="29"/>
    </row>
    <row r="191" spans="1:21" x14ac:dyDescent="0.35">
      <c r="A191" s="1155" t="s">
        <v>57</v>
      </c>
      <c r="B191" s="1155"/>
      <c r="C191" s="1158"/>
      <c r="D191" s="1158">
        <f t="shared" si="19"/>
        <v>-0.622</v>
      </c>
      <c r="E191" s="1158">
        <f t="shared" si="24"/>
        <v>-0.622</v>
      </c>
      <c r="F191" s="1158">
        <f t="shared" si="20"/>
        <v>21.89</v>
      </c>
      <c r="G191" s="1158">
        <f t="shared" si="25"/>
        <v>21.89</v>
      </c>
      <c r="H191" s="1158">
        <f t="shared" si="25"/>
        <v>21.89</v>
      </c>
      <c r="I191" s="1158">
        <f t="shared" si="25"/>
        <v>21.89</v>
      </c>
      <c r="J191" s="1158">
        <f t="shared" si="21"/>
        <v>15.439</v>
      </c>
      <c r="K191" s="1158">
        <f t="shared" si="22"/>
        <v>15.439</v>
      </c>
      <c r="L191" s="1158">
        <f t="shared" si="22"/>
        <v>15.439</v>
      </c>
      <c r="M191" s="1158">
        <f t="shared" si="22"/>
        <v>15.439</v>
      </c>
      <c r="N191" s="1158">
        <f t="shared" si="30"/>
        <v>16.966999999999999</v>
      </c>
      <c r="O191" s="1158">
        <f t="shared" si="28"/>
        <v>16.966999999999999</v>
      </c>
      <c r="P191" s="1158">
        <f t="shared" si="26"/>
        <v>16.966999999999999</v>
      </c>
      <c r="Q191" s="1158">
        <f t="shared" si="26"/>
        <v>16.966999999999999</v>
      </c>
      <c r="R191" s="1158">
        <f t="shared" si="29"/>
        <v>0.72799999999999998</v>
      </c>
      <c r="S191" s="1158">
        <f t="shared" si="27"/>
        <v>0.72799999999999998</v>
      </c>
      <c r="U191" s="29"/>
    </row>
    <row r="192" spans="1:21" x14ac:dyDescent="0.35">
      <c r="A192" s="1156" t="s">
        <v>484</v>
      </c>
      <c r="B192" s="1156"/>
      <c r="C192" s="1158"/>
      <c r="D192" s="1144">
        <f t="shared" ref="D192:D194" si="31">D177</f>
        <v>0</v>
      </c>
      <c r="E192" s="1144">
        <f t="shared" ref="E192:E194" si="32">D192</f>
        <v>0</v>
      </c>
      <c r="F192" s="1144">
        <f t="shared" ref="F192:F194" si="33">E177</f>
        <v>-3.1549999999999998</v>
      </c>
      <c r="G192" s="1144">
        <f t="shared" ref="G192:G194" si="34">F192</f>
        <v>-3.1549999999999998</v>
      </c>
      <c r="H192" s="1144">
        <f t="shared" ref="H192:H194" si="35">G192</f>
        <v>-3.1549999999999998</v>
      </c>
      <c r="I192" s="1144">
        <f t="shared" ref="I192:I194" si="36">H192</f>
        <v>-3.1549999999999998</v>
      </c>
      <c r="J192" s="1144">
        <f t="shared" ref="J192:J194" si="37">F177</f>
        <v>-2.2309999999999999</v>
      </c>
      <c r="K192" s="1144">
        <f t="shared" ref="K192:K194" si="38">J192</f>
        <v>-2.2309999999999999</v>
      </c>
      <c r="L192" s="1144">
        <f t="shared" ref="L192:L194" si="39">K192</f>
        <v>-2.2309999999999999</v>
      </c>
      <c r="M192" s="1144">
        <f t="shared" ref="M192:M194" si="40">L192</f>
        <v>-2.2309999999999999</v>
      </c>
      <c r="N192" s="1144">
        <f t="shared" ref="N192:N194" si="41">G177</f>
        <v>-1.6080000000000001</v>
      </c>
      <c r="O192" s="1144">
        <f t="shared" ref="O192:O194" si="42">N192</f>
        <v>-1.6080000000000001</v>
      </c>
      <c r="P192" s="1144">
        <f t="shared" si="26"/>
        <v>-1.6080000000000001</v>
      </c>
      <c r="Q192" s="1144">
        <f t="shared" si="26"/>
        <v>-1.6080000000000001</v>
      </c>
      <c r="R192" s="1158">
        <f t="shared" si="29"/>
        <v>-0.77</v>
      </c>
      <c r="S192" s="1158">
        <f t="shared" si="27"/>
        <v>-0.77</v>
      </c>
      <c r="U192" s="29"/>
    </row>
    <row r="193" spans="1:21" x14ac:dyDescent="0.35">
      <c r="A193" s="1156" t="s">
        <v>482</v>
      </c>
      <c r="B193" s="1156"/>
      <c r="C193" s="1158"/>
      <c r="D193" s="1144">
        <f t="shared" si="31"/>
        <v>0</v>
      </c>
      <c r="E193" s="1144">
        <f t="shared" si="32"/>
        <v>0</v>
      </c>
      <c r="F193" s="1144">
        <f t="shared" si="33"/>
        <v>0.45200000000000001</v>
      </c>
      <c r="G193" s="1144">
        <f t="shared" si="34"/>
        <v>0.45200000000000001</v>
      </c>
      <c r="H193" s="1144">
        <f t="shared" si="35"/>
        <v>0.45200000000000001</v>
      </c>
      <c r="I193" s="1144">
        <f t="shared" si="36"/>
        <v>0.45200000000000001</v>
      </c>
      <c r="J193" s="1144">
        <f t="shared" si="37"/>
        <v>-8.67</v>
      </c>
      <c r="K193" s="1144">
        <f t="shared" si="38"/>
        <v>-8.67</v>
      </c>
      <c r="L193" s="1144">
        <f t="shared" si="39"/>
        <v>-8.67</v>
      </c>
      <c r="M193" s="1144">
        <f t="shared" si="40"/>
        <v>-8.67</v>
      </c>
      <c r="N193" s="1144">
        <f t="shared" si="41"/>
        <v>-4.5270000000000001</v>
      </c>
      <c r="O193" s="1144">
        <f t="shared" si="42"/>
        <v>-4.5270000000000001</v>
      </c>
      <c r="P193" s="1144">
        <f t="shared" si="26"/>
        <v>-4.5270000000000001</v>
      </c>
      <c r="Q193" s="1144">
        <f t="shared" si="26"/>
        <v>-4.5270000000000001</v>
      </c>
      <c r="R193" s="1158">
        <f t="shared" si="29"/>
        <v>-0.70499999999999996</v>
      </c>
      <c r="S193" s="1158">
        <f t="shared" si="27"/>
        <v>-0.70499999999999996</v>
      </c>
      <c r="U193" s="29"/>
    </row>
    <row r="194" spans="1:21" x14ac:dyDescent="0.35">
      <c r="A194" s="1156" t="s">
        <v>106</v>
      </c>
      <c r="B194" s="1156"/>
      <c r="C194" s="1158"/>
      <c r="D194" s="1144">
        <f t="shared" si="31"/>
        <v>0</v>
      </c>
      <c r="E194" s="1144">
        <f t="shared" si="32"/>
        <v>0</v>
      </c>
      <c r="F194" s="1144">
        <f t="shared" si="33"/>
        <v>35.317</v>
      </c>
      <c r="G194" s="1144">
        <f t="shared" si="34"/>
        <v>35.317</v>
      </c>
      <c r="H194" s="1144">
        <f t="shared" si="35"/>
        <v>35.317</v>
      </c>
      <c r="I194" s="1144">
        <f t="shared" si="36"/>
        <v>35.317</v>
      </c>
      <c r="J194" s="1144">
        <f t="shared" si="37"/>
        <v>36.033000000000001</v>
      </c>
      <c r="K194" s="1144">
        <f t="shared" si="38"/>
        <v>36.033000000000001</v>
      </c>
      <c r="L194" s="1144">
        <f t="shared" si="39"/>
        <v>36.033000000000001</v>
      </c>
      <c r="M194" s="1144">
        <f t="shared" si="40"/>
        <v>36.033000000000001</v>
      </c>
      <c r="N194" s="1144">
        <f t="shared" si="41"/>
        <v>21.076000000000001</v>
      </c>
      <c r="O194" s="1144">
        <f t="shared" si="42"/>
        <v>21.076000000000001</v>
      </c>
      <c r="P194" s="1144">
        <f t="shared" si="26"/>
        <v>21.076000000000001</v>
      </c>
      <c r="Q194" s="1144">
        <f t="shared" si="26"/>
        <v>21.076000000000001</v>
      </c>
      <c r="R194" s="1158">
        <f t="shared" si="29"/>
        <v>13.346</v>
      </c>
      <c r="S194" s="1158">
        <f t="shared" si="27"/>
        <v>13.346</v>
      </c>
      <c r="U194" s="29"/>
    </row>
    <row r="197" spans="1:21" x14ac:dyDescent="0.35">
      <c r="A197" s="43" t="s">
        <v>1370</v>
      </c>
    </row>
    <row r="198" spans="1:21" x14ac:dyDescent="0.35">
      <c r="A198" s="1152" t="s">
        <v>52</v>
      </c>
      <c r="D198" s="1159">
        <v>0</v>
      </c>
      <c r="E198" s="1159">
        <v>0</v>
      </c>
      <c r="F198" s="1159">
        <v>2.3250000000000002</v>
      </c>
      <c r="G198" s="1159">
        <v>2.3250000000000002</v>
      </c>
      <c r="H198" s="1159">
        <v>2.3250000000000002</v>
      </c>
      <c r="I198" s="1159">
        <v>2.3250000000000002</v>
      </c>
      <c r="J198" s="1159">
        <v>5.5830000000000002</v>
      </c>
      <c r="K198" s="1159">
        <v>5.5830000000000002</v>
      </c>
      <c r="L198" s="1159">
        <v>5.5830000000000002</v>
      </c>
      <c r="M198" s="1159">
        <v>5.5830000000000002</v>
      </c>
      <c r="N198" s="1159">
        <v>8.0220000000000002</v>
      </c>
      <c r="O198" s="1159">
        <v>8.0220000000000002</v>
      </c>
      <c r="P198" s="1159"/>
      <c r="Q198" s="1159"/>
      <c r="R198" s="1159"/>
      <c r="S198" s="1159"/>
    </row>
  </sheetData>
  <mergeCells count="5">
    <mergeCell ref="C2:O2"/>
    <mergeCell ref="C42:O42"/>
    <mergeCell ref="C68:O68"/>
    <mergeCell ref="C75:O75"/>
    <mergeCell ref="C82:O82"/>
  </mergeCells>
  <hyperlinks>
    <hyperlink ref="T157" r:id="rId1" xr:uid="{00000000-0004-0000-1E00-000000000000}"/>
    <hyperlink ref="T115" r:id="rId2" xr:uid="{00000000-0004-0000-1E00-000001000000}"/>
    <hyperlink ref="T153" r:id="rId3" location=":~:text=Who%20is%20eligible%20for%20Conservation,resource%20concerns%20when%20they%20apply." xr:uid="{00000000-0004-0000-1E00-000002000000}"/>
    <hyperlink ref="A1" r:id="rId4" xr:uid="{00000000-0004-0000-1E00-000003000000}"/>
  </hyperlinks>
  <pageMargins left="0.7" right="0.7" top="0.75" bottom="0.75" header="0.3" footer="0.3"/>
  <pageSetup orientation="portrait" horizontalDpi="1200" verticalDpi="1200"/>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tint="0.59999389629810485"/>
  </sheetPr>
  <dimension ref="A1:F50"/>
  <sheetViews>
    <sheetView workbookViewId="0">
      <selection activeCell="F40" sqref="F40"/>
    </sheetView>
  </sheetViews>
  <sheetFormatPr defaultColWidth="10.90625" defaultRowHeight="14.5" x14ac:dyDescent="0.35"/>
  <cols>
    <col min="1" max="1" width="77.81640625" customWidth="1"/>
    <col min="2" max="2" width="21" customWidth="1"/>
    <col min="5" max="5" width="37.453125" customWidth="1"/>
    <col min="6" max="6" width="16" customWidth="1"/>
  </cols>
  <sheetData>
    <row r="1" spans="1:6" x14ac:dyDescent="0.35">
      <c r="A1" s="249" t="s">
        <v>552</v>
      </c>
    </row>
    <row r="2" spans="1:6" ht="20.9" customHeight="1" x14ac:dyDescent="0.4">
      <c r="A2" s="1164" t="s">
        <v>553</v>
      </c>
      <c r="B2" s="1164" t="s">
        <v>554</v>
      </c>
      <c r="C2" s="1164" t="s">
        <v>555</v>
      </c>
      <c r="D2" s="1164" t="s">
        <v>556</v>
      </c>
    </row>
    <row r="3" spans="1:6" x14ac:dyDescent="0.35">
      <c r="A3" s="1165" t="s">
        <v>557</v>
      </c>
      <c r="B3" s="973">
        <f>SUM(B4:B7)</f>
        <v>325</v>
      </c>
      <c r="E3" s="1473" t="s">
        <v>558</v>
      </c>
      <c r="F3" s="1473"/>
    </row>
    <row r="4" spans="1:6" x14ac:dyDescent="0.35">
      <c r="A4" s="868" t="s">
        <v>559</v>
      </c>
      <c r="B4" s="973">
        <v>284</v>
      </c>
      <c r="E4" s="529" t="s">
        <v>51</v>
      </c>
      <c r="F4" s="529" t="s">
        <v>560</v>
      </c>
    </row>
    <row r="5" spans="1:6" x14ac:dyDescent="0.35">
      <c r="A5" s="868" t="s">
        <v>412</v>
      </c>
      <c r="B5" s="973">
        <v>20</v>
      </c>
      <c r="E5" s="249" t="s">
        <v>150</v>
      </c>
      <c r="F5" s="249">
        <f>SUM(B11:B16)</f>
        <v>82</v>
      </c>
    </row>
    <row r="6" spans="1:6" x14ac:dyDescent="0.35">
      <c r="A6" s="868" t="s">
        <v>419</v>
      </c>
      <c r="B6" s="973">
        <v>15</v>
      </c>
      <c r="E6" s="249" t="s">
        <v>49</v>
      </c>
      <c r="F6" s="249">
        <f>B23</f>
        <v>3</v>
      </c>
    </row>
    <row r="7" spans="1:6" x14ac:dyDescent="0.35">
      <c r="A7" s="868" t="s">
        <v>420</v>
      </c>
      <c r="B7" s="973">
        <v>6</v>
      </c>
      <c r="E7" s="249" t="s">
        <v>342</v>
      </c>
      <c r="F7" s="249">
        <f>B27-B28</f>
        <v>29</v>
      </c>
    </row>
    <row r="8" spans="1:6" x14ac:dyDescent="0.35">
      <c r="A8" s="529" t="s">
        <v>561</v>
      </c>
      <c r="B8" s="973">
        <v>121</v>
      </c>
      <c r="E8" s="249" t="s">
        <v>359</v>
      </c>
      <c r="F8" s="249">
        <f>B42</f>
        <v>2</v>
      </c>
    </row>
    <row r="9" spans="1:6" x14ac:dyDescent="0.35">
      <c r="A9" s="1166" t="s">
        <v>562</v>
      </c>
      <c r="B9" s="973">
        <v>166</v>
      </c>
      <c r="E9" s="249" t="s">
        <v>563</v>
      </c>
      <c r="F9" s="249">
        <f>B18+B20+B21</f>
        <v>34</v>
      </c>
    </row>
    <row r="10" spans="1:6" x14ac:dyDescent="0.35">
      <c r="A10" s="1163" t="s">
        <v>564</v>
      </c>
      <c r="B10" s="973">
        <v>82</v>
      </c>
      <c r="E10" s="529" t="s">
        <v>565</v>
      </c>
      <c r="F10" s="529" t="s">
        <v>566</v>
      </c>
    </row>
    <row r="11" spans="1:6" x14ac:dyDescent="0.35">
      <c r="A11" s="868" t="s">
        <v>567</v>
      </c>
      <c r="B11" s="973">
        <v>54</v>
      </c>
      <c r="E11" s="249" t="s">
        <v>315</v>
      </c>
      <c r="F11" s="249">
        <f>B4</f>
        <v>284</v>
      </c>
    </row>
    <row r="12" spans="1:6" x14ac:dyDescent="0.35">
      <c r="A12" s="868" t="s">
        <v>568</v>
      </c>
      <c r="B12" s="973">
        <v>20</v>
      </c>
      <c r="E12" s="249" t="s">
        <v>569</v>
      </c>
      <c r="F12" s="249">
        <f>B5</f>
        <v>20</v>
      </c>
    </row>
    <row r="13" spans="1:6" x14ac:dyDescent="0.35">
      <c r="A13" s="868" t="s">
        <v>570</v>
      </c>
      <c r="B13" s="973">
        <v>4</v>
      </c>
      <c r="E13" s="249" t="s">
        <v>419</v>
      </c>
      <c r="F13" s="249">
        <f>B6</f>
        <v>15</v>
      </c>
    </row>
    <row r="14" spans="1:6" ht="27.65" customHeight="1" x14ac:dyDescent="0.35">
      <c r="A14" s="868" t="s">
        <v>571</v>
      </c>
      <c r="B14" s="973">
        <v>2</v>
      </c>
      <c r="E14" s="284" t="s">
        <v>420</v>
      </c>
      <c r="F14" s="249">
        <f>B7</f>
        <v>6</v>
      </c>
    </row>
    <row r="15" spans="1:6" ht="27.65" customHeight="1" x14ac:dyDescent="0.35">
      <c r="A15" s="868" t="s">
        <v>572</v>
      </c>
      <c r="B15" s="973">
        <v>1</v>
      </c>
      <c r="E15" s="284" t="s">
        <v>573</v>
      </c>
      <c r="F15" s="249">
        <f>B28</f>
        <v>15</v>
      </c>
    </row>
    <row r="16" spans="1:6" x14ac:dyDescent="0.35">
      <c r="A16" s="868" t="s">
        <v>574</v>
      </c>
      <c r="B16" s="973">
        <v>1</v>
      </c>
      <c r="E16" s="249" t="s">
        <v>575</v>
      </c>
      <c r="F16" s="249">
        <f>B37</f>
        <v>12</v>
      </c>
    </row>
    <row r="17" spans="1:6" x14ac:dyDescent="0.35">
      <c r="A17" s="529" t="s">
        <v>576</v>
      </c>
      <c r="B17" s="973">
        <v>72</v>
      </c>
      <c r="E17" s="249" t="s">
        <v>577</v>
      </c>
      <c r="F17" s="249">
        <f>B38</f>
        <v>10</v>
      </c>
    </row>
    <row r="18" spans="1:6" x14ac:dyDescent="0.35">
      <c r="A18" s="868" t="s">
        <v>578</v>
      </c>
      <c r="B18" s="973">
        <v>22</v>
      </c>
      <c r="C18" s="249" t="s">
        <v>579</v>
      </c>
    </row>
    <row r="19" spans="1:6" x14ac:dyDescent="0.35">
      <c r="A19" s="868" t="s">
        <v>580</v>
      </c>
      <c r="B19" s="973">
        <v>20</v>
      </c>
      <c r="C19" s="249" t="s">
        <v>109</v>
      </c>
    </row>
    <row r="20" spans="1:6" x14ac:dyDescent="0.35">
      <c r="A20" s="868" t="s">
        <v>581</v>
      </c>
      <c r="B20" s="973">
        <v>8</v>
      </c>
      <c r="C20" s="249" t="s">
        <v>579</v>
      </c>
    </row>
    <row r="21" spans="1:6" x14ac:dyDescent="0.35">
      <c r="A21" s="868" t="s">
        <v>582</v>
      </c>
      <c r="B21" s="973">
        <v>4</v>
      </c>
      <c r="C21" s="249" t="s">
        <v>51</v>
      </c>
    </row>
    <row r="22" spans="1:6" x14ac:dyDescent="0.35">
      <c r="A22" s="868" t="s">
        <v>583</v>
      </c>
      <c r="B22" s="973">
        <v>4</v>
      </c>
      <c r="C22" s="249" t="s">
        <v>109</v>
      </c>
    </row>
    <row r="23" spans="1:6" x14ac:dyDescent="0.35">
      <c r="A23" s="868" t="s">
        <v>584</v>
      </c>
      <c r="B23" s="973">
        <v>3</v>
      </c>
      <c r="C23" s="249" t="s">
        <v>585</v>
      </c>
    </row>
    <row r="24" spans="1:6" x14ac:dyDescent="0.35">
      <c r="A24" s="868" t="s">
        <v>586</v>
      </c>
      <c r="B24" s="973">
        <v>3</v>
      </c>
      <c r="C24" s="249" t="s">
        <v>587</v>
      </c>
    </row>
    <row r="25" spans="1:6" x14ac:dyDescent="0.35">
      <c r="A25" s="1167" t="s">
        <v>588</v>
      </c>
      <c r="B25" s="973">
        <v>3</v>
      </c>
      <c r="C25" s="249" t="s">
        <v>55</v>
      </c>
    </row>
    <row r="26" spans="1:6" x14ac:dyDescent="0.35">
      <c r="A26" s="868" t="s">
        <v>589</v>
      </c>
      <c r="B26" s="973">
        <v>4</v>
      </c>
      <c r="C26" s="249" t="s">
        <v>590</v>
      </c>
    </row>
    <row r="27" spans="1:6" x14ac:dyDescent="0.35">
      <c r="A27" s="529" t="s">
        <v>342</v>
      </c>
      <c r="B27" s="973">
        <v>44</v>
      </c>
    </row>
    <row r="28" spans="1:6" x14ac:dyDescent="0.35">
      <c r="A28" s="1160" t="s">
        <v>573</v>
      </c>
      <c r="B28" s="1161">
        <v>15</v>
      </c>
    </row>
    <row r="29" spans="1:6" x14ac:dyDescent="0.35">
      <c r="A29" s="868" t="s">
        <v>591</v>
      </c>
      <c r="B29" s="973">
        <v>14</v>
      </c>
    </row>
    <row r="30" spans="1:6" x14ac:dyDescent="0.35">
      <c r="A30" s="868" t="s">
        <v>592</v>
      </c>
      <c r="B30" s="973">
        <v>10</v>
      </c>
    </row>
    <row r="31" spans="1:6" x14ac:dyDescent="0.35">
      <c r="A31" s="868" t="s">
        <v>593</v>
      </c>
      <c r="B31" s="973">
        <v>2</v>
      </c>
    </row>
    <row r="32" spans="1:6" x14ac:dyDescent="0.35">
      <c r="A32" s="868" t="s">
        <v>594</v>
      </c>
      <c r="B32" s="973">
        <v>2</v>
      </c>
    </row>
    <row r="33" spans="1:6" x14ac:dyDescent="0.35">
      <c r="A33" s="868" t="s">
        <v>595</v>
      </c>
      <c r="B33" s="973">
        <v>1</v>
      </c>
    </row>
    <row r="34" spans="1:6" x14ac:dyDescent="0.35">
      <c r="A34" s="529" t="s">
        <v>596</v>
      </c>
      <c r="B34" s="973">
        <v>88</v>
      </c>
    </row>
    <row r="35" spans="1:6" x14ac:dyDescent="0.35">
      <c r="A35" s="1167" t="s">
        <v>597</v>
      </c>
      <c r="B35" s="973">
        <v>26</v>
      </c>
    </row>
    <row r="36" spans="1:6" x14ac:dyDescent="0.35">
      <c r="A36" s="868" t="s">
        <v>598</v>
      </c>
      <c r="B36" s="973">
        <v>25</v>
      </c>
    </row>
    <row r="37" spans="1:6" x14ac:dyDescent="0.35">
      <c r="A37" s="868" t="s">
        <v>575</v>
      </c>
      <c r="B37" s="973">
        <v>12</v>
      </c>
      <c r="C37" s="249" t="s">
        <v>599</v>
      </c>
      <c r="E37" s="249" t="s">
        <v>600</v>
      </c>
      <c r="F37" s="249" t="s">
        <v>601</v>
      </c>
    </row>
    <row r="38" spans="1:6" x14ac:dyDescent="0.35">
      <c r="A38" s="868" t="s">
        <v>577</v>
      </c>
      <c r="B38" s="973">
        <v>10</v>
      </c>
      <c r="C38" s="249" t="s">
        <v>599</v>
      </c>
      <c r="E38" s="249" t="s">
        <v>602</v>
      </c>
      <c r="F38" s="249" t="s">
        <v>603</v>
      </c>
    </row>
    <row r="39" spans="1:6" x14ac:dyDescent="0.35">
      <c r="A39" s="868" t="s">
        <v>604</v>
      </c>
      <c r="B39" s="973">
        <v>7</v>
      </c>
      <c r="C39" s="249" t="s">
        <v>590</v>
      </c>
      <c r="E39" s="249" t="s">
        <v>605</v>
      </c>
      <c r="F39" s="249" t="s">
        <v>606</v>
      </c>
    </row>
    <row r="40" spans="1:6" x14ac:dyDescent="0.35">
      <c r="A40" s="868" t="s">
        <v>607</v>
      </c>
      <c r="B40" s="973">
        <v>5</v>
      </c>
      <c r="C40" s="249" t="s">
        <v>109</v>
      </c>
      <c r="E40" s="249" t="s">
        <v>608</v>
      </c>
    </row>
    <row r="41" spans="1:6" x14ac:dyDescent="0.35">
      <c r="A41" s="868" t="s">
        <v>609</v>
      </c>
      <c r="B41" s="973">
        <v>2</v>
      </c>
      <c r="C41" s="249" t="s">
        <v>590</v>
      </c>
      <c r="E41" s="249" t="s">
        <v>610</v>
      </c>
    </row>
    <row r="42" spans="1:6" x14ac:dyDescent="0.35">
      <c r="A42" s="868" t="s">
        <v>611</v>
      </c>
      <c r="B42" s="973">
        <v>2</v>
      </c>
      <c r="C42" s="249" t="s">
        <v>579</v>
      </c>
      <c r="E42" s="1162" t="s">
        <v>612</v>
      </c>
    </row>
    <row r="43" spans="1:6" x14ac:dyDescent="0.35">
      <c r="A43" s="868" t="s">
        <v>613</v>
      </c>
      <c r="B43" s="973">
        <v>0</v>
      </c>
      <c r="E43" s="249" t="s">
        <v>614</v>
      </c>
    </row>
    <row r="44" spans="1:6" x14ac:dyDescent="0.35">
      <c r="A44" s="529" t="s">
        <v>615</v>
      </c>
      <c r="B44" s="973">
        <v>40</v>
      </c>
    </row>
    <row r="45" spans="1:6" x14ac:dyDescent="0.35">
      <c r="A45" s="1167" t="s">
        <v>616</v>
      </c>
      <c r="B45" s="1168">
        <v>21</v>
      </c>
    </row>
    <row r="46" spans="1:6" x14ac:dyDescent="0.35">
      <c r="A46" s="868" t="s">
        <v>617</v>
      </c>
      <c r="B46" s="973">
        <v>6</v>
      </c>
    </row>
    <row r="47" spans="1:6" x14ac:dyDescent="0.35">
      <c r="A47" s="1167" t="s">
        <v>618</v>
      </c>
      <c r="B47" s="1168">
        <v>4</v>
      </c>
    </row>
    <row r="48" spans="1:6" x14ac:dyDescent="0.35">
      <c r="A48" s="868" t="s">
        <v>619</v>
      </c>
      <c r="B48" s="973">
        <v>4</v>
      </c>
    </row>
    <row r="49" spans="1:2" x14ac:dyDescent="0.35">
      <c r="A49" s="1167" t="s">
        <v>620</v>
      </c>
      <c r="B49" s="1168">
        <v>3</v>
      </c>
    </row>
    <row r="50" spans="1:2" x14ac:dyDescent="0.35">
      <c r="A50" s="868" t="s">
        <v>621</v>
      </c>
      <c r="B50" s="973">
        <v>2</v>
      </c>
    </row>
  </sheetData>
  <mergeCells count="1">
    <mergeCell ref="E3:F3"/>
  </mergeCells>
  <pageMargins left="0.7" right="0.7" top="0.75" bottom="0.75" header="0.3" footer="0.3"/>
  <pageSetup orientation="portrait" horizontalDpi="300" verticalDpi="300"/>
  <drawing r:id="rId1"/>
  <legacyDrawing r:id="rId2"/>
  <tableParts count="1">
    <tablePart r:id="rId3"/>
  </tableParts>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5" tint="0.59999389629810485"/>
  </sheetPr>
  <dimension ref="A1:BJ502"/>
  <sheetViews>
    <sheetView zoomScale="105" zoomScaleNormal="90" workbookViewId="0">
      <pane xSplit="1" ySplit="4" topLeftCell="B5" activePane="bottomRight" state="frozen"/>
      <selection pane="topRight" activeCell="B1" sqref="B1"/>
      <selection pane="bottomLeft" activeCell="A5" sqref="A5"/>
      <selection pane="bottomRight" activeCell="AB8" sqref="AB8"/>
    </sheetView>
  </sheetViews>
  <sheetFormatPr defaultColWidth="10.90625" defaultRowHeight="14.5" x14ac:dyDescent="0.35"/>
  <cols>
    <col min="1" max="1" width="6.453125" customWidth="1"/>
    <col min="2" max="2" width="8.1796875" customWidth="1"/>
    <col min="4" max="4" width="7.1796875" customWidth="1"/>
    <col min="5" max="5" width="8.81640625" customWidth="1"/>
    <col min="7" max="7" width="8.1796875" customWidth="1"/>
    <col min="8" max="8" width="7.1796875" customWidth="1"/>
    <col min="10" max="10" width="8.453125" customWidth="1"/>
    <col min="12" max="13" width="8.453125" customWidth="1"/>
    <col min="14" max="14" width="7.453125" customWidth="1"/>
    <col min="15" max="62" width="8.453125" customWidth="1"/>
  </cols>
  <sheetData>
    <row r="1" spans="1:62" x14ac:dyDescent="0.35">
      <c r="A1" s="56" t="s">
        <v>828</v>
      </c>
      <c r="I1" s="1474"/>
      <c r="J1" s="1474"/>
      <c r="K1" s="1474"/>
    </row>
    <row r="2" spans="1:62" ht="13.4" customHeight="1" x14ac:dyDescent="0.35">
      <c r="A2" s="1180"/>
      <c r="O2" s="1206" t="s">
        <v>793</v>
      </c>
      <c r="P2" s="1480" t="s">
        <v>622</v>
      </c>
      <c r="Q2" s="1480"/>
      <c r="R2" s="1480"/>
      <c r="S2" s="1480"/>
      <c r="T2" s="1209"/>
      <c r="U2" s="1209"/>
      <c r="V2" s="1209"/>
      <c r="W2" s="1209"/>
      <c r="X2" s="1209"/>
      <c r="Y2" s="1475" t="s">
        <v>623</v>
      </c>
      <c r="Z2" s="1476"/>
      <c r="AA2" s="1476"/>
      <c r="AB2" s="1476"/>
      <c r="AC2" s="1476"/>
      <c r="AD2" s="1476"/>
      <c r="AE2" s="1209"/>
      <c r="AF2" s="1209"/>
      <c r="AG2" s="1477" t="s">
        <v>624</v>
      </c>
      <c r="AH2" s="1476"/>
      <c r="AI2" s="1476"/>
      <c r="AJ2" s="1479" t="s">
        <v>625</v>
      </c>
      <c r="AK2" s="1479"/>
      <c r="AL2" s="1479"/>
      <c r="AM2" s="1479"/>
      <c r="AN2" s="1479"/>
      <c r="AO2" s="1479"/>
      <c r="AP2" s="1479"/>
      <c r="AQ2" s="1479"/>
      <c r="AR2" s="1479"/>
      <c r="AS2" s="1479"/>
      <c r="AT2" s="1210"/>
      <c r="AU2" s="1478" t="s">
        <v>384</v>
      </c>
      <c r="AV2" s="1478"/>
      <c r="AW2" s="1478"/>
      <c r="AX2" s="1478"/>
      <c r="AY2" s="1478"/>
      <c r="AZ2" s="1478"/>
      <c r="BA2" s="1478"/>
      <c r="BB2" s="1191"/>
      <c r="BC2" s="1191"/>
      <c r="BD2" s="1191"/>
      <c r="BE2" s="1191"/>
      <c r="BF2" s="1191"/>
      <c r="BG2" s="1191"/>
      <c r="BH2" s="1191"/>
      <c r="BI2" s="1191"/>
      <c r="BJ2" s="1197" t="s">
        <v>626</v>
      </c>
    </row>
    <row r="3" spans="1:62" ht="43.4" customHeight="1" x14ac:dyDescent="0.35">
      <c r="A3" s="1181"/>
      <c r="B3" s="1181"/>
      <c r="C3" s="1181"/>
      <c r="D3" s="1181"/>
      <c r="E3" s="1181"/>
      <c r="F3" s="1181"/>
      <c r="G3" s="1181"/>
      <c r="H3" s="1181"/>
      <c r="I3" s="1181"/>
      <c r="J3" s="1181"/>
      <c r="K3" s="1181"/>
      <c r="L3" s="1181"/>
      <c r="M3" s="1181"/>
      <c r="N3" s="1181"/>
      <c r="O3" s="1207" t="s">
        <v>627</v>
      </c>
      <c r="P3" s="1190" t="s">
        <v>628</v>
      </c>
      <c r="Q3" s="1190" t="s">
        <v>629</v>
      </c>
      <c r="R3" s="1190" t="s">
        <v>630</v>
      </c>
      <c r="S3" s="1190" t="s">
        <v>631</v>
      </c>
      <c r="T3" s="1190" t="s">
        <v>632</v>
      </c>
      <c r="U3" s="1190" t="s">
        <v>633</v>
      </c>
      <c r="V3" s="1190" t="s">
        <v>634</v>
      </c>
      <c r="W3" s="1190" t="s">
        <v>635</v>
      </c>
      <c r="X3" s="1190" t="s">
        <v>636</v>
      </c>
      <c r="Y3" s="1190" t="s">
        <v>637</v>
      </c>
      <c r="Z3" s="1190"/>
      <c r="AA3" s="1190"/>
      <c r="AB3" s="1190"/>
      <c r="AC3" s="1190" t="s">
        <v>638</v>
      </c>
      <c r="AD3" s="1190" t="s">
        <v>639</v>
      </c>
      <c r="AE3" s="1190" t="s">
        <v>640</v>
      </c>
      <c r="AF3" s="1190" t="s">
        <v>641</v>
      </c>
      <c r="AG3" s="1190" t="s">
        <v>642</v>
      </c>
      <c r="AH3" s="1190" t="s">
        <v>643</v>
      </c>
      <c r="AI3" s="1190" t="s">
        <v>644</v>
      </c>
      <c r="AJ3" s="1190" t="s">
        <v>645</v>
      </c>
      <c r="AK3" s="1190" t="s">
        <v>646</v>
      </c>
      <c r="AL3" s="1190" t="s">
        <v>647</v>
      </c>
      <c r="AM3" s="1190" t="s">
        <v>648</v>
      </c>
      <c r="AN3" s="1190" t="s">
        <v>649</v>
      </c>
      <c r="AO3" s="1190" t="s">
        <v>650</v>
      </c>
      <c r="AP3" s="1190" t="s">
        <v>651</v>
      </c>
      <c r="AQ3" s="1203" t="s">
        <v>652</v>
      </c>
      <c r="AR3" s="1190" t="s">
        <v>653</v>
      </c>
      <c r="AS3" s="1190" t="s">
        <v>654</v>
      </c>
      <c r="AT3" s="1190" t="s">
        <v>655</v>
      </c>
      <c r="AU3" s="1190" t="s">
        <v>656</v>
      </c>
      <c r="AV3" s="1190" t="s">
        <v>657</v>
      </c>
      <c r="AW3" s="1190" t="s">
        <v>658</v>
      </c>
      <c r="AX3" s="1190" t="s">
        <v>659</v>
      </c>
      <c r="AY3" s="1190" t="s">
        <v>660</v>
      </c>
      <c r="AZ3" s="1190" t="s">
        <v>661</v>
      </c>
      <c r="BA3" s="1190" t="s">
        <v>638</v>
      </c>
      <c r="BB3" s="1198" t="s">
        <v>662</v>
      </c>
      <c r="BC3" s="1198" t="s">
        <v>663</v>
      </c>
      <c r="BD3" s="1198" t="s">
        <v>664</v>
      </c>
      <c r="BE3" s="1198" t="s">
        <v>665</v>
      </c>
      <c r="BF3" s="1198" t="s">
        <v>666</v>
      </c>
      <c r="BG3" s="1198" t="s">
        <v>667</v>
      </c>
      <c r="BH3" s="1198" t="s">
        <v>668</v>
      </c>
      <c r="BI3" s="1198" t="s">
        <v>669</v>
      </c>
      <c r="BJ3" s="1192" t="s">
        <v>670</v>
      </c>
    </row>
    <row r="4" spans="1:62" ht="63" customHeight="1" x14ac:dyDescent="0.35">
      <c r="A4" s="1201" t="s">
        <v>671</v>
      </c>
      <c r="B4" s="1180" t="s">
        <v>56</v>
      </c>
      <c r="C4" s="1180" t="s">
        <v>672</v>
      </c>
      <c r="D4" s="1180" t="s">
        <v>542</v>
      </c>
      <c r="E4" s="1180" t="s">
        <v>673</v>
      </c>
      <c r="F4" s="1180" t="s">
        <v>674</v>
      </c>
      <c r="G4" s="1180" t="s">
        <v>675</v>
      </c>
      <c r="H4" s="1180" t="s">
        <v>131</v>
      </c>
      <c r="I4" s="1187" t="s">
        <v>347</v>
      </c>
      <c r="J4" s="1187" t="s">
        <v>150</v>
      </c>
      <c r="K4" s="1187" t="s">
        <v>676</v>
      </c>
      <c r="L4" s="1185" t="s">
        <v>159</v>
      </c>
      <c r="M4" s="1180" t="s">
        <v>109</v>
      </c>
      <c r="N4" s="1180" t="s">
        <v>677</v>
      </c>
      <c r="O4" s="1208" t="s">
        <v>678</v>
      </c>
      <c r="P4" s="1198" t="s">
        <v>679</v>
      </c>
      <c r="Q4" s="1198" t="s">
        <v>680</v>
      </c>
      <c r="R4" s="1198" t="s">
        <v>681</v>
      </c>
      <c r="S4" s="1198" t="s">
        <v>682</v>
      </c>
      <c r="T4" s="1198" t="s">
        <v>683</v>
      </c>
      <c r="U4" s="1198" t="s">
        <v>684</v>
      </c>
      <c r="V4" s="1198" t="s">
        <v>685</v>
      </c>
      <c r="W4" s="1198" t="s">
        <v>686</v>
      </c>
      <c r="X4" s="1198" t="s">
        <v>687</v>
      </c>
      <c r="Y4" s="1198" t="s">
        <v>688</v>
      </c>
      <c r="Z4" s="1198" t="s">
        <v>689</v>
      </c>
      <c r="AA4" s="1198" t="s">
        <v>690</v>
      </c>
      <c r="AB4" s="1198" t="s">
        <v>691</v>
      </c>
      <c r="AC4" s="1198" t="s">
        <v>692</v>
      </c>
      <c r="AD4" s="1198" t="s">
        <v>693</v>
      </c>
      <c r="AE4" s="1198" t="s">
        <v>694</v>
      </c>
      <c r="AF4" s="1198" t="s">
        <v>695</v>
      </c>
      <c r="AG4" s="1198" t="s">
        <v>210</v>
      </c>
      <c r="AH4" s="1198" t="s">
        <v>211</v>
      </c>
      <c r="AI4" s="1198" t="s">
        <v>696</v>
      </c>
      <c r="AJ4" s="1198" t="s">
        <v>697</v>
      </c>
      <c r="AK4" s="1198" t="s">
        <v>698</v>
      </c>
      <c r="AL4" s="1198" t="s">
        <v>699</v>
      </c>
      <c r="AM4" s="1198" t="s">
        <v>700</v>
      </c>
      <c r="AN4" s="1198" t="s">
        <v>701</v>
      </c>
      <c r="AO4" s="1198" t="s">
        <v>702</v>
      </c>
      <c r="AP4" s="1198" t="s">
        <v>703</v>
      </c>
      <c r="AQ4" s="1199" t="s">
        <v>704</v>
      </c>
      <c r="AR4" s="1198" t="s">
        <v>705</v>
      </c>
      <c r="AS4" s="1198" t="s">
        <v>706</v>
      </c>
      <c r="AT4" s="1198" t="s">
        <v>707</v>
      </c>
      <c r="AU4" s="1198" t="s">
        <v>708</v>
      </c>
      <c r="AV4" s="1198" t="s">
        <v>709</v>
      </c>
      <c r="AW4" s="1198" t="s">
        <v>710</v>
      </c>
      <c r="AX4" s="1198" t="s">
        <v>711</v>
      </c>
      <c r="AY4" s="1198" t="s">
        <v>712</v>
      </c>
      <c r="AZ4" s="1198" t="s">
        <v>713</v>
      </c>
      <c r="BA4" s="1198"/>
      <c r="BB4" s="1198" t="s">
        <v>424</v>
      </c>
      <c r="BC4" s="1198" t="s">
        <v>714</v>
      </c>
      <c r="BD4" s="1198" t="s">
        <v>715</v>
      </c>
      <c r="BE4" s="1198" t="s">
        <v>716</v>
      </c>
      <c r="BF4" s="1198" t="s">
        <v>717</v>
      </c>
      <c r="BG4" s="1198" t="s">
        <v>718</v>
      </c>
      <c r="BH4" s="1198" t="s">
        <v>719</v>
      </c>
      <c r="BI4" s="1198" t="s">
        <v>720</v>
      </c>
      <c r="BJ4" s="1200" t="s">
        <v>721</v>
      </c>
    </row>
    <row r="5" spans="1:62" x14ac:dyDescent="0.35">
      <c r="A5" s="1182">
        <v>2021</v>
      </c>
      <c r="B5" s="1184">
        <f>Q5</f>
        <v>394.202</v>
      </c>
      <c r="C5" s="1184">
        <f>SUM(Y5:AB5)</f>
        <v>195.7</v>
      </c>
      <c r="D5" s="1184">
        <f>T5</f>
        <v>18.823</v>
      </c>
      <c r="E5" s="1184">
        <f>SUM(P5:S5)-B5</f>
        <v>0.77600000000001046</v>
      </c>
      <c r="F5" s="1184">
        <f>SUM(T5:AF5)-C5-L5-D5 - 28</f>
        <v>19.722000000000016</v>
      </c>
      <c r="G5" s="1184">
        <f>SUM(BB5:BI5)-BC5</f>
        <v>81.642999999999986</v>
      </c>
      <c r="H5" s="1184">
        <f>SUM(AG5:AI5)</f>
        <v>7.798</v>
      </c>
      <c r="I5" s="1184">
        <f>AJ5</f>
        <v>283.95749999999998</v>
      </c>
      <c r="J5" s="1184">
        <f>AL5</f>
        <v>12.347</v>
      </c>
      <c r="K5" s="1184">
        <f>SUM(AM5:AT5)</f>
        <v>29.628</v>
      </c>
      <c r="L5" s="1188">
        <f>103/4</f>
        <v>25.75</v>
      </c>
      <c r="M5" s="1184">
        <f t="shared" ref="M5:M16" si="0">SUM(AU5:BA5)</f>
        <v>31.939</v>
      </c>
      <c r="N5" s="1184">
        <f>AK5</f>
        <v>3.4</v>
      </c>
      <c r="O5" s="1211">
        <v>50</v>
      </c>
      <c r="P5" s="1205">
        <v>0.55000000000000004</v>
      </c>
      <c r="Q5" s="895">
        <v>394.202</v>
      </c>
      <c r="R5" s="1213">
        <v>0.14599999999999999</v>
      </c>
      <c r="S5" s="1213">
        <v>0.08</v>
      </c>
      <c r="T5" s="1213">
        <v>18.823</v>
      </c>
      <c r="U5" s="895">
        <v>19</v>
      </c>
      <c r="V5" s="1213">
        <v>11.481999999999999</v>
      </c>
      <c r="W5" s="734">
        <v>1.5580000000000001</v>
      </c>
      <c r="X5" s="734">
        <v>0.74</v>
      </c>
      <c r="Y5" s="895">
        <v>0.2</v>
      </c>
      <c r="Z5" s="895">
        <v>43.1</v>
      </c>
      <c r="AA5" s="895">
        <v>33.9</v>
      </c>
      <c r="AB5" s="895">
        <v>118.5</v>
      </c>
      <c r="AC5" s="895">
        <v>28</v>
      </c>
      <c r="AD5" s="734">
        <v>-2.0379999999999998</v>
      </c>
      <c r="AE5" s="895">
        <v>14.31</v>
      </c>
      <c r="AF5" s="1213">
        <v>0.42</v>
      </c>
      <c r="AG5" s="1213">
        <v>7.7279999999999998</v>
      </c>
      <c r="AH5" s="895">
        <v>7.0000000000000007E-2</v>
      </c>
      <c r="AI5" s="895">
        <v>0</v>
      </c>
      <c r="AJ5" s="895">
        <v>283.95749999999998</v>
      </c>
      <c r="AK5" s="1204">
        <v>3.4</v>
      </c>
      <c r="AL5" s="1204">
        <v>12.347</v>
      </c>
      <c r="AM5" s="1214">
        <v>0.28599999999999998</v>
      </c>
      <c r="AN5" s="1204">
        <v>2</v>
      </c>
      <c r="AO5" s="895">
        <v>0.81</v>
      </c>
      <c r="AP5" s="1204">
        <v>0.52100000000000002</v>
      </c>
      <c r="AQ5" s="1215">
        <v>10</v>
      </c>
      <c r="AR5" s="1204">
        <v>2.7</v>
      </c>
      <c r="AS5" s="1204">
        <v>0.751</v>
      </c>
      <c r="AT5" s="895">
        <v>12.56</v>
      </c>
      <c r="AU5" s="895">
        <v>0</v>
      </c>
      <c r="AV5" s="1204">
        <v>1.415</v>
      </c>
      <c r="AW5" s="1204">
        <v>10.51</v>
      </c>
      <c r="AX5" s="1204">
        <v>2.6</v>
      </c>
      <c r="AY5" s="895">
        <v>-0.33</v>
      </c>
      <c r="AZ5" s="1204">
        <v>17.744</v>
      </c>
      <c r="BA5" s="895">
        <v>0</v>
      </c>
      <c r="BB5" s="1204">
        <v>4.0999999999999996</v>
      </c>
      <c r="BC5" s="1204">
        <v>7.25</v>
      </c>
      <c r="BD5" s="1204">
        <v>48.4</v>
      </c>
      <c r="BE5" s="1213">
        <v>0.83</v>
      </c>
      <c r="BF5" s="734">
        <v>4.5110000000000001</v>
      </c>
      <c r="BG5" s="895">
        <v>3.0739999999999998</v>
      </c>
      <c r="BH5" s="1169">
        <v>-0.28399999999999997</v>
      </c>
      <c r="BI5" s="1204">
        <v>21.012</v>
      </c>
      <c r="BJ5" s="1193">
        <v>1.1599999999999999</v>
      </c>
    </row>
    <row r="6" spans="1:62" x14ac:dyDescent="0.35">
      <c r="A6" s="1182">
        <v>2022</v>
      </c>
      <c r="B6" s="1184">
        <f t="shared" ref="B6:B15" si="1">Q6</f>
        <v>17.465</v>
      </c>
      <c r="C6" s="1184">
        <f t="shared" ref="C6:C15" si="2">SUM(Y6:AB6)</f>
        <v>10.1</v>
      </c>
      <c r="D6" s="1184">
        <f t="shared" ref="D6:D15" si="3">T6</f>
        <v>2.5950000000000002</v>
      </c>
      <c r="E6" s="1184">
        <f t="shared" ref="E6:E15" si="4">SUM(P6:S6)-B6</f>
        <v>19.719000000000005</v>
      </c>
      <c r="F6" s="1184">
        <f>SUM(T6:AF6)-C6-L6-D6</f>
        <v>52.756999999999998</v>
      </c>
      <c r="G6" s="1184">
        <f t="shared" ref="G6:G16" si="5">SUM(BB6:BI6)-BC6</f>
        <v>110.24799999999999</v>
      </c>
      <c r="H6" s="1184">
        <f t="shared" ref="H6:H15" si="6">SUM(AG6:AI6)</f>
        <v>7.9489999999999998</v>
      </c>
      <c r="I6" s="1184">
        <f t="shared" ref="I6:I15" si="7">AJ6</f>
        <v>77.092500000000001</v>
      </c>
      <c r="J6" s="1184">
        <f t="shared" ref="J6:J15" si="8">AL6</f>
        <v>46.79</v>
      </c>
      <c r="K6" s="1184">
        <f t="shared" ref="K6:K16" si="9">SUM(AM6:AT6)</f>
        <v>35.671000000000006</v>
      </c>
      <c r="L6" s="1188">
        <v>0</v>
      </c>
      <c r="M6" s="1184">
        <f t="shared" si="0"/>
        <v>56.412999999999997</v>
      </c>
      <c r="N6" s="1184">
        <f t="shared" ref="N6:N15" si="10">AK6</f>
        <v>5.0999999999999996</v>
      </c>
      <c r="O6" s="1211">
        <v>55</v>
      </c>
      <c r="P6" s="1205">
        <v>15.61</v>
      </c>
      <c r="Q6" s="895">
        <v>17.465</v>
      </c>
      <c r="R6" s="1213">
        <v>0.317</v>
      </c>
      <c r="S6" s="1213">
        <v>3.7919999999999998</v>
      </c>
      <c r="T6" s="895">
        <v>2.5950000000000002</v>
      </c>
      <c r="U6" s="1204">
        <v>14.5</v>
      </c>
      <c r="V6" s="895">
        <v>25.070999999999998</v>
      </c>
      <c r="W6" s="734">
        <v>1.952</v>
      </c>
      <c r="X6" s="734">
        <v>0.61399999999999999</v>
      </c>
      <c r="Y6" s="1204">
        <v>0</v>
      </c>
      <c r="Z6" s="1204">
        <v>2.2999999999999998</v>
      </c>
      <c r="AA6" s="1204">
        <v>1.6</v>
      </c>
      <c r="AB6" s="1204">
        <v>6.2</v>
      </c>
      <c r="AC6" s="895">
        <v>0</v>
      </c>
      <c r="AD6" s="895">
        <v>1.31</v>
      </c>
      <c r="AE6" s="895">
        <v>8.61</v>
      </c>
      <c r="AF6" s="895">
        <v>0.7</v>
      </c>
      <c r="AG6" s="1213">
        <v>7.782</v>
      </c>
      <c r="AH6" s="895">
        <v>0.12</v>
      </c>
      <c r="AI6" s="895">
        <v>4.7E-2</v>
      </c>
      <c r="AJ6" s="895">
        <v>77.092500000000001</v>
      </c>
      <c r="AK6" s="1204">
        <v>5.0999999999999996</v>
      </c>
      <c r="AL6" s="1204">
        <v>46.79</v>
      </c>
      <c r="AM6" s="1169">
        <v>0.30499999999999999</v>
      </c>
      <c r="AN6" s="1204">
        <v>4.3</v>
      </c>
      <c r="AO6" s="734">
        <v>1.1000000000000001</v>
      </c>
      <c r="AP6" s="1204">
        <v>1.575</v>
      </c>
      <c r="AQ6" s="1215">
        <v>10</v>
      </c>
      <c r="AR6" s="1204">
        <v>4.5</v>
      </c>
      <c r="AS6" s="1204">
        <v>1.9810000000000001</v>
      </c>
      <c r="AT6" s="895">
        <v>11.91</v>
      </c>
      <c r="AU6" s="895">
        <v>0</v>
      </c>
      <c r="AV6" s="1204">
        <v>3.927</v>
      </c>
      <c r="AW6" s="1204">
        <v>4.2880000000000003</v>
      </c>
      <c r="AX6" s="1204">
        <v>3.7</v>
      </c>
      <c r="AY6" s="895">
        <v>-1.34</v>
      </c>
      <c r="AZ6" s="1204">
        <v>45.838000000000001</v>
      </c>
      <c r="BA6" s="895">
        <v>0</v>
      </c>
      <c r="BB6" s="1204">
        <v>11.3</v>
      </c>
      <c r="BC6" s="1204">
        <v>0</v>
      </c>
      <c r="BD6" s="1204">
        <v>1.1000000000000001</v>
      </c>
      <c r="BE6" s="1213">
        <v>1.75</v>
      </c>
      <c r="BF6" s="734">
        <v>1.7330000000000001</v>
      </c>
      <c r="BG6" s="734">
        <v>7.1440000000000001</v>
      </c>
      <c r="BH6" s="1170">
        <v>81.608999999999995</v>
      </c>
      <c r="BI6" s="1204">
        <v>5.6120000000000001</v>
      </c>
      <c r="BJ6" s="1193">
        <v>4.2</v>
      </c>
    </row>
    <row r="7" spans="1:62" x14ac:dyDescent="0.35">
      <c r="A7" s="1182">
        <v>2023</v>
      </c>
      <c r="B7" s="1184">
        <f t="shared" si="1"/>
        <v>0.48599999999999999</v>
      </c>
      <c r="C7" s="1184">
        <f t="shared" si="2"/>
        <v>0</v>
      </c>
      <c r="D7" s="1184">
        <f t="shared" si="3"/>
        <v>0.93700000000000006</v>
      </c>
      <c r="E7" s="1184">
        <f t="shared" si="4"/>
        <v>1.4159999999999999</v>
      </c>
      <c r="F7" s="1184">
        <f t="shared" ref="F7:F15" si="11">SUM(T7:AF7)-C7-L7-D7</f>
        <v>12</v>
      </c>
      <c r="G7" s="1184">
        <f t="shared" si="5"/>
        <v>12.726000000000001</v>
      </c>
      <c r="H7" s="1184">
        <f t="shared" si="6"/>
        <v>4.7519999999999998</v>
      </c>
      <c r="I7" s="1184">
        <f t="shared" si="7"/>
        <v>1</v>
      </c>
      <c r="J7" s="1184">
        <f t="shared" si="8"/>
        <v>38.595999999999997</v>
      </c>
      <c r="K7" s="1184">
        <f t="shared" si="9"/>
        <v>24.216000000000001</v>
      </c>
      <c r="L7" s="1188">
        <v>0</v>
      </c>
      <c r="M7" s="1184">
        <f t="shared" si="0"/>
        <v>15.652999999999999</v>
      </c>
      <c r="N7" s="1184">
        <f t="shared" si="10"/>
        <v>0</v>
      </c>
      <c r="O7" s="1211">
        <v>0.7</v>
      </c>
      <c r="P7" s="1205">
        <v>0.96</v>
      </c>
      <c r="Q7" s="895">
        <v>0.48599999999999999</v>
      </c>
      <c r="R7" s="1213">
        <v>0.45600000000000002</v>
      </c>
      <c r="S7" s="895">
        <v>0</v>
      </c>
      <c r="T7" s="1171">
        <v>0.93700000000000006</v>
      </c>
      <c r="U7" s="1204">
        <v>3</v>
      </c>
      <c r="V7" s="1213">
        <v>7.891</v>
      </c>
      <c r="W7" s="734">
        <v>0.61699999999999999</v>
      </c>
      <c r="X7" s="734">
        <v>8.4000000000000005E-2</v>
      </c>
      <c r="Y7" s="1204">
        <v>0</v>
      </c>
      <c r="Z7" s="1204">
        <v>0</v>
      </c>
      <c r="AA7" s="1204">
        <v>0</v>
      </c>
      <c r="AB7" s="1204">
        <v>0</v>
      </c>
      <c r="AC7" s="895">
        <v>0</v>
      </c>
      <c r="AD7" s="895">
        <v>0.318</v>
      </c>
      <c r="AE7" s="1213">
        <v>-0.11000000000000001</v>
      </c>
      <c r="AF7" s="895">
        <v>0.2</v>
      </c>
      <c r="AG7" s="1213">
        <v>4.6749999999999998</v>
      </c>
      <c r="AH7" s="895">
        <v>0.06</v>
      </c>
      <c r="AI7" s="895">
        <v>1.7000000000000001E-2</v>
      </c>
      <c r="AJ7" s="895">
        <v>1</v>
      </c>
      <c r="AK7" s="1204">
        <v>0</v>
      </c>
      <c r="AL7" s="1204">
        <v>38.595999999999997</v>
      </c>
      <c r="AM7" s="895">
        <v>0.14899999999999999</v>
      </c>
      <c r="AN7" s="1204">
        <v>1.2</v>
      </c>
      <c r="AO7" s="734">
        <v>0.53</v>
      </c>
      <c r="AP7" s="1204">
        <v>0.38100000000000001</v>
      </c>
      <c r="AQ7" s="1215">
        <v>8</v>
      </c>
      <c r="AR7" s="1204">
        <v>4.5</v>
      </c>
      <c r="AS7" s="1204">
        <v>0.76600000000000001</v>
      </c>
      <c r="AT7" s="895">
        <v>8.69</v>
      </c>
      <c r="AU7" s="895">
        <v>0</v>
      </c>
      <c r="AV7" s="1204">
        <v>1.93</v>
      </c>
      <c r="AW7" s="1204">
        <v>1.4379999999999999</v>
      </c>
      <c r="AX7" s="1204">
        <v>2.6</v>
      </c>
      <c r="AY7" s="734">
        <v>-2.48</v>
      </c>
      <c r="AZ7" s="1204">
        <v>12.164999999999999</v>
      </c>
      <c r="BA7" s="734">
        <v>0</v>
      </c>
      <c r="BB7" s="1204">
        <v>8.4</v>
      </c>
      <c r="BC7" s="1204">
        <v>0</v>
      </c>
      <c r="BD7" s="1204">
        <v>0.3</v>
      </c>
      <c r="BE7" s="1213">
        <v>1.8</v>
      </c>
      <c r="BF7" s="734">
        <v>0</v>
      </c>
      <c r="BG7" s="734">
        <v>0</v>
      </c>
      <c r="BH7" s="1169">
        <v>1.3759999999999999</v>
      </c>
      <c r="BI7" s="1204">
        <v>0.85</v>
      </c>
      <c r="BJ7" s="1193">
        <v>2.7</v>
      </c>
    </row>
    <row r="8" spans="1:62" x14ac:dyDescent="0.35">
      <c r="A8" s="1182">
        <v>2024</v>
      </c>
      <c r="B8" s="1184">
        <f t="shared" si="1"/>
        <v>0</v>
      </c>
      <c r="C8" s="1184">
        <f t="shared" si="2"/>
        <v>0</v>
      </c>
      <c r="D8" s="1184">
        <f t="shared" si="3"/>
        <v>0.16</v>
      </c>
      <c r="E8" s="1184">
        <f t="shared" si="4"/>
        <v>1.4790000000000001</v>
      </c>
      <c r="F8" s="1184">
        <f t="shared" si="11"/>
        <v>4.2219999999999995</v>
      </c>
      <c r="G8" s="1184">
        <f t="shared" si="5"/>
        <v>1.365</v>
      </c>
      <c r="H8" s="1184">
        <f t="shared" si="6"/>
        <v>4.637999999999999</v>
      </c>
      <c r="I8" s="1184">
        <f t="shared" si="7"/>
        <v>0</v>
      </c>
      <c r="J8" s="1184">
        <f t="shared" si="8"/>
        <v>31.911000000000001</v>
      </c>
      <c r="K8" s="1184">
        <f t="shared" si="9"/>
        <v>9.6430000000000007</v>
      </c>
      <c r="L8" s="1188">
        <v>0</v>
      </c>
      <c r="M8" s="1184">
        <f t="shared" si="0"/>
        <v>3.9320000000000004</v>
      </c>
      <c r="N8" s="1184">
        <f t="shared" si="10"/>
        <v>0</v>
      </c>
      <c r="O8" s="1211">
        <v>0.7</v>
      </c>
      <c r="P8" s="1205">
        <v>0.96</v>
      </c>
      <c r="Q8" s="1204">
        <v>0</v>
      </c>
      <c r="R8" s="1213">
        <v>0.51900000000000002</v>
      </c>
      <c r="S8" s="895">
        <v>0</v>
      </c>
      <c r="T8" s="1172">
        <v>0.16</v>
      </c>
      <c r="U8" s="1204">
        <v>2.8</v>
      </c>
      <c r="V8" s="895">
        <v>0.504</v>
      </c>
      <c r="W8" s="734">
        <v>0.47199999999999998</v>
      </c>
      <c r="X8" s="734">
        <v>2E-3</v>
      </c>
      <c r="Y8" s="1204">
        <v>0</v>
      </c>
      <c r="Z8" s="1204">
        <v>0</v>
      </c>
      <c r="AA8" s="1204">
        <v>0</v>
      </c>
      <c r="AB8" s="1204">
        <v>0</v>
      </c>
      <c r="AC8" s="895">
        <v>0</v>
      </c>
      <c r="AD8" s="895">
        <v>0.34399999999999997</v>
      </c>
      <c r="AE8" s="1213">
        <v>0</v>
      </c>
      <c r="AF8" s="1213">
        <v>0.1</v>
      </c>
      <c r="AG8" s="1213">
        <v>4.5739999999999998</v>
      </c>
      <c r="AH8" s="895">
        <v>0.06</v>
      </c>
      <c r="AI8" s="895">
        <v>4.0000000000000001E-3</v>
      </c>
      <c r="AJ8" s="895">
        <v>0</v>
      </c>
      <c r="AK8" s="1204">
        <v>0</v>
      </c>
      <c r="AL8" s="1204">
        <v>31.911000000000001</v>
      </c>
      <c r="AM8" s="895">
        <v>4.1000000000000002E-2</v>
      </c>
      <c r="AN8" s="1204">
        <v>0.4</v>
      </c>
      <c r="AO8" s="734">
        <v>0.41</v>
      </c>
      <c r="AP8" s="1204">
        <v>0.13100000000000001</v>
      </c>
      <c r="AQ8" s="1215">
        <v>0</v>
      </c>
      <c r="AR8" s="1204">
        <v>3</v>
      </c>
      <c r="AS8" s="1204">
        <v>0.30099999999999999</v>
      </c>
      <c r="AT8" s="734">
        <v>5.36</v>
      </c>
      <c r="AU8" s="895">
        <v>0</v>
      </c>
      <c r="AV8" s="1204">
        <v>0.79600000000000004</v>
      </c>
      <c r="AW8" s="1204">
        <v>0.27500000000000002</v>
      </c>
      <c r="AX8" s="1204">
        <v>1</v>
      </c>
      <c r="AY8" s="734">
        <v>-2.6</v>
      </c>
      <c r="AZ8" s="1204">
        <v>4.4610000000000003</v>
      </c>
      <c r="BA8" s="734">
        <v>0</v>
      </c>
      <c r="BB8" s="1204">
        <v>0.2</v>
      </c>
      <c r="BC8" s="1204">
        <v>0</v>
      </c>
      <c r="BD8" s="1204">
        <v>0</v>
      </c>
      <c r="BE8" s="1213">
        <v>1.95</v>
      </c>
      <c r="BF8" s="734">
        <v>0</v>
      </c>
      <c r="BG8" s="734">
        <v>0</v>
      </c>
      <c r="BH8" s="1169">
        <v>-0.875</v>
      </c>
      <c r="BI8" s="1204">
        <v>0.09</v>
      </c>
      <c r="BJ8" s="1194">
        <v>0.87</v>
      </c>
    </row>
    <row r="9" spans="1:62" x14ac:dyDescent="0.35">
      <c r="A9" s="1182">
        <v>2025</v>
      </c>
      <c r="B9" s="1184">
        <f t="shared" si="1"/>
        <v>0</v>
      </c>
      <c r="C9" s="1184">
        <f t="shared" si="2"/>
        <v>0</v>
      </c>
      <c r="D9" s="1184">
        <f t="shared" si="3"/>
        <v>3.3000000000000002E-2</v>
      </c>
      <c r="E9" s="1184">
        <f t="shared" si="4"/>
        <v>1.63</v>
      </c>
      <c r="F9" s="1184">
        <f t="shared" si="11"/>
        <v>2.3719999999999999</v>
      </c>
      <c r="G9" s="1184">
        <f t="shared" si="5"/>
        <v>-0.90100000000000025</v>
      </c>
      <c r="H9" s="1184">
        <f t="shared" si="6"/>
        <v>1.8800000000000001</v>
      </c>
      <c r="I9" s="1184">
        <f t="shared" si="7"/>
        <v>0</v>
      </c>
      <c r="J9" s="1184">
        <f t="shared" si="8"/>
        <v>23.099</v>
      </c>
      <c r="K9" s="1184">
        <f t="shared" si="9"/>
        <v>4.5789999999999997</v>
      </c>
      <c r="L9" s="1188">
        <v>0</v>
      </c>
      <c r="M9" s="1184">
        <f t="shared" si="0"/>
        <v>-0.74299999999999988</v>
      </c>
      <c r="N9" s="1184">
        <f t="shared" si="10"/>
        <v>0</v>
      </c>
      <c r="O9" s="1211">
        <v>0.7</v>
      </c>
      <c r="P9" s="1205">
        <v>1.06</v>
      </c>
      <c r="Q9" s="1204">
        <v>0</v>
      </c>
      <c r="R9" s="1213">
        <v>0.56999999999999995</v>
      </c>
      <c r="S9" s="895">
        <v>0</v>
      </c>
      <c r="T9" s="1173">
        <v>3.3000000000000002E-2</v>
      </c>
      <c r="U9" s="1204">
        <v>2</v>
      </c>
      <c r="V9" s="1173">
        <v>0</v>
      </c>
      <c r="W9" s="734">
        <v>0.21299999999999999</v>
      </c>
      <c r="X9" s="734">
        <v>2E-3</v>
      </c>
      <c r="Y9" s="1204">
        <v>0</v>
      </c>
      <c r="Z9" s="1204">
        <v>0</v>
      </c>
      <c r="AA9" s="1204">
        <v>0</v>
      </c>
      <c r="AB9" s="1204">
        <v>0</v>
      </c>
      <c r="AC9" s="895">
        <v>0</v>
      </c>
      <c r="AD9" s="895">
        <v>0.157</v>
      </c>
      <c r="AE9" s="1213">
        <v>0</v>
      </c>
      <c r="AF9" s="1213">
        <v>0</v>
      </c>
      <c r="AG9" s="895">
        <v>1.81</v>
      </c>
      <c r="AH9" s="895">
        <v>7.0000000000000007E-2</v>
      </c>
      <c r="AI9" s="895">
        <v>0</v>
      </c>
      <c r="AJ9" s="1204">
        <v>0</v>
      </c>
      <c r="AK9" s="1204">
        <v>0</v>
      </c>
      <c r="AL9" s="1204">
        <v>23.099</v>
      </c>
      <c r="AM9" s="895">
        <v>1.2999999999999999E-2</v>
      </c>
      <c r="AN9" s="1204">
        <v>0.3</v>
      </c>
      <c r="AO9" s="1202">
        <v>0.15</v>
      </c>
      <c r="AP9" s="1204">
        <v>0.112</v>
      </c>
      <c r="AQ9" s="1215">
        <v>0</v>
      </c>
      <c r="AR9" s="1204">
        <v>0.2</v>
      </c>
      <c r="AS9" s="1204">
        <v>7.3999999999999996E-2</v>
      </c>
      <c r="AT9" s="734">
        <v>3.73</v>
      </c>
      <c r="AU9" s="895">
        <v>0</v>
      </c>
      <c r="AV9" s="1204">
        <v>5.3999999999999999E-2</v>
      </c>
      <c r="AW9" s="1204">
        <v>0.13100000000000001</v>
      </c>
      <c r="AX9" s="1204">
        <v>0</v>
      </c>
      <c r="AY9" s="734">
        <v>-2.71</v>
      </c>
      <c r="AZ9" s="1204">
        <v>1.782</v>
      </c>
      <c r="BA9" s="734">
        <v>0</v>
      </c>
      <c r="BB9" s="1204">
        <v>0</v>
      </c>
      <c r="BC9" s="1204">
        <v>0</v>
      </c>
      <c r="BD9" s="1204">
        <v>0</v>
      </c>
      <c r="BE9" s="1213">
        <v>1.43</v>
      </c>
      <c r="BF9" s="734">
        <v>0</v>
      </c>
      <c r="BG9" s="734">
        <v>0</v>
      </c>
      <c r="BH9" s="1169">
        <v>-2.3410000000000002</v>
      </c>
      <c r="BI9" s="1204">
        <v>0.01</v>
      </c>
      <c r="BJ9" s="1194">
        <v>0.33</v>
      </c>
    </row>
    <row r="10" spans="1:62" x14ac:dyDescent="0.35">
      <c r="A10" s="1182">
        <v>2026</v>
      </c>
      <c r="B10" s="1184">
        <f t="shared" si="1"/>
        <v>0</v>
      </c>
      <c r="C10" s="1184">
        <f t="shared" si="2"/>
        <v>0</v>
      </c>
      <c r="D10" s="1184">
        <f t="shared" si="3"/>
        <v>3.2000000000000001E-2</v>
      </c>
      <c r="E10" s="1184">
        <f t="shared" si="4"/>
        <v>1.671</v>
      </c>
      <c r="F10" s="1184">
        <f t="shared" si="11"/>
        <v>0.49</v>
      </c>
      <c r="G10" s="1184">
        <f t="shared" si="5"/>
        <v>-2.1500000000000004</v>
      </c>
      <c r="H10" s="1184">
        <f t="shared" si="6"/>
        <v>1.446</v>
      </c>
      <c r="I10" s="1184">
        <f t="shared" si="7"/>
        <v>0</v>
      </c>
      <c r="J10" s="1184">
        <f t="shared" si="8"/>
        <v>10.766999999999999</v>
      </c>
      <c r="K10" s="1184">
        <f t="shared" si="9"/>
        <v>2.9130000000000003</v>
      </c>
      <c r="L10" s="1188"/>
      <c r="M10" s="1184">
        <f t="shared" si="0"/>
        <v>-21.606000000000002</v>
      </c>
      <c r="N10" s="1184">
        <f t="shared" si="10"/>
        <v>0</v>
      </c>
      <c r="O10" s="1211">
        <v>0.7</v>
      </c>
      <c r="P10" s="1205">
        <v>1.07</v>
      </c>
      <c r="Q10" s="1204">
        <v>0</v>
      </c>
      <c r="R10" s="1213">
        <v>0.60099999999999998</v>
      </c>
      <c r="S10" s="895">
        <v>0</v>
      </c>
      <c r="T10" s="1169">
        <v>3.2000000000000001E-2</v>
      </c>
      <c r="U10" s="1204">
        <v>0.3</v>
      </c>
      <c r="V10" s="1213">
        <v>0</v>
      </c>
      <c r="W10" s="734">
        <v>0.188</v>
      </c>
      <c r="X10" s="734">
        <v>2E-3</v>
      </c>
      <c r="Y10" s="1204">
        <v>0</v>
      </c>
      <c r="Z10" s="1204">
        <v>0</v>
      </c>
      <c r="AA10" s="1204">
        <v>0</v>
      </c>
      <c r="AB10" s="1204">
        <v>0</v>
      </c>
      <c r="AC10" s="895">
        <v>0</v>
      </c>
      <c r="AD10" s="895">
        <v>0</v>
      </c>
      <c r="AE10" s="895">
        <v>0</v>
      </c>
      <c r="AF10" s="1213">
        <v>0</v>
      </c>
      <c r="AG10" s="895">
        <v>1.3759999999999999</v>
      </c>
      <c r="AH10" s="895">
        <v>7.0000000000000007E-2</v>
      </c>
      <c r="AI10" s="895">
        <v>0</v>
      </c>
      <c r="AJ10" s="1174">
        <v>0</v>
      </c>
      <c r="AK10" s="1204">
        <v>0</v>
      </c>
      <c r="AL10" s="1204">
        <v>10.766999999999999</v>
      </c>
      <c r="AM10" s="895">
        <v>3.0000000000000001E-3</v>
      </c>
      <c r="AN10" s="1204">
        <v>0.2</v>
      </c>
      <c r="AO10" s="1202">
        <v>0.1</v>
      </c>
      <c r="AP10" s="1204">
        <v>0.05</v>
      </c>
      <c r="AQ10" s="1215">
        <v>0</v>
      </c>
      <c r="AR10" s="1204">
        <v>0</v>
      </c>
      <c r="AS10" s="1204">
        <v>0</v>
      </c>
      <c r="AT10" s="734">
        <v>2.56</v>
      </c>
      <c r="AU10" s="895">
        <v>0</v>
      </c>
      <c r="AV10" s="1204">
        <v>3.7999999999999999E-2</v>
      </c>
      <c r="AW10" s="1204">
        <v>2.5999999999999999E-2</v>
      </c>
      <c r="AX10" s="1204">
        <v>0</v>
      </c>
      <c r="AY10" s="734">
        <v>-2.6700000000000004</v>
      </c>
      <c r="AZ10" s="1204">
        <v>0</v>
      </c>
      <c r="BA10" s="734">
        <v>-19</v>
      </c>
      <c r="BB10" s="1204">
        <v>0</v>
      </c>
      <c r="BC10" s="1204">
        <v>0</v>
      </c>
      <c r="BD10" s="1204">
        <v>0</v>
      </c>
      <c r="BE10" s="734">
        <v>0.88</v>
      </c>
      <c r="BF10" s="734">
        <v>0</v>
      </c>
      <c r="BG10" s="734">
        <v>0</v>
      </c>
      <c r="BH10" s="895">
        <v>-2.8200000000000003</v>
      </c>
      <c r="BI10" s="1204">
        <v>-0.21</v>
      </c>
      <c r="BJ10" s="1194">
        <v>0.17</v>
      </c>
    </row>
    <row r="11" spans="1:62" x14ac:dyDescent="0.35">
      <c r="A11" s="1182">
        <v>2027</v>
      </c>
      <c r="B11" s="1184">
        <f t="shared" si="1"/>
        <v>0</v>
      </c>
      <c r="C11" s="1184">
        <f t="shared" si="2"/>
        <v>0</v>
      </c>
      <c r="D11" s="1184">
        <f t="shared" si="3"/>
        <v>3.2000000000000001E-2</v>
      </c>
      <c r="E11" s="1184">
        <f t="shared" si="4"/>
        <v>1.7130000000000001</v>
      </c>
      <c r="F11" s="1184">
        <f t="shared" si="11"/>
        <v>0</v>
      </c>
      <c r="G11" s="1184">
        <f t="shared" si="5"/>
        <v>-4.8169999999999993</v>
      </c>
      <c r="H11" s="1184">
        <f t="shared" si="6"/>
        <v>0.65699999999999992</v>
      </c>
      <c r="I11" s="1184">
        <f t="shared" si="7"/>
        <v>0</v>
      </c>
      <c r="J11" s="1184">
        <f t="shared" si="8"/>
        <v>4.0789999999999997</v>
      </c>
      <c r="K11" s="1184">
        <f t="shared" si="9"/>
        <v>2.46</v>
      </c>
      <c r="L11" s="1188"/>
      <c r="M11" s="1184">
        <f t="shared" si="0"/>
        <v>-14.713000000000001</v>
      </c>
      <c r="N11" s="1184">
        <f t="shared" si="10"/>
        <v>0</v>
      </c>
      <c r="O11" s="1211">
        <v>0.3</v>
      </c>
      <c r="P11" s="1205">
        <v>1.08</v>
      </c>
      <c r="Q11" s="1204">
        <v>0</v>
      </c>
      <c r="R11" s="1213">
        <v>0.63300000000000001</v>
      </c>
      <c r="S11" s="1172">
        <v>0</v>
      </c>
      <c r="T11" s="1204">
        <v>3.2000000000000001E-2</v>
      </c>
      <c r="U11" s="1204">
        <v>0</v>
      </c>
      <c r="V11" s="895">
        <v>0</v>
      </c>
      <c r="W11" s="734">
        <v>0</v>
      </c>
      <c r="X11" s="734">
        <v>0</v>
      </c>
      <c r="Y11" s="1204">
        <v>0</v>
      </c>
      <c r="Z11" s="1204">
        <v>0</v>
      </c>
      <c r="AA11" s="1204">
        <v>0</v>
      </c>
      <c r="AB11" s="1204">
        <v>0</v>
      </c>
      <c r="AC11" s="895">
        <v>0</v>
      </c>
      <c r="AD11" s="1213">
        <v>0</v>
      </c>
      <c r="AE11" s="895">
        <v>0</v>
      </c>
      <c r="AF11" s="1213">
        <v>0</v>
      </c>
      <c r="AG11" s="895">
        <v>0.57699999999999996</v>
      </c>
      <c r="AH11" s="895">
        <v>0.08</v>
      </c>
      <c r="AI11" s="895">
        <v>0</v>
      </c>
      <c r="AJ11" s="895">
        <v>0</v>
      </c>
      <c r="AK11" s="1204">
        <v>0</v>
      </c>
      <c r="AL11" s="1204">
        <v>4.0789999999999997</v>
      </c>
      <c r="AM11" s="1204">
        <v>0</v>
      </c>
      <c r="AN11" s="1204">
        <v>0.1</v>
      </c>
      <c r="AO11" s="1202">
        <v>0.1</v>
      </c>
      <c r="AP11" s="1204">
        <v>0.03</v>
      </c>
      <c r="AQ11" s="1215">
        <v>0</v>
      </c>
      <c r="AR11" s="1204">
        <v>0</v>
      </c>
      <c r="AS11" s="1204">
        <v>0</v>
      </c>
      <c r="AT11" s="1202">
        <v>2.23</v>
      </c>
      <c r="AU11" s="895">
        <v>0</v>
      </c>
      <c r="AV11" s="1204">
        <v>1.7000000000000001E-2</v>
      </c>
      <c r="AW11" s="1204">
        <v>0</v>
      </c>
      <c r="AX11" s="1204">
        <v>0</v>
      </c>
      <c r="AY11" s="734">
        <v>-2.73</v>
      </c>
      <c r="AZ11" s="1204">
        <v>0</v>
      </c>
      <c r="BA11" s="734">
        <v>-12</v>
      </c>
      <c r="BB11" s="1204">
        <v>0</v>
      </c>
      <c r="BC11" s="1204">
        <v>0</v>
      </c>
      <c r="BD11" s="1204">
        <v>0</v>
      </c>
      <c r="BE11" s="734">
        <v>0.28000000000000003</v>
      </c>
      <c r="BF11" s="734">
        <v>0</v>
      </c>
      <c r="BG11" s="734">
        <v>0</v>
      </c>
      <c r="BH11" s="1173">
        <v>-5.0069999999999997</v>
      </c>
      <c r="BI11" s="1204">
        <v>-0.09</v>
      </c>
      <c r="BJ11" s="1195">
        <v>0.06</v>
      </c>
    </row>
    <row r="12" spans="1:62" x14ac:dyDescent="0.35">
      <c r="A12" s="1182">
        <v>2028</v>
      </c>
      <c r="B12" s="1184">
        <f t="shared" si="1"/>
        <v>0</v>
      </c>
      <c r="C12" s="1184">
        <f t="shared" si="2"/>
        <v>0</v>
      </c>
      <c r="D12" s="1184">
        <f t="shared" si="3"/>
        <v>3.3000000000000002E-2</v>
      </c>
      <c r="E12" s="1184">
        <f t="shared" si="4"/>
        <v>1.7130000000000001</v>
      </c>
      <c r="F12" s="1184">
        <f t="shared" si="11"/>
        <v>0</v>
      </c>
      <c r="G12" s="1184">
        <f t="shared" si="5"/>
        <v>-5.0590000000000002</v>
      </c>
      <c r="H12" s="1184">
        <f t="shared" si="6"/>
        <v>-1.071</v>
      </c>
      <c r="I12" s="1184">
        <f t="shared" si="7"/>
        <v>0</v>
      </c>
      <c r="J12" s="1184">
        <f t="shared" si="8"/>
        <v>1.635</v>
      </c>
      <c r="K12" s="1184">
        <f t="shared" si="9"/>
        <v>1.81</v>
      </c>
      <c r="L12" s="1188"/>
      <c r="M12" s="1184">
        <f t="shared" si="0"/>
        <v>-2.7690000000000001</v>
      </c>
      <c r="N12" s="1184">
        <f t="shared" si="10"/>
        <v>0</v>
      </c>
      <c r="O12" s="1211">
        <v>0.3</v>
      </c>
      <c r="P12" s="1205">
        <v>1.08</v>
      </c>
      <c r="Q12" s="1204">
        <v>0</v>
      </c>
      <c r="R12" s="1213">
        <v>0.63300000000000001</v>
      </c>
      <c r="S12" s="1172">
        <v>0</v>
      </c>
      <c r="T12" s="1175">
        <v>3.3000000000000002E-2</v>
      </c>
      <c r="U12" s="1204">
        <v>0</v>
      </c>
      <c r="V12" s="895">
        <v>0</v>
      </c>
      <c r="W12" s="734">
        <v>0</v>
      </c>
      <c r="X12" s="734">
        <v>0</v>
      </c>
      <c r="Y12" s="1204">
        <v>0</v>
      </c>
      <c r="Z12" s="1204">
        <v>0</v>
      </c>
      <c r="AA12" s="1204">
        <v>0</v>
      </c>
      <c r="AB12" s="1204">
        <v>0</v>
      </c>
      <c r="AC12" s="895">
        <v>0</v>
      </c>
      <c r="AD12" s="895">
        <v>0</v>
      </c>
      <c r="AE12" s="895">
        <v>0</v>
      </c>
      <c r="AF12" s="895">
        <v>0</v>
      </c>
      <c r="AG12" s="895">
        <v>-1.151</v>
      </c>
      <c r="AH12" s="895">
        <v>0.08</v>
      </c>
      <c r="AI12" s="895">
        <v>0</v>
      </c>
      <c r="AJ12" s="895">
        <v>0</v>
      </c>
      <c r="AK12" s="1204">
        <v>0</v>
      </c>
      <c r="AL12" s="1204">
        <v>1.635</v>
      </c>
      <c r="AM12" s="1204">
        <v>0</v>
      </c>
      <c r="AN12" s="1204">
        <v>0.1</v>
      </c>
      <c r="AO12" s="734">
        <v>0</v>
      </c>
      <c r="AP12" s="1204">
        <v>0</v>
      </c>
      <c r="AQ12" s="1215">
        <v>0</v>
      </c>
      <c r="AR12" s="1204">
        <v>0</v>
      </c>
      <c r="AS12" s="1204">
        <v>0</v>
      </c>
      <c r="AT12" s="1202">
        <v>1.71</v>
      </c>
      <c r="AU12" s="895">
        <v>0</v>
      </c>
      <c r="AV12" s="1204">
        <v>1E-3</v>
      </c>
      <c r="AW12" s="1204">
        <v>0</v>
      </c>
      <c r="AX12" s="1204">
        <v>0</v>
      </c>
      <c r="AY12" s="734">
        <v>-2.77</v>
      </c>
      <c r="AZ12" s="1204">
        <v>0</v>
      </c>
      <c r="BA12" s="734">
        <v>0</v>
      </c>
      <c r="BB12" s="1204">
        <v>0</v>
      </c>
      <c r="BC12" s="1204">
        <v>0</v>
      </c>
      <c r="BD12" s="1204">
        <v>0</v>
      </c>
      <c r="BE12" s="734">
        <v>0.1</v>
      </c>
      <c r="BF12" s="734">
        <v>0</v>
      </c>
      <c r="BG12" s="734">
        <v>0</v>
      </c>
      <c r="BH12" s="1173">
        <v>-5.069</v>
      </c>
      <c r="BI12" s="1204">
        <v>-0.09</v>
      </c>
      <c r="BJ12" s="1195">
        <v>0.03</v>
      </c>
    </row>
    <row r="13" spans="1:62" x14ac:dyDescent="0.35">
      <c r="A13" s="1182">
        <v>2029</v>
      </c>
      <c r="B13" s="1184">
        <f t="shared" si="1"/>
        <v>0</v>
      </c>
      <c r="C13" s="1184">
        <f t="shared" si="2"/>
        <v>0</v>
      </c>
      <c r="D13" s="1184">
        <f t="shared" si="3"/>
        <v>3.3000000000000002E-2</v>
      </c>
      <c r="E13" s="1184">
        <f t="shared" si="4"/>
        <v>1.7130000000000001</v>
      </c>
      <c r="F13" s="1184">
        <f t="shared" si="11"/>
        <v>0</v>
      </c>
      <c r="G13" s="1184">
        <f t="shared" si="5"/>
        <v>-5.218</v>
      </c>
      <c r="H13" s="1184">
        <f t="shared" si="6"/>
        <v>-1.964</v>
      </c>
      <c r="I13" s="1184">
        <f t="shared" si="7"/>
        <v>0</v>
      </c>
      <c r="J13" s="1184">
        <f t="shared" si="8"/>
        <v>-1.7000000000000001E-2</v>
      </c>
      <c r="K13" s="1184">
        <f t="shared" si="9"/>
        <v>1</v>
      </c>
      <c r="L13" s="1188"/>
      <c r="M13" s="1184">
        <f t="shared" si="0"/>
        <v>-2.75</v>
      </c>
      <c r="N13" s="1184">
        <f t="shared" si="10"/>
        <v>0</v>
      </c>
      <c r="O13" s="1211">
        <v>0.3</v>
      </c>
      <c r="P13" s="1205">
        <v>1.08</v>
      </c>
      <c r="Q13" s="1204">
        <v>0</v>
      </c>
      <c r="R13" s="1213">
        <v>0.63300000000000001</v>
      </c>
      <c r="S13" s="1172">
        <v>0</v>
      </c>
      <c r="T13" s="895">
        <v>3.3000000000000002E-2</v>
      </c>
      <c r="U13" s="1204">
        <v>0</v>
      </c>
      <c r="V13" s="895">
        <v>0</v>
      </c>
      <c r="W13" s="734">
        <v>0</v>
      </c>
      <c r="X13" s="734">
        <v>0</v>
      </c>
      <c r="Y13" s="1204">
        <v>0</v>
      </c>
      <c r="Z13" s="1204">
        <v>0</v>
      </c>
      <c r="AA13" s="1204">
        <v>0</v>
      </c>
      <c r="AB13" s="1204">
        <v>0</v>
      </c>
      <c r="AC13" s="895">
        <v>0</v>
      </c>
      <c r="AD13" s="895">
        <v>0</v>
      </c>
      <c r="AE13" s="895">
        <v>0</v>
      </c>
      <c r="AF13" s="895">
        <v>0</v>
      </c>
      <c r="AG13" s="1204">
        <v>-2.044</v>
      </c>
      <c r="AH13" s="895">
        <v>0.08</v>
      </c>
      <c r="AI13" s="895">
        <v>0</v>
      </c>
      <c r="AJ13" s="1176">
        <v>0</v>
      </c>
      <c r="AK13" s="1204">
        <v>0</v>
      </c>
      <c r="AL13" s="1204">
        <v>-1.7000000000000001E-2</v>
      </c>
      <c r="AM13" s="1204">
        <v>0</v>
      </c>
      <c r="AN13" s="1204">
        <v>0</v>
      </c>
      <c r="AO13" s="734">
        <v>0</v>
      </c>
      <c r="AP13" s="1204">
        <v>0</v>
      </c>
      <c r="AQ13" s="1215">
        <v>0</v>
      </c>
      <c r="AR13" s="1204">
        <v>0</v>
      </c>
      <c r="AS13" s="1204">
        <v>0</v>
      </c>
      <c r="AT13" s="1202">
        <v>1</v>
      </c>
      <c r="AU13" s="895">
        <v>0</v>
      </c>
      <c r="AV13" s="1204">
        <v>0</v>
      </c>
      <c r="AW13" s="1204">
        <v>0</v>
      </c>
      <c r="AX13" s="1204">
        <v>0</v>
      </c>
      <c r="AY13" s="734">
        <v>-2.75</v>
      </c>
      <c r="AZ13" s="1204">
        <v>0</v>
      </c>
      <c r="BA13" s="734">
        <v>0</v>
      </c>
      <c r="BB13" s="1204">
        <v>0</v>
      </c>
      <c r="BC13" s="1204">
        <v>0</v>
      </c>
      <c r="BD13" s="1204">
        <v>0</v>
      </c>
      <c r="BE13" s="734">
        <v>0</v>
      </c>
      <c r="BF13" s="1177">
        <v>0</v>
      </c>
      <c r="BG13" s="734">
        <v>0</v>
      </c>
      <c r="BH13" s="1173">
        <v>-5.1180000000000003</v>
      </c>
      <c r="BI13" s="1204">
        <v>-0.1</v>
      </c>
      <c r="BJ13" s="1195">
        <v>0.01</v>
      </c>
    </row>
    <row r="14" spans="1:62" x14ac:dyDescent="0.35">
      <c r="A14" s="1182">
        <v>2030</v>
      </c>
      <c r="B14" s="1184">
        <f t="shared" si="1"/>
        <v>0</v>
      </c>
      <c r="C14" s="1184">
        <f t="shared" si="2"/>
        <v>0</v>
      </c>
      <c r="D14" s="1184">
        <f t="shared" si="3"/>
        <v>3.3000000000000002E-2</v>
      </c>
      <c r="E14" s="1184">
        <f t="shared" si="4"/>
        <v>1.8130000000000002</v>
      </c>
      <c r="F14" s="1184">
        <f t="shared" si="11"/>
        <v>0</v>
      </c>
      <c r="G14" s="1184">
        <f t="shared" si="5"/>
        <v>-5.9420000000000002</v>
      </c>
      <c r="H14" s="1184">
        <f t="shared" si="6"/>
        <v>-2.0210000000000004</v>
      </c>
      <c r="I14" s="1184">
        <f t="shared" si="7"/>
        <v>0</v>
      </c>
      <c r="J14" s="1184">
        <f t="shared" si="8"/>
        <v>-1.9E-2</v>
      </c>
      <c r="K14" s="1184">
        <f t="shared" si="9"/>
        <v>0.8</v>
      </c>
      <c r="L14" s="1188"/>
      <c r="M14" s="1184">
        <f t="shared" si="0"/>
        <v>-8.1189999999999998</v>
      </c>
      <c r="N14" s="1184">
        <f t="shared" si="10"/>
        <v>0</v>
      </c>
      <c r="O14" s="1211">
        <v>0.3</v>
      </c>
      <c r="P14" s="1205">
        <v>1.1800000000000002</v>
      </c>
      <c r="Q14" s="1204">
        <v>0</v>
      </c>
      <c r="R14" s="1213">
        <v>0.63300000000000001</v>
      </c>
      <c r="S14" s="1172">
        <v>0</v>
      </c>
      <c r="T14" s="895">
        <v>3.3000000000000002E-2</v>
      </c>
      <c r="U14" s="1204">
        <v>0</v>
      </c>
      <c r="V14" s="895">
        <v>0</v>
      </c>
      <c r="W14" s="734">
        <v>0</v>
      </c>
      <c r="X14" s="734">
        <v>0</v>
      </c>
      <c r="Y14" s="1204">
        <v>0</v>
      </c>
      <c r="Z14" s="1204">
        <v>0</v>
      </c>
      <c r="AA14" s="1204">
        <v>0</v>
      </c>
      <c r="AB14" s="1204">
        <v>0</v>
      </c>
      <c r="AC14" s="895">
        <v>0</v>
      </c>
      <c r="AD14" s="1213">
        <v>0</v>
      </c>
      <c r="AE14" s="1204">
        <v>0</v>
      </c>
      <c r="AF14" s="895">
        <v>0</v>
      </c>
      <c r="AG14" s="895">
        <v>-2.1110000000000002</v>
      </c>
      <c r="AH14" s="895">
        <v>0.09</v>
      </c>
      <c r="AI14" s="895">
        <v>0</v>
      </c>
      <c r="AJ14" s="1178">
        <v>0</v>
      </c>
      <c r="AK14" s="1204">
        <v>0</v>
      </c>
      <c r="AL14" s="1204">
        <v>-1.9E-2</v>
      </c>
      <c r="AM14" s="1204">
        <v>0</v>
      </c>
      <c r="AN14" s="1204">
        <v>0</v>
      </c>
      <c r="AO14" s="734">
        <v>0</v>
      </c>
      <c r="AP14" s="1204">
        <v>0</v>
      </c>
      <c r="AQ14" s="1215">
        <v>0</v>
      </c>
      <c r="AR14" s="1204">
        <v>0</v>
      </c>
      <c r="AS14" s="1204">
        <v>0</v>
      </c>
      <c r="AT14" s="734">
        <v>0.8</v>
      </c>
      <c r="AU14" s="895">
        <v>-5.4089999999999998</v>
      </c>
      <c r="AV14" s="1204">
        <v>0</v>
      </c>
      <c r="AW14" s="1204">
        <v>0</v>
      </c>
      <c r="AX14" s="1204">
        <v>0</v>
      </c>
      <c r="AY14" s="734">
        <v>-2.71</v>
      </c>
      <c r="AZ14" s="1204">
        <v>0</v>
      </c>
      <c r="BA14" s="734">
        <v>0</v>
      </c>
      <c r="BB14" s="1204">
        <v>0</v>
      </c>
      <c r="BC14" s="1204">
        <v>0</v>
      </c>
      <c r="BD14" s="1204">
        <v>0</v>
      </c>
      <c r="BE14" s="1204">
        <v>0</v>
      </c>
      <c r="BF14" s="734">
        <v>0</v>
      </c>
      <c r="BG14" s="734">
        <v>0</v>
      </c>
      <c r="BH14" s="895">
        <v>-5.8319999999999999</v>
      </c>
      <c r="BI14" s="1204">
        <v>-0.11</v>
      </c>
      <c r="BJ14" s="1194">
        <v>0.01</v>
      </c>
    </row>
    <row r="15" spans="1:62" ht="17.25" customHeight="1" x14ac:dyDescent="0.35">
      <c r="A15" s="1182">
        <v>2031</v>
      </c>
      <c r="B15" s="1184">
        <f t="shared" si="1"/>
        <v>0</v>
      </c>
      <c r="C15" s="1184">
        <f t="shared" si="2"/>
        <v>0</v>
      </c>
      <c r="D15" s="1184">
        <f t="shared" si="3"/>
        <v>0</v>
      </c>
      <c r="E15" s="1184">
        <f t="shared" si="4"/>
        <v>1.8230000000000002</v>
      </c>
      <c r="F15" s="1184">
        <f t="shared" si="11"/>
        <v>0</v>
      </c>
      <c r="G15" s="1184">
        <f t="shared" si="5"/>
        <v>-7.7250000000000005</v>
      </c>
      <c r="H15" s="1184">
        <f t="shared" si="6"/>
        <v>-2.4630000000000001</v>
      </c>
      <c r="I15" s="1184">
        <f t="shared" si="7"/>
        <v>0</v>
      </c>
      <c r="J15" s="1184">
        <f t="shared" si="8"/>
        <v>-1.9E-2</v>
      </c>
      <c r="K15" s="1184">
        <f t="shared" si="9"/>
        <v>0</v>
      </c>
      <c r="L15" s="1188"/>
      <c r="M15" s="1184">
        <f t="shared" si="0"/>
        <v>-3.0390000000000001</v>
      </c>
      <c r="N15" s="1184">
        <f t="shared" si="10"/>
        <v>0</v>
      </c>
      <c r="O15" s="1211">
        <v>0.3</v>
      </c>
      <c r="P15" s="1205">
        <v>1.1900000000000002</v>
      </c>
      <c r="Q15" s="1204">
        <v>0</v>
      </c>
      <c r="R15" s="1213">
        <v>0.63300000000000001</v>
      </c>
      <c r="S15" s="1172">
        <v>0</v>
      </c>
      <c r="T15" s="734">
        <v>0</v>
      </c>
      <c r="U15" s="1204">
        <v>0</v>
      </c>
      <c r="V15" s="1204">
        <v>0</v>
      </c>
      <c r="W15" s="734">
        <v>0</v>
      </c>
      <c r="X15" s="734">
        <v>0</v>
      </c>
      <c r="Y15" s="1204">
        <v>0</v>
      </c>
      <c r="Z15" s="1204">
        <v>0</v>
      </c>
      <c r="AA15" s="1204">
        <v>0</v>
      </c>
      <c r="AB15" s="1204">
        <v>0</v>
      </c>
      <c r="AC15" s="895">
        <v>0</v>
      </c>
      <c r="AD15" s="1204">
        <v>0</v>
      </c>
      <c r="AE15" s="895">
        <v>0</v>
      </c>
      <c r="AF15" s="895">
        <v>0</v>
      </c>
      <c r="AG15" s="895">
        <v>-2.5529999999999999</v>
      </c>
      <c r="AH15" s="895">
        <v>0.09</v>
      </c>
      <c r="AI15" s="895">
        <v>0</v>
      </c>
      <c r="AJ15" s="1179">
        <v>0</v>
      </c>
      <c r="AK15" s="1204">
        <v>0</v>
      </c>
      <c r="AL15" s="1204">
        <v>-1.9E-2</v>
      </c>
      <c r="AM15" s="1204">
        <v>0</v>
      </c>
      <c r="AN15" s="1204">
        <v>0</v>
      </c>
      <c r="AO15" s="734">
        <v>0</v>
      </c>
      <c r="AP15" s="1204">
        <v>0</v>
      </c>
      <c r="AQ15" s="1215">
        <v>0</v>
      </c>
      <c r="AR15" s="1204">
        <v>0</v>
      </c>
      <c r="AS15" s="1204">
        <v>0</v>
      </c>
      <c r="AT15" s="734">
        <v>0</v>
      </c>
      <c r="AU15" s="895">
        <v>-0.26900000000000002</v>
      </c>
      <c r="AV15" s="1204">
        <v>0</v>
      </c>
      <c r="AW15" s="1204">
        <v>0</v>
      </c>
      <c r="AX15" s="1204">
        <v>0</v>
      </c>
      <c r="AY15" s="734">
        <v>-2.77</v>
      </c>
      <c r="AZ15" s="1204">
        <v>0</v>
      </c>
      <c r="BA15" s="734">
        <v>0</v>
      </c>
      <c r="BB15" s="1204">
        <v>0</v>
      </c>
      <c r="BC15" s="1204">
        <v>0</v>
      </c>
      <c r="BD15" s="1204">
        <v>0</v>
      </c>
      <c r="BE15" s="1204">
        <v>0</v>
      </c>
      <c r="BF15" s="734">
        <v>0</v>
      </c>
      <c r="BG15" s="734">
        <v>0</v>
      </c>
      <c r="BH15" s="895">
        <v>-5.4350000000000005</v>
      </c>
      <c r="BI15" s="1204">
        <v>-2.29</v>
      </c>
      <c r="BJ15" s="1194">
        <v>0</v>
      </c>
    </row>
    <row r="16" spans="1:62" x14ac:dyDescent="0.35">
      <c r="A16" s="1183" t="s">
        <v>311</v>
      </c>
      <c r="B16" s="1183">
        <f>SUM(B5:B15)</f>
        <v>412.15299999999996</v>
      </c>
      <c r="C16" s="1183">
        <f>SUM(C5:C15)</f>
        <v>205.79999999999998</v>
      </c>
      <c r="D16" s="1183">
        <f>SUM(D5:D15)</f>
        <v>22.711000000000006</v>
      </c>
      <c r="E16" s="1183">
        <f t="shared" ref="E16:H16" si="12">SUM(E5:E15)</f>
        <v>35.466000000000015</v>
      </c>
      <c r="F16" s="1183">
        <f t="shared" si="12"/>
        <v>91.563000000000002</v>
      </c>
      <c r="G16" s="1184">
        <f t="shared" si="5"/>
        <v>174.17</v>
      </c>
      <c r="H16" s="1183">
        <f t="shared" si="12"/>
        <v>21.600999999999996</v>
      </c>
      <c r="I16" s="1188">
        <f t="shared" ref="I16" si="13">SUM(I5:I15)</f>
        <v>362.04999999999995</v>
      </c>
      <c r="J16" s="1188">
        <f t="shared" ref="J16" si="14">SUM(J5:J15)</f>
        <v>169.16899999999998</v>
      </c>
      <c r="K16" s="1184">
        <f t="shared" si="9"/>
        <v>112.72</v>
      </c>
      <c r="L16" s="1188">
        <f>SUM(L5:L15)</f>
        <v>25.75</v>
      </c>
      <c r="M16" s="1184">
        <f t="shared" si="0"/>
        <v>85.197999999999993</v>
      </c>
      <c r="N16" s="1184">
        <f>AK16</f>
        <v>8.5</v>
      </c>
      <c r="O16" s="1212">
        <f t="shared" ref="O16:BI16" si="15">SUM(O5:O15)</f>
        <v>109.3</v>
      </c>
      <c r="P16" s="1204">
        <f t="shared" si="15"/>
        <v>25.819999999999997</v>
      </c>
      <c r="Q16" s="1204">
        <f t="shared" si="15"/>
        <v>412.15299999999996</v>
      </c>
      <c r="R16" s="1204">
        <f t="shared" si="15"/>
        <v>5.774</v>
      </c>
      <c r="S16" s="1204">
        <f t="shared" si="15"/>
        <v>3.8719999999999999</v>
      </c>
      <c r="T16" s="1204">
        <f t="shared" si="15"/>
        <v>22.711000000000006</v>
      </c>
      <c r="U16" s="1204">
        <f t="shared" si="15"/>
        <v>41.599999999999994</v>
      </c>
      <c r="V16" s="1204">
        <f t="shared" si="15"/>
        <v>44.947999999999993</v>
      </c>
      <c r="W16" s="1204">
        <f t="shared" si="15"/>
        <v>5</v>
      </c>
      <c r="X16" s="1204">
        <f t="shared" si="15"/>
        <v>1.4440000000000002</v>
      </c>
      <c r="Y16" s="1204">
        <f t="shared" si="15"/>
        <v>0.2</v>
      </c>
      <c r="Z16" s="1204">
        <f t="shared" si="15"/>
        <v>45.4</v>
      </c>
      <c r="AA16" s="1204">
        <f t="shared" si="15"/>
        <v>35.5</v>
      </c>
      <c r="AB16" s="1204">
        <f t="shared" si="15"/>
        <v>124.7</v>
      </c>
      <c r="AC16" s="1204">
        <f t="shared" si="15"/>
        <v>28</v>
      </c>
      <c r="AD16" s="1204">
        <f t="shared" si="15"/>
        <v>9.100000000000022E-2</v>
      </c>
      <c r="AE16" s="1204">
        <f t="shared" si="15"/>
        <v>22.810000000000002</v>
      </c>
      <c r="AF16" s="1204">
        <f t="shared" si="15"/>
        <v>1.42</v>
      </c>
      <c r="AG16" s="1204">
        <f t="shared" si="15"/>
        <v>20.662999999999997</v>
      </c>
      <c r="AH16" s="1204">
        <f t="shared" si="15"/>
        <v>0.86999999999999988</v>
      </c>
      <c r="AI16" s="1204">
        <f t="shared" si="15"/>
        <v>6.8000000000000005E-2</v>
      </c>
      <c r="AJ16" s="1204">
        <f t="shared" si="15"/>
        <v>362.04999999999995</v>
      </c>
      <c r="AK16" s="1204">
        <f t="shared" ref="AK16:AO16" si="16">SUM(AK5:AK15)</f>
        <v>8.5</v>
      </c>
      <c r="AL16" s="1204">
        <f t="shared" si="16"/>
        <v>169.16899999999998</v>
      </c>
      <c r="AM16" s="1186">
        <f t="shared" si="16"/>
        <v>0.79700000000000004</v>
      </c>
      <c r="AN16" s="1204">
        <f t="shared" si="16"/>
        <v>8.6</v>
      </c>
      <c r="AO16" s="1204">
        <f t="shared" si="16"/>
        <v>3.2000000000000006</v>
      </c>
      <c r="AP16" s="1204">
        <f t="shared" si="15"/>
        <v>2.8000000000000003</v>
      </c>
      <c r="AQ16" s="1189">
        <f>SUM(AQ5:AQ15)</f>
        <v>28</v>
      </c>
      <c r="AR16" s="1204">
        <f>SUM(AR5:AR15)</f>
        <v>14.899999999999999</v>
      </c>
      <c r="AS16" s="1204">
        <f>SUM(AS5:AS15)</f>
        <v>3.8730000000000002</v>
      </c>
      <c r="AT16" s="1204">
        <f t="shared" ref="AT16" si="17">SUM(AT5:AT15)</f>
        <v>50.54999999999999</v>
      </c>
      <c r="AU16" s="1204">
        <f t="shared" si="15"/>
        <v>-5.6779999999999999</v>
      </c>
      <c r="AV16" s="1204">
        <f t="shared" si="15"/>
        <v>8.177999999999999</v>
      </c>
      <c r="AW16" s="1204">
        <f t="shared" si="15"/>
        <v>16.667999999999999</v>
      </c>
      <c r="AX16" s="1204">
        <f t="shared" si="15"/>
        <v>9.9</v>
      </c>
      <c r="AY16" s="1204">
        <f t="shared" si="15"/>
        <v>-25.860000000000003</v>
      </c>
      <c r="AZ16" s="1204">
        <f t="shared" si="15"/>
        <v>81.99</v>
      </c>
      <c r="BA16" s="1204">
        <v>0</v>
      </c>
      <c r="BB16" s="1204">
        <f t="shared" si="15"/>
        <v>24</v>
      </c>
      <c r="BC16" s="1204">
        <f t="shared" si="15"/>
        <v>7.25</v>
      </c>
      <c r="BD16" s="1204">
        <f t="shared" si="15"/>
        <v>49.8</v>
      </c>
      <c r="BE16" s="1204">
        <f t="shared" si="15"/>
        <v>9.02</v>
      </c>
      <c r="BF16" s="1204">
        <f t="shared" si="15"/>
        <v>6.2439999999999998</v>
      </c>
      <c r="BG16" s="1204">
        <f t="shared" si="15"/>
        <v>10.218</v>
      </c>
      <c r="BH16" s="1204">
        <f t="shared" si="15"/>
        <v>50.203999999999979</v>
      </c>
      <c r="BI16" s="1204">
        <f t="shared" si="15"/>
        <v>24.684000000000005</v>
      </c>
      <c r="BJ16" s="1196">
        <f>SUM(BJ5:BJ15)</f>
        <v>9.5399999999999991</v>
      </c>
    </row>
    <row r="17" spans="2:61" x14ac:dyDescent="0.35">
      <c r="R17" s="1213"/>
      <c r="S17" s="1213"/>
      <c r="W17" s="1213"/>
      <c r="X17" s="1213"/>
      <c r="AE17" s="1213"/>
      <c r="AF17" s="1213"/>
      <c r="AV17" s="1213"/>
      <c r="AW17" s="1213"/>
      <c r="AX17" s="1213"/>
      <c r="AY17" s="1213"/>
      <c r="AZ17" s="1213"/>
      <c r="BA17" s="1213"/>
      <c r="BC17" s="1213"/>
      <c r="BE17" s="1213"/>
      <c r="BF17" s="1213"/>
      <c r="BG17" s="1213"/>
    </row>
    <row r="18" spans="2:61" x14ac:dyDescent="0.35">
      <c r="R18" s="1213"/>
      <c r="S18" s="1213"/>
      <c r="W18" s="1213"/>
      <c r="X18" s="1213"/>
      <c r="AE18" s="1213"/>
      <c r="AF18" s="1213"/>
      <c r="AV18" s="1213"/>
      <c r="AW18" s="1213"/>
      <c r="AX18" s="1213"/>
      <c r="AY18" s="1213"/>
      <c r="AZ18" s="1213"/>
      <c r="BA18" s="1213"/>
      <c r="BC18" s="1213" t="s">
        <v>722</v>
      </c>
      <c r="BD18" s="1213" t="s">
        <v>722</v>
      </c>
      <c r="BE18" s="1213"/>
      <c r="BF18" s="1213" t="s">
        <v>722</v>
      </c>
      <c r="BG18" s="1213" t="s">
        <v>722</v>
      </c>
      <c r="BI18" s="1213" t="s">
        <v>722</v>
      </c>
    </row>
    <row r="19" spans="2:61" x14ac:dyDescent="0.35">
      <c r="B19" s="1216"/>
      <c r="C19" s="1216"/>
      <c r="D19" s="1216"/>
      <c r="E19" s="1216"/>
      <c r="F19" s="1216"/>
      <c r="H19" s="1216"/>
      <c r="I19" s="1216"/>
      <c r="J19" s="1216"/>
      <c r="K19" s="1216"/>
      <c r="M19" s="1216"/>
      <c r="N19" s="1216"/>
      <c r="R19" s="1213"/>
      <c r="S19" s="1213"/>
      <c r="W19" s="1213"/>
      <c r="X19" s="1213"/>
      <c r="AE19" s="1213"/>
      <c r="AF19" s="1213"/>
      <c r="AV19" s="1213"/>
      <c r="AW19" s="1213"/>
      <c r="AX19" s="1213"/>
      <c r="AY19" s="1213"/>
      <c r="AZ19" s="1213"/>
      <c r="BA19" s="1213"/>
      <c r="BC19" s="1213"/>
      <c r="BD19" t="s">
        <v>723</v>
      </c>
      <c r="BE19" s="1213"/>
      <c r="BF19" s="1213"/>
      <c r="BG19" s="1213"/>
    </row>
    <row r="20" spans="2:61" x14ac:dyDescent="0.35">
      <c r="R20" s="1213"/>
      <c r="S20" s="1213"/>
      <c r="W20" s="1213"/>
      <c r="X20" s="1213"/>
      <c r="AE20" s="1213"/>
      <c r="AF20" s="1213"/>
      <c r="AV20" s="1213"/>
      <c r="AW20" s="1213"/>
      <c r="AX20" s="1213"/>
      <c r="AY20" s="1213"/>
      <c r="AZ20" s="1213"/>
      <c r="BA20" s="1213"/>
      <c r="BC20" s="1213"/>
      <c r="BE20" s="1213"/>
      <c r="BF20" s="1213"/>
      <c r="BG20" s="1213"/>
    </row>
    <row r="21" spans="2:61" x14ac:dyDescent="0.35">
      <c r="R21" s="1213"/>
      <c r="S21" s="1213"/>
      <c r="W21" s="1213"/>
      <c r="X21" s="1213"/>
      <c r="AE21" s="1213"/>
      <c r="AF21" s="1213"/>
      <c r="AV21" s="1213"/>
      <c r="AW21" s="1213"/>
      <c r="AX21" s="1213"/>
      <c r="AY21" s="1213"/>
      <c r="AZ21" s="1213"/>
      <c r="BA21" s="1213"/>
      <c r="BC21" s="1213"/>
      <c r="BE21" s="1213"/>
      <c r="BF21" s="1213"/>
      <c r="BG21" s="1213"/>
    </row>
    <row r="22" spans="2:61" x14ac:dyDescent="0.35">
      <c r="B22" s="1216"/>
      <c r="R22" s="1213"/>
      <c r="S22" s="1213"/>
      <c r="W22" s="1213"/>
      <c r="X22" s="1213"/>
      <c r="AE22" s="1213"/>
      <c r="AF22" s="1213"/>
      <c r="AV22" s="1213"/>
      <c r="AW22" s="1213"/>
      <c r="AX22" s="1213"/>
      <c r="AY22" s="1213"/>
      <c r="AZ22" s="1213"/>
      <c r="BA22" s="1213"/>
      <c r="BC22" s="1213"/>
      <c r="BE22" s="1213"/>
      <c r="BF22" s="1213"/>
      <c r="BG22" s="1213"/>
    </row>
    <row r="23" spans="2:61" x14ac:dyDescent="0.35">
      <c r="B23" s="1216"/>
      <c r="R23" s="1213"/>
      <c r="S23" s="1213"/>
      <c r="W23" s="1213"/>
      <c r="X23" s="1213"/>
      <c r="AE23" s="1213"/>
      <c r="AF23" s="1213"/>
      <c r="AV23" s="1213"/>
      <c r="AW23" s="1213"/>
      <c r="AX23" s="1213"/>
      <c r="AY23" s="1213"/>
      <c r="AZ23" s="1213"/>
      <c r="BA23" s="1213"/>
      <c r="BC23" s="1213"/>
      <c r="BE23" s="1213"/>
      <c r="BF23" s="1213"/>
      <c r="BG23" s="1213"/>
    </row>
    <row r="24" spans="2:61" x14ac:dyDescent="0.35">
      <c r="B24" s="1216"/>
      <c r="R24" s="1213"/>
      <c r="S24" s="1213"/>
      <c r="W24" s="1213"/>
      <c r="X24" s="1213"/>
      <c r="AE24" s="1213"/>
      <c r="AF24" s="1213"/>
      <c r="AV24" s="1213"/>
      <c r="AW24" s="1213"/>
      <c r="AX24" s="1213"/>
      <c r="AY24" s="1213"/>
      <c r="AZ24" s="1213"/>
      <c r="BA24" s="1213"/>
      <c r="BC24" s="1213"/>
      <c r="BE24" s="1213"/>
      <c r="BF24" s="1213"/>
      <c r="BG24" s="1213"/>
    </row>
    <row r="25" spans="2:61" x14ac:dyDescent="0.35">
      <c r="B25" s="1216"/>
      <c r="R25" s="1213"/>
      <c r="S25" s="1213"/>
      <c r="W25" s="1213"/>
      <c r="X25" s="1213"/>
      <c r="AE25" s="1213"/>
      <c r="AF25" s="1213"/>
      <c r="AV25" s="1213"/>
      <c r="AW25" s="1213"/>
      <c r="AX25" s="1213"/>
      <c r="AY25" s="1213"/>
      <c r="AZ25" s="1213"/>
      <c r="BA25" s="1213"/>
      <c r="BC25" s="1213"/>
      <c r="BE25" s="1213"/>
      <c r="BF25" s="1213"/>
      <c r="BG25" s="1213"/>
    </row>
    <row r="26" spans="2:61" x14ac:dyDescent="0.35">
      <c r="B26" s="1216"/>
      <c r="R26" s="1213"/>
      <c r="S26" s="1213"/>
      <c r="W26" s="1213"/>
      <c r="X26" s="1213"/>
      <c r="AE26" s="1213"/>
      <c r="AF26" s="1213"/>
      <c r="AV26" s="1213"/>
      <c r="AW26" s="1213"/>
      <c r="AX26" s="1213"/>
      <c r="AY26" s="1213"/>
      <c r="AZ26" s="1213"/>
      <c r="BA26" s="1213"/>
      <c r="BC26" s="1213"/>
      <c r="BE26" s="1213"/>
      <c r="BF26" s="1213"/>
      <c r="BG26" s="1213"/>
    </row>
    <row r="27" spans="2:61" x14ac:dyDescent="0.35">
      <c r="B27" s="1216"/>
      <c r="R27" s="1213"/>
      <c r="S27" s="1213"/>
      <c r="W27" s="1213"/>
      <c r="X27" s="1213"/>
      <c r="AE27" s="1213"/>
      <c r="AF27" s="1213"/>
      <c r="AV27" s="1213"/>
      <c r="AW27" s="1213"/>
      <c r="AX27" s="1213"/>
      <c r="AY27" s="1213"/>
      <c r="AZ27" s="1213"/>
      <c r="BA27" s="1213"/>
      <c r="BC27" s="1213"/>
      <c r="BE27" s="1213"/>
      <c r="BF27" s="1213"/>
      <c r="BG27" s="1213"/>
    </row>
    <row r="28" spans="2:61" x14ac:dyDescent="0.35">
      <c r="B28" s="1216"/>
      <c r="R28" s="1213"/>
      <c r="S28" s="1213"/>
      <c r="W28" s="1213"/>
      <c r="X28" s="1213"/>
      <c r="AE28" s="1213"/>
      <c r="AF28" s="1213"/>
      <c r="AV28" s="1213"/>
      <c r="AW28" s="1213"/>
      <c r="AX28" s="1213"/>
      <c r="AY28" s="1213"/>
      <c r="AZ28" s="1213"/>
      <c r="BA28" s="1213"/>
      <c r="BC28" s="1213"/>
      <c r="BE28" s="1213"/>
      <c r="BF28" s="1213"/>
      <c r="BG28" s="1213"/>
    </row>
    <row r="29" spans="2:61" x14ac:dyDescent="0.35">
      <c r="R29" s="1213"/>
      <c r="S29" s="1213"/>
      <c r="W29" s="1213"/>
      <c r="X29" s="1213"/>
      <c r="AE29" s="1213"/>
      <c r="AF29" s="1213"/>
      <c r="AV29" s="1213"/>
      <c r="AW29" s="1213"/>
      <c r="AX29" s="1213"/>
      <c r="AY29" s="1213"/>
      <c r="AZ29" s="1213"/>
      <c r="BA29" s="1213"/>
      <c r="BC29" s="1213"/>
      <c r="BE29" s="1213"/>
      <c r="BF29" s="1213"/>
      <c r="BG29" s="1213"/>
    </row>
    <row r="30" spans="2:61" x14ac:dyDescent="0.35">
      <c r="R30" s="1213"/>
      <c r="S30" s="1213"/>
      <c r="W30" s="1213"/>
      <c r="X30" s="1213"/>
      <c r="AE30" s="1213"/>
      <c r="AF30" s="1213"/>
      <c r="AV30" s="1213"/>
      <c r="AW30" s="1213"/>
      <c r="AX30" s="1213"/>
      <c r="AY30" s="1213"/>
      <c r="AZ30" s="1213"/>
      <c r="BA30" s="1213"/>
      <c r="BC30" s="1213"/>
      <c r="BE30" s="1213"/>
      <c r="BF30" s="1213"/>
      <c r="BG30" s="1213"/>
    </row>
    <row r="31" spans="2:61" x14ac:dyDescent="0.35">
      <c r="R31" s="1213"/>
      <c r="S31" s="1213"/>
      <c r="W31" s="1213"/>
      <c r="X31" s="1213"/>
      <c r="AE31" s="1213"/>
      <c r="AF31" s="1213"/>
      <c r="AV31" s="1213"/>
      <c r="AW31" s="1213"/>
      <c r="AX31" s="1213"/>
      <c r="AY31" s="1213"/>
      <c r="AZ31" s="1213"/>
      <c r="BA31" s="1213"/>
      <c r="BC31" s="1213"/>
      <c r="BE31" s="1213"/>
      <c r="BF31" s="1213"/>
      <c r="BG31" s="1213"/>
    </row>
    <row r="32" spans="2:61" x14ac:dyDescent="0.35">
      <c r="R32" s="1213"/>
      <c r="S32" s="1213"/>
      <c r="W32" s="1213"/>
      <c r="X32" s="1213"/>
      <c r="AE32" s="1213"/>
      <c r="AF32" s="1213"/>
      <c r="AV32" s="1213"/>
      <c r="AW32" s="1213"/>
      <c r="AX32" s="1213"/>
      <c r="AY32" s="1213"/>
      <c r="AZ32" s="1213"/>
      <c r="BA32" s="1213"/>
      <c r="BC32" s="1213"/>
      <c r="BE32" s="1213"/>
      <c r="BF32" s="1213"/>
      <c r="BG32" s="1213"/>
    </row>
    <row r="33" spans="18:59" x14ac:dyDescent="0.35">
      <c r="R33" s="1213"/>
      <c r="S33" s="1213"/>
      <c r="W33" s="1213"/>
      <c r="X33" s="1213"/>
      <c r="AE33" s="1213"/>
      <c r="AF33" s="1213"/>
      <c r="AV33" s="1213"/>
      <c r="AW33" s="1213"/>
      <c r="AX33" s="1213"/>
      <c r="AY33" s="1213"/>
      <c r="AZ33" s="1213"/>
      <c r="BA33" s="1213"/>
      <c r="BC33" s="1213"/>
      <c r="BE33" s="1213"/>
      <c r="BF33" s="1213"/>
      <c r="BG33" s="1213"/>
    </row>
    <row r="34" spans="18:59" x14ac:dyDescent="0.35">
      <c r="R34" s="1213"/>
      <c r="S34" s="1213"/>
      <c r="W34" s="1213"/>
      <c r="X34" s="1213"/>
      <c r="AE34" s="1213"/>
      <c r="AF34" s="1213"/>
      <c r="AV34" s="1213"/>
      <c r="AW34" s="1213"/>
      <c r="AX34" s="1213"/>
      <c r="AY34" s="1213"/>
      <c r="AZ34" s="1213"/>
      <c r="BA34" s="1213"/>
      <c r="BC34" s="1213"/>
      <c r="BE34" s="1213"/>
      <c r="BF34" s="1213"/>
      <c r="BG34" s="1213"/>
    </row>
    <row r="35" spans="18:59" x14ac:dyDescent="0.35">
      <c r="R35" s="1213"/>
      <c r="S35" s="1213"/>
      <c r="W35" s="1213"/>
      <c r="X35" s="1213"/>
      <c r="AE35" s="1213"/>
      <c r="AF35" s="1213"/>
      <c r="AV35" s="1213"/>
      <c r="AW35" s="1213"/>
      <c r="AX35" s="1213"/>
      <c r="AY35" s="1213"/>
      <c r="AZ35" s="1213"/>
      <c r="BA35" s="1213"/>
      <c r="BC35" s="1213"/>
      <c r="BE35" s="1213"/>
      <c r="BF35" s="1213"/>
      <c r="BG35" s="1213"/>
    </row>
    <row r="36" spans="18:59" x14ac:dyDescent="0.35">
      <c r="R36" s="1213"/>
      <c r="S36" s="1213"/>
      <c r="W36" s="1213"/>
      <c r="X36" s="1213"/>
      <c r="AE36" s="1213"/>
      <c r="AF36" s="1213"/>
      <c r="AV36" s="1213"/>
      <c r="AW36" s="1213"/>
      <c r="AX36" s="1213"/>
      <c r="AY36" s="1213"/>
      <c r="AZ36" s="1213"/>
      <c r="BA36" s="1213"/>
      <c r="BC36" s="1213"/>
      <c r="BE36" s="1213"/>
      <c r="BF36" s="1213"/>
      <c r="BG36" s="1213"/>
    </row>
    <row r="37" spans="18:59" x14ac:dyDescent="0.35">
      <c r="R37" s="1213"/>
      <c r="S37" s="1213"/>
      <c r="W37" s="1213"/>
      <c r="X37" s="1213"/>
      <c r="AE37" s="1213"/>
      <c r="AF37" s="1213"/>
      <c r="AV37" s="1213"/>
      <c r="AW37" s="1213"/>
      <c r="AX37" s="1213"/>
      <c r="AY37" s="1213"/>
      <c r="AZ37" s="1213"/>
      <c r="BA37" s="1213"/>
      <c r="BC37" s="1213"/>
      <c r="BE37" s="1213"/>
      <c r="BF37" s="1213"/>
      <c r="BG37" s="1213"/>
    </row>
    <row r="38" spans="18:59" x14ac:dyDescent="0.35">
      <c r="R38" s="1213"/>
      <c r="S38" s="1213"/>
      <c r="W38" s="1213"/>
      <c r="X38" s="1213"/>
      <c r="AE38" s="1213"/>
      <c r="AF38" s="1213"/>
      <c r="AV38" s="1213"/>
      <c r="AW38" s="1213"/>
      <c r="AX38" s="1213"/>
      <c r="AY38" s="1213"/>
      <c r="AZ38" s="1213"/>
      <c r="BA38" s="1213"/>
      <c r="BC38" s="1213"/>
      <c r="BE38" s="1213"/>
      <c r="BF38" s="1213"/>
      <c r="BG38" s="1213"/>
    </row>
    <row r="39" spans="18:59" x14ac:dyDescent="0.35">
      <c r="R39" s="1213"/>
      <c r="S39" s="1213"/>
      <c r="W39" s="1213"/>
      <c r="X39" s="1213"/>
      <c r="AE39" s="1213"/>
      <c r="AF39" s="1213"/>
      <c r="AV39" s="1213"/>
      <c r="AW39" s="1213"/>
      <c r="AX39" s="1213"/>
      <c r="AY39" s="1213"/>
      <c r="AZ39" s="1213"/>
      <c r="BA39" s="1213"/>
      <c r="BC39" s="1213"/>
      <c r="BE39" s="1213"/>
      <c r="BF39" s="1213"/>
      <c r="BG39" s="1213"/>
    </row>
    <row r="40" spans="18:59" x14ac:dyDescent="0.35">
      <c r="R40" s="1213"/>
      <c r="S40" s="1213"/>
      <c r="W40" s="1213"/>
      <c r="X40" s="1213"/>
      <c r="AE40" s="1213"/>
      <c r="AF40" s="1213"/>
      <c r="AV40" s="1213"/>
      <c r="AW40" s="1213"/>
      <c r="AX40" s="1213"/>
      <c r="AY40" s="1213"/>
      <c r="AZ40" s="1213"/>
      <c r="BA40" s="1213"/>
      <c r="BC40" s="1213"/>
      <c r="BE40" s="1213"/>
      <c r="BF40" s="1213"/>
      <c r="BG40" s="1213"/>
    </row>
    <row r="41" spans="18:59" x14ac:dyDescent="0.35">
      <c r="R41" s="1213"/>
      <c r="S41" s="1213"/>
      <c r="W41" s="1213"/>
      <c r="X41" s="1213"/>
      <c r="AE41" s="1213"/>
      <c r="AF41" s="1213"/>
      <c r="AV41" s="1213"/>
      <c r="AW41" s="1213"/>
      <c r="AX41" s="1213"/>
      <c r="AY41" s="1213"/>
      <c r="AZ41" s="1213"/>
      <c r="BA41" s="1213"/>
      <c r="BC41" s="1213"/>
      <c r="BE41" s="1213"/>
      <c r="BF41" s="1213"/>
      <c r="BG41" s="1213"/>
    </row>
    <row r="42" spans="18:59" x14ac:dyDescent="0.35">
      <c r="R42" s="1213"/>
      <c r="S42" s="1213"/>
      <c r="W42" s="1213"/>
      <c r="X42" s="1213"/>
      <c r="AE42" s="1213"/>
      <c r="AF42" s="1213"/>
      <c r="AV42" s="1213"/>
      <c r="AW42" s="1213"/>
      <c r="AX42" s="1213"/>
      <c r="AY42" s="1213"/>
      <c r="AZ42" s="1213"/>
      <c r="BA42" s="1213"/>
      <c r="BC42" s="1213"/>
      <c r="BE42" s="1213"/>
      <c r="BF42" s="1213"/>
      <c r="BG42" s="1213"/>
    </row>
    <row r="43" spans="18:59" x14ac:dyDescent="0.35">
      <c r="R43" s="1213"/>
      <c r="S43" s="1213"/>
      <c r="W43" s="1213"/>
      <c r="X43" s="1213"/>
      <c r="AE43" s="1213"/>
      <c r="AF43" s="1213"/>
      <c r="AV43" s="1213"/>
      <c r="AW43" s="1213"/>
      <c r="AX43" s="1213"/>
      <c r="AY43" s="1213"/>
      <c r="AZ43" s="1213"/>
      <c r="BA43" s="1213"/>
      <c r="BC43" s="1213"/>
      <c r="BE43" s="1213"/>
      <c r="BF43" s="1213"/>
      <c r="BG43" s="1213"/>
    </row>
    <row r="44" spans="18:59" x14ac:dyDescent="0.35">
      <c r="R44" s="1213"/>
      <c r="S44" s="1213"/>
      <c r="W44" s="1213"/>
      <c r="X44" s="1213"/>
      <c r="AE44" s="1213"/>
      <c r="AF44" s="1213"/>
      <c r="AV44" s="1213"/>
      <c r="AW44" s="1213"/>
      <c r="AX44" s="1213"/>
      <c r="AY44" s="1213"/>
      <c r="AZ44" s="1213"/>
      <c r="BA44" s="1213"/>
      <c r="BC44" s="1213"/>
      <c r="BE44" s="1213"/>
      <c r="BF44" s="1213"/>
      <c r="BG44" s="1213"/>
    </row>
    <row r="45" spans="18:59" x14ac:dyDescent="0.35">
      <c r="R45" s="1213"/>
      <c r="S45" s="1213"/>
      <c r="W45" s="1213"/>
      <c r="X45" s="1213"/>
      <c r="AE45" s="1213"/>
      <c r="AF45" s="1213"/>
      <c r="AV45" s="1213"/>
      <c r="AW45" s="1213"/>
      <c r="AX45" s="1213"/>
      <c r="AY45" s="1213"/>
      <c r="AZ45" s="1213"/>
      <c r="BA45" s="1213"/>
      <c r="BC45" s="1213"/>
      <c r="BE45" s="1213"/>
      <c r="BF45" s="1213"/>
      <c r="BG45" s="1213"/>
    </row>
    <row r="46" spans="18:59" x14ac:dyDescent="0.35">
      <c r="R46" s="1213"/>
      <c r="S46" s="1213"/>
      <c r="W46" s="1213"/>
      <c r="X46" s="1213"/>
      <c r="AE46" s="1213"/>
      <c r="AF46" s="1213"/>
      <c r="AV46" s="1213"/>
      <c r="AW46" s="1213"/>
      <c r="AX46" s="1213"/>
      <c r="AY46" s="1213"/>
      <c r="AZ46" s="1213"/>
      <c r="BA46" s="1213"/>
      <c r="BC46" s="1213"/>
      <c r="BE46" s="1213"/>
      <c r="BF46" s="1213"/>
      <c r="BG46" s="1213"/>
    </row>
    <row r="47" spans="18:59" x14ac:dyDescent="0.35">
      <c r="R47" s="1213"/>
      <c r="S47" s="1213"/>
      <c r="W47" s="1213"/>
      <c r="X47" s="1213"/>
      <c r="AE47" s="1213"/>
      <c r="AF47" s="1213"/>
      <c r="AV47" s="1213"/>
      <c r="AW47" s="1213"/>
      <c r="AX47" s="1213"/>
      <c r="AY47" s="1213"/>
      <c r="AZ47" s="1213"/>
      <c r="BA47" s="1213"/>
      <c r="BC47" s="1213"/>
      <c r="BE47" s="1213"/>
      <c r="BF47" s="1213"/>
      <c r="BG47" s="1213"/>
    </row>
    <row r="48" spans="18:59" x14ac:dyDescent="0.35">
      <c r="R48" s="1213"/>
      <c r="S48" s="1213"/>
      <c r="W48" s="1213"/>
      <c r="X48" s="1213"/>
      <c r="AE48" s="1213"/>
      <c r="AF48" s="1213"/>
      <c r="AV48" s="1213"/>
      <c r="AW48" s="1213"/>
      <c r="AX48" s="1213"/>
      <c r="AY48" s="1213"/>
      <c r="AZ48" s="1213"/>
      <c r="BA48" s="1213"/>
      <c r="BC48" s="1213"/>
      <c r="BE48" s="1213"/>
      <c r="BF48" s="1213"/>
      <c r="BG48" s="1213"/>
    </row>
    <row r="49" spans="18:59" x14ac:dyDescent="0.35">
      <c r="R49" s="1213"/>
      <c r="S49" s="1213"/>
      <c r="W49" s="1213"/>
      <c r="X49" s="1213"/>
      <c r="AE49" s="1213"/>
      <c r="AF49" s="1213"/>
      <c r="AV49" s="1213"/>
      <c r="AW49" s="1213"/>
      <c r="AX49" s="1213"/>
      <c r="AY49" s="1213"/>
      <c r="AZ49" s="1213"/>
      <c r="BA49" s="1213"/>
      <c r="BC49" s="1213"/>
      <c r="BE49" s="1213"/>
      <c r="BF49" s="1213"/>
      <c r="BG49" s="1213"/>
    </row>
    <row r="50" spans="18:59" x14ac:dyDescent="0.35">
      <c r="R50" s="1213"/>
      <c r="S50" s="1213"/>
      <c r="W50" s="1213"/>
      <c r="X50" s="1213"/>
      <c r="AE50" s="1213"/>
      <c r="AF50" s="1213"/>
      <c r="AV50" s="1213"/>
      <c r="AW50" s="1213"/>
      <c r="AX50" s="1213"/>
      <c r="AY50" s="1213"/>
      <c r="AZ50" s="1213"/>
      <c r="BA50" s="1213"/>
      <c r="BC50" s="1213"/>
      <c r="BE50" s="1213"/>
      <c r="BF50" s="1213"/>
      <c r="BG50" s="1213"/>
    </row>
    <row r="51" spans="18:59" x14ac:dyDescent="0.35">
      <c r="R51" s="1213"/>
      <c r="S51" s="1213"/>
      <c r="W51" s="1213"/>
      <c r="X51" s="1213"/>
      <c r="AE51" s="1213"/>
      <c r="AF51" s="1213"/>
      <c r="AV51" s="1213"/>
      <c r="AW51" s="1213"/>
      <c r="AX51" s="1213"/>
      <c r="AY51" s="1213"/>
      <c r="AZ51" s="1213"/>
      <c r="BA51" s="1213"/>
      <c r="BC51" s="1213"/>
      <c r="BE51" s="1213"/>
      <c r="BF51" s="1213"/>
      <c r="BG51" s="1213"/>
    </row>
    <row r="52" spans="18:59" x14ac:dyDescent="0.35">
      <c r="R52" s="1213"/>
      <c r="S52" s="1213"/>
      <c r="W52" s="1213"/>
      <c r="X52" s="1213"/>
      <c r="AE52" s="1213"/>
      <c r="AF52" s="1213"/>
      <c r="AV52" s="1213"/>
      <c r="AW52" s="1213"/>
      <c r="AX52" s="1213"/>
      <c r="AY52" s="1213"/>
      <c r="AZ52" s="1213"/>
      <c r="BA52" s="1213"/>
      <c r="BC52" s="1213"/>
      <c r="BE52" s="1213"/>
      <c r="BF52" s="1213"/>
      <c r="BG52" s="1213"/>
    </row>
    <row r="53" spans="18:59" x14ac:dyDescent="0.35">
      <c r="R53" s="1213"/>
      <c r="S53" s="1213"/>
      <c r="W53" s="1213"/>
      <c r="X53" s="1213"/>
      <c r="AE53" s="1213"/>
      <c r="AF53" s="1213"/>
      <c r="AV53" s="1213"/>
      <c r="AW53" s="1213"/>
      <c r="AX53" s="1213"/>
      <c r="AY53" s="1213"/>
      <c r="AZ53" s="1213"/>
      <c r="BA53" s="1213"/>
      <c r="BC53" s="1213"/>
      <c r="BE53" s="1213"/>
      <c r="BF53" s="1213"/>
      <c r="BG53" s="1213"/>
    </row>
    <row r="54" spans="18:59" x14ac:dyDescent="0.35">
      <c r="R54" s="1213"/>
      <c r="S54" s="1213"/>
      <c r="W54" s="1213"/>
      <c r="X54" s="1213"/>
      <c r="AE54" s="1213"/>
      <c r="AF54" s="1213"/>
      <c r="AV54" s="1213"/>
      <c r="AW54" s="1213"/>
      <c r="AX54" s="1213"/>
      <c r="AY54" s="1213"/>
      <c r="AZ54" s="1213"/>
      <c r="BA54" s="1213"/>
      <c r="BC54" s="1213"/>
      <c r="BE54" s="1213"/>
      <c r="BF54" s="1213"/>
      <c r="BG54" s="1213"/>
    </row>
    <row r="55" spans="18:59" x14ac:dyDescent="0.35">
      <c r="R55" s="1213"/>
      <c r="S55" s="1213"/>
      <c r="W55" s="1213"/>
      <c r="X55" s="1213"/>
      <c r="AE55" s="1213"/>
      <c r="AF55" s="1213"/>
      <c r="AV55" s="1213"/>
      <c r="AW55" s="1213"/>
      <c r="AX55" s="1213"/>
      <c r="AY55" s="1213"/>
      <c r="AZ55" s="1213"/>
      <c r="BA55" s="1213"/>
      <c r="BC55" s="1213"/>
      <c r="BE55" s="1213"/>
      <c r="BF55" s="1213"/>
      <c r="BG55" s="1213"/>
    </row>
    <row r="56" spans="18:59" x14ac:dyDescent="0.35">
      <c r="R56" s="1213"/>
      <c r="S56" s="1213"/>
      <c r="W56" s="1213"/>
      <c r="X56" s="1213"/>
      <c r="AE56" s="1213"/>
      <c r="AF56" s="1213"/>
      <c r="AV56" s="1213"/>
      <c r="AW56" s="1213"/>
      <c r="AX56" s="1213"/>
      <c r="AY56" s="1213"/>
      <c r="AZ56" s="1213"/>
      <c r="BA56" s="1213"/>
      <c r="BC56" s="1213"/>
      <c r="BE56" s="1213"/>
      <c r="BF56" s="1213"/>
      <c r="BG56" s="1213"/>
    </row>
    <row r="57" spans="18:59" x14ac:dyDescent="0.35">
      <c r="R57" s="1213"/>
      <c r="S57" s="1213"/>
      <c r="W57" s="1213"/>
      <c r="X57" s="1213"/>
      <c r="AE57" s="1213"/>
      <c r="AF57" s="1213"/>
      <c r="AV57" s="1213"/>
      <c r="AW57" s="1213"/>
      <c r="AX57" s="1213"/>
      <c r="AY57" s="1213"/>
      <c r="AZ57" s="1213"/>
      <c r="BA57" s="1213"/>
      <c r="BC57" s="1213"/>
      <c r="BE57" s="1213"/>
      <c r="BF57" s="1213"/>
      <c r="BG57" s="1213"/>
    </row>
    <row r="58" spans="18:59" x14ac:dyDescent="0.35">
      <c r="R58" s="1213"/>
      <c r="S58" s="1213"/>
      <c r="W58" s="1213"/>
      <c r="X58" s="1213"/>
      <c r="AE58" s="1213"/>
      <c r="AF58" s="1213"/>
      <c r="AV58" s="1213"/>
      <c r="AW58" s="1213"/>
      <c r="AX58" s="1213"/>
      <c r="AY58" s="1213"/>
      <c r="AZ58" s="1213"/>
      <c r="BA58" s="1213"/>
      <c r="BC58" s="1213"/>
      <c r="BE58" s="1213"/>
      <c r="BF58" s="1213"/>
      <c r="BG58" s="1213"/>
    </row>
    <row r="59" spans="18:59" x14ac:dyDescent="0.35">
      <c r="R59" s="1213"/>
      <c r="S59" s="1213"/>
      <c r="W59" s="1213"/>
      <c r="X59" s="1213"/>
      <c r="AE59" s="1213"/>
      <c r="AF59" s="1213"/>
      <c r="AV59" s="1213"/>
      <c r="AW59" s="1213"/>
      <c r="AX59" s="1213"/>
      <c r="AY59" s="1213"/>
      <c r="AZ59" s="1213"/>
      <c r="BA59" s="1213"/>
      <c r="BC59" s="1213"/>
      <c r="BE59" s="1213"/>
      <c r="BF59" s="1213"/>
      <c r="BG59" s="1213"/>
    </row>
    <row r="60" spans="18:59" x14ac:dyDescent="0.35">
      <c r="R60" s="1213"/>
      <c r="S60" s="1213"/>
      <c r="W60" s="1213"/>
      <c r="X60" s="1213"/>
      <c r="AE60" s="1213"/>
      <c r="AF60" s="1213"/>
      <c r="AV60" s="1213"/>
      <c r="AW60" s="1213"/>
      <c r="AX60" s="1213"/>
      <c r="AY60" s="1213"/>
      <c r="AZ60" s="1213"/>
      <c r="BA60" s="1213"/>
      <c r="BC60" s="1213"/>
      <c r="BE60" s="1213"/>
      <c r="BF60" s="1213"/>
      <c r="BG60" s="1213"/>
    </row>
    <row r="61" spans="18:59" x14ac:dyDescent="0.35">
      <c r="R61" s="1213"/>
      <c r="S61" s="1213"/>
      <c r="W61" s="1213"/>
      <c r="X61" s="1213"/>
      <c r="AE61" s="1213"/>
      <c r="AF61" s="1213"/>
      <c r="AV61" s="1213"/>
      <c r="AW61" s="1213"/>
      <c r="AX61" s="1213"/>
      <c r="AY61" s="1213"/>
      <c r="AZ61" s="1213"/>
      <c r="BA61" s="1213"/>
      <c r="BC61" s="1213"/>
      <c r="BE61" s="1213"/>
      <c r="BF61" s="1213"/>
      <c r="BG61" s="1213"/>
    </row>
    <row r="62" spans="18:59" x14ac:dyDescent="0.35">
      <c r="R62" s="1213"/>
      <c r="S62" s="1213"/>
      <c r="W62" s="1213"/>
      <c r="X62" s="1213"/>
      <c r="AE62" s="1213"/>
      <c r="AF62" s="1213"/>
      <c r="AV62" s="1213"/>
      <c r="AW62" s="1213"/>
      <c r="AX62" s="1213"/>
      <c r="AY62" s="1213"/>
      <c r="AZ62" s="1213"/>
      <c r="BA62" s="1213"/>
      <c r="BC62" s="1213"/>
      <c r="BE62" s="1213"/>
      <c r="BF62" s="1213"/>
      <c r="BG62" s="1213"/>
    </row>
    <row r="63" spans="18:59" x14ac:dyDescent="0.35">
      <c r="R63" s="1213"/>
      <c r="S63" s="1213"/>
      <c r="W63" s="1213"/>
      <c r="X63" s="1213"/>
      <c r="AE63" s="1213"/>
      <c r="AF63" s="1213"/>
      <c r="AV63" s="1213"/>
      <c r="AW63" s="1213"/>
      <c r="AX63" s="1213"/>
      <c r="AY63" s="1213"/>
      <c r="AZ63" s="1213"/>
      <c r="BA63" s="1213"/>
      <c r="BC63" s="1213"/>
      <c r="BE63" s="1213"/>
      <c r="BF63" s="1213"/>
      <c r="BG63" s="1213"/>
    </row>
    <row r="64" spans="18:59" x14ac:dyDescent="0.35">
      <c r="R64" s="1213"/>
      <c r="S64" s="1213"/>
      <c r="W64" s="1213"/>
      <c r="X64" s="1213"/>
      <c r="AE64" s="1213"/>
      <c r="AF64" s="1213"/>
      <c r="AV64" s="1213"/>
      <c r="AW64" s="1213"/>
      <c r="AX64" s="1213"/>
      <c r="AY64" s="1213"/>
      <c r="AZ64" s="1213"/>
      <c r="BA64" s="1213"/>
      <c r="BC64" s="1213"/>
      <c r="BE64" s="1213"/>
      <c r="BF64" s="1213"/>
      <c r="BG64" s="1213"/>
    </row>
    <row r="65" spans="18:59" x14ac:dyDescent="0.35">
      <c r="R65" s="1213"/>
      <c r="S65" s="1213"/>
      <c r="W65" s="1213"/>
      <c r="X65" s="1213"/>
      <c r="AE65" s="1213"/>
      <c r="AF65" s="1213"/>
      <c r="AV65" s="1213"/>
      <c r="AW65" s="1213"/>
      <c r="AX65" s="1213"/>
      <c r="AY65" s="1213"/>
      <c r="AZ65" s="1213"/>
      <c r="BA65" s="1213"/>
      <c r="BC65" s="1213"/>
      <c r="BE65" s="1213"/>
      <c r="BF65" s="1213"/>
      <c r="BG65" s="1213"/>
    </row>
    <row r="66" spans="18:59" x14ac:dyDescent="0.35">
      <c r="R66" s="1213"/>
      <c r="S66" s="1213"/>
      <c r="W66" s="1213"/>
      <c r="X66" s="1213"/>
      <c r="AE66" s="1213"/>
      <c r="AF66" s="1213"/>
      <c r="AV66" s="1213"/>
      <c r="AW66" s="1213"/>
      <c r="AX66" s="1213"/>
      <c r="AY66" s="1213"/>
      <c r="AZ66" s="1213"/>
      <c r="BA66" s="1213"/>
      <c r="BC66" s="1213"/>
      <c r="BE66" s="1213"/>
      <c r="BF66" s="1213"/>
      <c r="BG66" s="1213"/>
    </row>
    <row r="67" spans="18:59" x14ac:dyDescent="0.35">
      <c r="R67" s="1213"/>
      <c r="S67" s="1213"/>
      <c r="W67" s="1213"/>
      <c r="X67" s="1213"/>
      <c r="AE67" s="1213"/>
      <c r="AF67" s="1213"/>
      <c r="AV67" s="1213"/>
      <c r="AW67" s="1213"/>
      <c r="AX67" s="1213"/>
      <c r="AY67" s="1213"/>
      <c r="AZ67" s="1213"/>
      <c r="BA67" s="1213"/>
      <c r="BC67" s="1213"/>
      <c r="BE67" s="1213"/>
      <c r="BF67" s="1213"/>
      <c r="BG67" s="1213"/>
    </row>
    <row r="68" spans="18:59" x14ac:dyDescent="0.35">
      <c r="R68" s="1213"/>
      <c r="S68" s="1213"/>
      <c r="W68" s="1213"/>
      <c r="X68" s="1213"/>
      <c r="AE68" s="1213"/>
      <c r="AF68" s="1213"/>
      <c r="AV68" s="1213"/>
      <c r="AW68" s="1213"/>
      <c r="AX68" s="1213"/>
      <c r="AY68" s="1213"/>
      <c r="AZ68" s="1213"/>
      <c r="BA68" s="1213"/>
      <c r="BC68" s="1213"/>
      <c r="BE68" s="1213"/>
      <c r="BF68" s="1213"/>
      <c r="BG68" s="1213"/>
    </row>
    <row r="69" spans="18:59" x14ac:dyDescent="0.35">
      <c r="R69" s="1213"/>
      <c r="S69" s="1213"/>
      <c r="W69" s="1213"/>
      <c r="X69" s="1213"/>
      <c r="AE69" s="1213"/>
      <c r="AF69" s="1213"/>
      <c r="AV69" s="1213"/>
      <c r="AW69" s="1213"/>
      <c r="AX69" s="1213"/>
      <c r="AY69" s="1213"/>
      <c r="AZ69" s="1213"/>
      <c r="BA69" s="1213"/>
      <c r="BC69" s="1213"/>
      <c r="BE69" s="1213"/>
      <c r="BF69" s="1213"/>
      <c r="BG69" s="1213"/>
    </row>
    <row r="70" spans="18:59" x14ac:dyDescent="0.35">
      <c r="R70" s="1213"/>
      <c r="S70" s="1213"/>
      <c r="W70" s="1213"/>
      <c r="X70" s="1213"/>
      <c r="AE70" s="1213"/>
      <c r="AF70" s="1213"/>
      <c r="AV70" s="1213"/>
      <c r="AW70" s="1213"/>
      <c r="AX70" s="1213"/>
      <c r="AY70" s="1213"/>
      <c r="AZ70" s="1213"/>
      <c r="BA70" s="1213"/>
      <c r="BC70" s="1213"/>
      <c r="BE70" s="1213"/>
      <c r="BF70" s="1213"/>
      <c r="BG70" s="1213"/>
    </row>
    <row r="71" spans="18:59" x14ac:dyDescent="0.35">
      <c r="R71" s="1213"/>
      <c r="S71" s="1213"/>
      <c r="W71" s="1213"/>
      <c r="X71" s="1213"/>
      <c r="AE71" s="1213"/>
      <c r="AF71" s="1213"/>
      <c r="AV71" s="1213"/>
      <c r="AW71" s="1213"/>
      <c r="AX71" s="1213"/>
      <c r="AY71" s="1213"/>
      <c r="AZ71" s="1213"/>
      <c r="BA71" s="1213"/>
      <c r="BC71" s="1213"/>
      <c r="BE71" s="1213"/>
      <c r="BF71" s="1213"/>
      <c r="BG71" s="1213"/>
    </row>
    <row r="72" spans="18:59" x14ac:dyDescent="0.35">
      <c r="R72" s="1213"/>
      <c r="S72" s="1213"/>
      <c r="W72" s="1213"/>
      <c r="X72" s="1213"/>
      <c r="AE72" s="1213"/>
      <c r="AF72" s="1213"/>
      <c r="AV72" s="1213"/>
      <c r="AW72" s="1213"/>
      <c r="AX72" s="1213"/>
      <c r="AY72" s="1213"/>
      <c r="AZ72" s="1213"/>
      <c r="BA72" s="1213"/>
      <c r="BC72" s="1213"/>
      <c r="BE72" s="1213"/>
      <c r="BF72" s="1213"/>
      <c r="BG72" s="1213"/>
    </row>
    <row r="73" spans="18:59" x14ac:dyDescent="0.35">
      <c r="R73" s="1213"/>
      <c r="S73" s="1213"/>
      <c r="W73" s="1213"/>
      <c r="X73" s="1213"/>
      <c r="AE73" s="1213"/>
      <c r="AF73" s="1213"/>
      <c r="AV73" s="1213"/>
      <c r="AW73" s="1213"/>
      <c r="AX73" s="1213"/>
      <c r="AY73" s="1213"/>
      <c r="AZ73" s="1213"/>
      <c r="BA73" s="1213"/>
      <c r="BC73" s="1213"/>
      <c r="BE73" s="1213"/>
      <c r="BF73" s="1213"/>
      <c r="BG73" s="1213"/>
    </row>
    <row r="74" spans="18:59" x14ac:dyDescent="0.35">
      <c r="R74" s="1213"/>
      <c r="S74" s="1213"/>
      <c r="W74" s="1213"/>
      <c r="X74" s="1213"/>
      <c r="AE74" s="1213"/>
      <c r="AF74" s="1213"/>
      <c r="AV74" s="1213"/>
      <c r="AW74" s="1213"/>
      <c r="AX74" s="1213"/>
      <c r="AY74" s="1213"/>
      <c r="AZ74" s="1213"/>
      <c r="BA74" s="1213"/>
      <c r="BC74" s="1213"/>
      <c r="BE74" s="1213"/>
      <c r="BF74" s="1213"/>
      <c r="BG74" s="1213"/>
    </row>
    <row r="75" spans="18:59" x14ac:dyDescent="0.35">
      <c r="R75" s="1213"/>
      <c r="S75" s="1213"/>
      <c r="W75" s="1213"/>
      <c r="X75" s="1213"/>
      <c r="AE75" s="1213"/>
      <c r="AF75" s="1213"/>
      <c r="AV75" s="1213"/>
      <c r="AW75" s="1213"/>
      <c r="AX75" s="1213"/>
      <c r="AY75" s="1213"/>
      <c r="AZ75" s="1213"/>
      <c r="BA75" s="1213"/>
      <c r="BC75" s="1213"/>
      <c r="BE75" s="1213"/>
      <c r="BF75" s="1213"/>
      <c r="BG75" s="1213"/>
    </row>
    <row r="76" spans="18:59" x14ac:dyDescent="0.35">
      <c r="R76" s="1213"/>
      <c r="S76" s="1213"/>
      <c r="W76" s="1213"/>
      <c r="X76" s="1213"/>
      <c r="AE76" s="1213"/>
      <c r="AF76" s="1213"/>
      <c r="AV76" s="1213"/>
      <c r="AW76" s="1213"/>
      <c r="AX76" s="1213"/>
      <c r="AY76" s="1213"/>
      <c r="AZ76" s="1213"/>
      <c r="BA76" s="1213"/>
      <c r="BC76" s="1213"/>
      <c r="BE76" s="1213"/>
      <c r="BF76" s="1213"/>
      <c r="BG76" s="1213"/>
    </row>
    <row r="77" spans="18:59" x14ac:dyDescent="0.35">
      <c r="R77" s="1213"/>
      <c r="S77" s="1213"/>
      <c r="W77" s="1213"/>
      <c r="X77" s="1213"/>
      <c r="AE77" s="1213"/>
      <c r="AF77" s="1213"/>
      <c r="AV77" s="1213"/>
      <c r="AW77" s="1213"/>
      <c r="AX77" s="1213"/>
      <c r="AY77" s="1213"/>
      <c r="AZ77" s="1213"/>
      <c r="BA77" s="1213"/>
      <c r="BC77" s="1213"/>
      <c r="BE77" s="1213"/>
      <c r="BF77" s="1213"/>
      <c r="BG77" s="1213"/>
    </row>
    <row r="78" spans="18:59" x14ac:dyDescent="0.35">
      <c r="R78" s="1213"/>
      <c r="S78" s="1213"/>
      <c r="W78" s="1213"/>
      <c r="X78" s="1213"/>
      <c r="AE78" s="1213"/>
      <c r="AF78" s="1213"/>
      <c r="AV78" s="1213"/>
      <c r="AW78" s="1213"/>
      <c r="AX78" s="1213"/>
      <c r="AY78" s="1213"/>
      <c r="AZ78" s="1213"/>
      <c r="BA78" s="1213"/>
      <c r="BC78" s="1213"/>
      <c r="BE78" s="1213"/>
      <c r="BF78" s="1213"/>
      <c r="BG78" s="1213"/>
    </row>
    <row r="79" spans="18:59" x14ac:dyDescent="0.35">
      <c r="R79" s="1213"/>
      <c r="S79" s="1213"/>
      <c r="W79" s="1213"/>
      <c r="X79" s="1213"/>
      <c r="AE79" s="1213"/>
      <c r="AF79" s="1213"/>
      <c r="AV79" s="1213"/>
      <c r="AW79" s="1213"/>
      <c r="AX79" s="1213"/>
      <c r="AY79" s="1213"/>
      <c r="AZ79" s="1213"/>
      <c r="BA79" s="1213"/>
      <c r="BC79" s="1213"/>
      <c r="BE79" s="1213"/>
      <c r="BF79" s="1213"/>
      <c r="BG79" s="1213"/>
    </row>
    <row r="80" spans="18:59" x14ac:dyDescent="0.35">
      <c r="R80" s="1213"/>
      <c r="S80" s="1213"/>
      <c r="W80" s="1213"/>
      <c r="X80" s="1213"/>
      <c r="AE80" s="1213"/>
      <c r="AF80" s="1213"/>
      <c r="AV80" s="1213"/>
      <c r="AW80" s="1213"/>
      <c r="AX80" s="1213"/>
      <c r="AY80" s="1213"/>
      <c r="AZ80" s="1213"/>
      <c r="BA80" s="1213"/>
      <c r="BC80" s="1213"/>
      <c r="BE80" s="1213"/>
      <c r="BF80" s="1213"/>
      <c r="BG80" s="1213"/>
    </row>
    <row r="81" spans="18:59" x14ac:dyDescent="0.35">
      <c r="R81" s="1213"/>
      <c r="S81" s="1213"/>
      <c r="W81" s="1213"/>
      <c r="X81" s="1213"/>
      <c r="AE81" s="1213"/>
      <c r="AF81" s="1213"/>
      <c r="AV81" s="1213"/>
      <c r="AW81" s="1213"/>
      <c r="AX81" s="1213"/>
      <c r="AY81" s="1213"/>
      <c r="AZ81" s="1213"/>
      <c r="BA81" s="1213"/>
      <c r="BC81" s="1213"/>
      <c r="BE81" s="1213"/>
      <c r="BF81" s="1213"/>
      <c r="BG81" s="1213"/>
    </row>
    <row r="82" spans="18:59" x14ac:dyDescent="0.35">
      <c r="R82" s="1213"/>
      <c r="S82" s="1213"/>
      <c r="W82" s="1213"/>
      <c r="X82" s="1213"/>
      <c r="AE82" s="1213"/>
      <c r="AF82" s="1213"/>
      <c r="AV82" s="1213"/>
      <c r="AW82" s="1213"/>
      <c r="AX82" s="1213"/>
      <c r="AY82" s="1213"/>
      <c r="AZ82" s="1213"/>
      <c r="BA82" s="1213"/>
      <c r="BC82" s="1213"/>
      <c r="BE82" s="1213"/>
      <c r="BF82" s="1213"/>
      <c r="BG82" s="1213"/>
    </row>
    <row r="83" spans="18:59" x14ac:dyDescent="0.35">
      <c r="R83" s="1213"/>
      <c r="S83" s="1213"/>
      <c r="W83" s="1213"/>
      <c r="X83" s="1213"/>
      <c r="AE83" s="1213"/>
      <c r="AF83" s="1213"/>
      <c r="AV83" s="1213"/>
      <c r="AW83" s="1213"/>
      <c r="AX83" s="1213"/>
      <c r="AY83" s="1213"/>
      <c r="AZ83" s="1213"/>
      <c r="BA83" s="1213"/>
      <c r="BC83" s="1213"/>
      <c r="BE83" s="1213"/>
      <c r="BF83" s="1213"/>
      <c r="BG83" s="1213"/>
    </row>
    <row r="84" spans="18:59" x14ac:dyDescent="0.35">
      <c r="R84" s="1213"/>
      <c r="S84" s="1213"/>
      <c r="W84" s="1213"/>
      <c r="X84" s="1213"/>
      <c r="AE84" s="1213"/>
      <c r="AF84" s="1213"/>
      <c r="AV84" s="1213"/>
      <c r="AW84" s="1213"/>
      <c r="AX84" s="1213"/>
      <c r="AY84" s="1213"/>
      <c r="AZ84" s="1213"/>
      <c r="BA84" s="1213"/>
      <c r="BC84" s="1213"/>
      <c r="BE84" s="1213"/>
      <c r="BF84" s="1213"/>
      <c r="BG84" s="1213"/>
    </row>
    <row r="85" spans="18:59" x14ac:dyDescent="0.35">
      <c r="R85" s="1213"/>
      <c r="S85" s="1213"/>
      <c r="W85" s="1213"/>
      <c r="X85" s="1213"/>
      <c r="AE85" s="1213"/>
      <c r="AF85" s="1213"/>
      <c r="AV85" s="1213"/>
      <c r="AW85" s="1213"/>
      <c r="AX85" s="1213"/>
      <c r="AY85" s="1213"/>
      <c r="AZ85" s="1213"/>
      <c r="BA85" s="1213"/>
      <c r="BC85" s="1213"/>
      <c r="BE85" s="1213"/>
      <c r="BF85" s="1213"/>
      <c r="BG85" s="1213"/>
    </row>
    <row r="86" spans="18:59" x14ac:dyDescent="0.35">
      <c r="R86" s="1213"/>
      <c r="S86" s="1213"/>
      <c r="W86" s="1213"/>
      <c r="X86" s="1213"/>
      <c r="AE86" s="1213"/>
      <c r="AF86" s="1213"/>
      <c r="AV86" s="1213"/>
      <c r="AW86" s="1213"/>
      <c r="AX86" s="1213"/>
      <c r="AY86" s="1213"/>
      <c r="AZ86" s="1213"/>
      <c r="BA86" s="1213"/>
      <c r="BC86" s="1213"/>
      <c r="BE86" s="1213"/>
      <c r="BF86" s="1213"/>
      <c r="BG86" s="1213"/>
    </row>
    <row r="87" spans="18:59" x14ac:dyDescent="0.35">
      <c r="R87" s="1213"/>
      <c r="S87" s="1213"/>
      <c r="W87" s="1213"/>
      <c r="X87" s="1213"/>
      <c r="AE87" s="1213"/>
      <c r="AF87" s="1213"/>
      <c r="AV87" s="1213"/>
      <c r="AW87" s="1213"/>
      <c r="AX87" s="1213"/>
      <c r="AY87" s="1213"/>
      <c r="AZ87" s="1213"/>
      <c r="BA87" s="1213"/>
      <c r="BC87" s="1213"/>
      <c r="BE87" s="1213"/>
      <c r="BF87" s="1213"/>
      <c r="BG87" s="1213"/>
    </row>
    <row r="88" spans="18:59" x14ac:dyDescent="0.35">
      <c r="R88" s="1213"/>
      <c r="S88" s="1213"/>
      <c r="W88" s="1213"/>
      <c r="X88" s="1213"/>
      <c r="AE88" s="1213"/>
      <c r="AF88" s="1213"/>
      <c r="AV88" s="1213"/>
      <c r="AW88" s="1213"/>
      <c r="AX88" s="1213"/>
      <c r="AY88" s="1213"/>
      <c r="AZ88" s="1213"/>
      <c r="BA88" s="1213"/>
      <c r="BC88" s="1213"/>
      <c r="BE88" s="1213"/>
      <c r="BF88" s="1213"/>
      <c r="BG88" s="1213"/>
    </row>
    <row r="89" spans="18:59" x14ac:dyDescent="0.35">
      <c r="R89" s="1213"/>
      <c r="S89" s="1213"/>
      <c r="W89" s="1213"/>
      <c r="X89" s="1213"/>
      <c r="AE89" s="1213"/>
      <c r="AF89" s="1213"/>
      <c r="AV89" s="1213"/>
      <c r="AW89" s="1213"/>
      <c r="AX89" s="1213"/>
      <c r="AY89" s="1213"/>
      <c r="AZ89" s="1213"/>
      <c r="BA89" s="1213"/>
      <c r="BC89" s="1213"/>
      <c r="BE89" s="1213"/>
      <c r="BF89" s="1213"/>
      <c r="BG89" s="1213"/>
    </row>
    <row r="90" spans="18:59" x14ac:dyDescent="0.35">
      <c r="R90" s="1213"/>
      <c r="S90" s="1213"/>
      <c r="W90" s="1213"/>
      <c r="X90" s="1213"/>
      <c r="AE90" s="1213"/>
      <c r="AF90" s="1213"/>
      <c r="AV90" s="1213"/>
      <c r="AW90" s="1213"/>
      <c r="AX90" s="1213"/>
      <c r="AY90" s="1213"/>
      <c r="AZ90" s="1213"/>
      <c r="BA90" s="1213"/>
      <c r="BC90" s="1213"/>
      <c r="BE90" s="1213"/>
      <c r="BF90" s="1213"/>
      <c r="BG90" s="1213"/>
    </row>
    <row r="91" spans="18:59" x14ac:dyDescent="0.35">
      <c r="R91" s="1213"/>
      <c r="S91" s="1213"/>
      <c r="W91" s="1213"/>
      <c r="X91" s="1213"/>
      <c r="AE91" s="1213"/>
      <c r="AF91" s="1213"/>
      <c r="AV91" s="1213"/>
      <c r="AW91" s="1213"/>
      <c r="AX91" s="1213"/>
      <c r="AY91" s="1213"/>
      <c r="AZ91" s="1213"/>
      <c r="BA91" s="1213"/>
      <c r="BC91" s="1213"/>
      <c r="BE91" s="1213"/>
      <c r="BF91" s="1213"/>
      <c r="BG91" s="1213"/>
    </row>
    <row r="92" spans="18:59" x14ac:dyDescent="0.35">
      <c r="R92" s="1213"/>
      <c r="S92" s="1213"/>
      <c r="W92" s="1213"/>
      <c r="X92" s="1213"/>
      <c r="AE92" s="1213"/>
      <c r="AF92" s="1213"/>
      <c r="AV92" s="1213"/>
      <c r="AW92" s="1213"/>
      <c r="AX92" s="1213"/>
      <c r="AY92" s="1213"/>
      <c r="AZ92" s="1213"/>
      <c r="BA92" s="1213"/>
      <c r="BC92" s="1213"/>
      <c r="BE92" s="1213"/>
      <c r="BF92" s="1213"/>
      <c r="BG92" s="1213"/>
    </row>
    <row r="93" spans="18:59" x14ac:dyDescent="0.35">
      <c r="R93" s="1213"/>
      <c r="S93" s="1213"/>
      <c r="W93" s="1213"/>
      <c r="X93" s="1213"/>
      <c r="AE93" s="1213"/>
      <c r="AF93" s="1213"/>
      <c r="AV93" s="1213"/>
      <c r="AW93" s="1213"/>
      <c r="AX93" s="1213"/>
      <c r="AY93" s="1213"/>
      <c r="AZ93" s="1213"/>
      <c r="BA93" s="1213"/>
      <c r="BC93" s="1213"/>
      <c r="BE93" s="1213"/>
      <c r="BF93" s="1213"/>
      <c r="BG93" s="1213"/>
    </row>
    <row r="94" spans="18:59" x14ac:dyDescent="0.35">
      <c r="R94" s="1213"/>
      <c r="S94" s="1213"/>
      <c r="W94" s="1213"/>
      <c r="X94" s="1213"/>
      <c r="AE94" s="1213"/>
      <c r="AF94" s="1213"/>
      <c r="AV94" s="1213"/>
      <c r="AW94" s="1213"/>
      <c r="AX94" s="1213"/>
      <c r="AY94" s="1213"/>
      <c r="AZ94" s="1213"/>
      <c r="BA94" s="1213"/>
      <c r="BC94" s="1213"/>
      <c r="BE94" s="1213"/>
      <c r="BF94" s="1213"/>
      <c r="BG94" s="1213"/>
    </row>
    <row r="95" spans="18:59" x14ac:dyDescent="0.35">
      <c r="R95" s="1213"/>
      <c r="S95" s="1213"/>
      <c r="W95" s="1213"/>
      <c r="X95" s="1213"/>
      <c r="AE95" s="1213"/>
      <c r="AF95" s="1213"/>
      <c r="AV95" s="1213"/>
      <c r="AW95" s="1213"/>
      <c r="AX95" s="1213"/>
      <c r="AY95" s="1213"/>
      <c r="AZ95" s="1213"/>
      <c r="BA95" s="1213"/>
      <c r="BC95" s="1213"/>
      <c r="BE95" s="1213"/>
      <c r="BF95" s="1213"/>
      <c r="BG95" s="1213"/>
    </row>
    <row r="96" spans="18:59" x14ac:dyDescent="0.35">
      <c r="R96" s="1213"/>
      <c r="S96" s="1213"/>
      <c r="W96" s="1213"/>
      <c r="X96" s="1213"/>
      <c r="AE96" s="1213"/>
      <c r="AF96" s="1213"/>
      <c r="AV96" s="1213"/>
      <c r="AW96" s="1213"/>
      <c r="AX96" s="1213"/>
      <c r="AY96" s="1213"/>
      <c r="AZ96" s="1213"/>
      <c r="BA96" s="1213"/>
      <c r="BC96" s="1213"/>
      <c r="BE96" s="1213"/>
      <c r="BF96" s="1213"/>
      <c r="BG96" s="1213"/>
    </row>
    <row r="97" spans="18:59" x14ac:dyDescent="0.35">
      <c r="R97" s="1213"/>
      <c r="S97" s="1213"/>
      <c r="W97" s="1213"/>
      <c r="X97" s="1213"/>
      <c r="AE97" s="1213"/>
      <c r="AF97" s="1213"/>
      <c r="AV97" s="1213"/>
      <c r="AW97" s="1213"/>
      <c r="AX97" s="1213"/>
      <c r="AY97" s="1213"/>
      <c r="AZ97" s="1213"/>
      <c r="BA97" s="1213"/>
      <c r="BC97" s="1213"/>
      <c r="BE97" s="1213"/>
      <c r="BF97" s="1213"/>
      <c r="BG97" s="1213"/>
    </row>
    <row r="98" spans="18:59" x14ac:dyDescent="0.35">
      <c r="R98" s="1213"/>
      <c r="S98" s="1213"/>
      <c r="W98" s="1213"/>
      <c r="X98" s="1213"/>
      <c r="AE98" s="1213"/>
      <c r="AF98" s="1213"/>
      <c r="AV98" s="1213"/>
      <c r="AW98" s="1213"/>
      <c r="AX98" s="1213"/>
      <c r="AY98" s="1213"/>
      <c r="AZ98" s="1213"/>
      <c r="BA98" s="1213"/>
      <c r="BC98" s="1213"/>
      <c r="BE98" s="1213"/>
      <c r="BF98" s="1213"/>
      <c r="BG98" s="1213"/>
    </row>
    <row r="99" spans="18:59" x14ac:dyDescent="0.35">
      <c r="R99" s="1213"/>
      <c r="S99" s="1213"/>
      <c r="W99" s="1213"/>
      <c r="X99" s="1213"/>
      <c r="AE99" s="1213"/>
      <c r="AF99" s="1213"/>
      <c r="AV99" s="1213"/>
      <c r="AW99" s="1213"/>
      <c r="AX99" s="1213"/>
      <c r="AY99" s="1213"/>
      <c r="AZ99" s="1213"/>
      <c r="BA99" s="1213"/>
      <c r="BC99" s="1213"/>
      <c r="BE99" s="1213"/>
      <c r="BF99" s="1213"/>
      <c r="BG99" s="1213"/>
    </row>
    <row r="100" spans="18:59" x14ac:dyDescent="0.35">
      <c r="R100" s="1213"/>
      <c r="S100" s="1213"/>
      <c r="W100" s="1213"/>
      <c r="X100" s="1213"/>
      <c r="AE100" s="1213"/>
      <c r="AF100" s="1213"/>
      <c r="AV100" s="1213"/>
      <c r="AW100" s="1213"/>
      <c r="AX100" s="1213"/>
      <c r="AY100" s="1213"/>
      <c r="AZ100" s="1213"/>
      <c r="BA100" s="1213"/>
      <c r="BC100" s="1213"/>
      <c r="BE100" s="1213"/>
      <c r="BF100" s="1213"/>
      <c r="BG100" s="1213"/>
    </row>
    <row r="101" spans="18:59" x14ac:dyDescent="0.35">
      <c r="R101" s="1213"/>
      <c r="S101" s="1213"/>
      <c r="W101" s="1213"/>
      <c r="X101" s="1213"/>
      <c r="AE101" s="1213"/>
      <c r="AF101" s="1213"/>
      <c r="AV101" s="1213"/>
      <c r="AW101" s="1213"/>
      <c r="AX101" s="1213"/>
      <c r="AY101" s="1213"/>
      <c r="AZ101" s="1213"/>
      <c r="BA101" s="1213"/>
      <c r="BC101" s="1213"/>
      <c r="BE101" s="1213"/>
      <c r="BF101" s="1213"/>
      <c r="BG101" s="1213"/>
    </row>
    <row r="102" spans="18:59" x14ac:dyDescent="0.35">
      <c r="R102" s="1213"/>
      <c r="S102" s="1213"/>
      <c r="W102" s="1213"/>
      <c r="X102" s="1213"/>
      <c r="AE102" s="1213"/>
      <c r="AF102" s="1213"/>
      <c r="AV102" s="1213"/>
      <c r="AW102" s="1213"/>
      <c r="AX102" s="1213"/>
      <c r="AY102" s="1213"/>
      <c r="AZ102" s="1213"/>
      <c r="BA102" s="1213"/>
      <c r="BC102" s="1213"/>
      <c r="BE102" s="1213"/>
      <c r="BF102" s="1213"/>
      <c r="BG102" s="1213"/>
    </row>
    <row r="103" spans="18:59" x14ac:dyDescent="0.35">
      <c r="R103" s="1213"/>
      <c r="S103" s="1213"/>
      <c r="W103" s="1213"/>
      <c r="X103" s="1213"/>
      <c r="AE103" s="1213"/>
      <c r="AF103" s="1213"/>
      <c r="AV103" s="1213"/>
      <c r="AW103" s="1213"/>
      <c r="AX103" s="1213"/>
      <c r="AY103" s="1213"/>
      <c r="AZ103" s="1213"/>
      <c r="BA103" s="1213"/>
      <c r="BC103" s="1213"/>
      <c r="BE103" s="1213"/>
      <c r="BF103" s="1213"/>
      <c r="BG103" s="1213"/>
    </row>
    <row r="104" spans="18:59" x14ac:dyDescent="0.35">
      <c r="R104" s="1213"/>
      <c r="S104" s="1213"/>
      <c r="W104" s="1213"/>
      <c r="X104" s="1213"/>
      <c r="AE104" s="1213"/>
      <c r="AF104" s="1213"/>
      <c r="AV104" s="1213"/>
      <c r="AW104" s="1213"/>
      <c r="AX104" s="1213"/>
      <c r="AY104" s="1213"/>
      <c r="AZ104" s="1213"/>
      <c r="BA104" s="1213"/>
      <c r="BC104" s="1213"/>
      <c r="BE104" s="1213"/>
      <c r="BF104" s="1213"/>
      <c r="BG104" s="1213"/>
    </row>
    <row r="105" spans="18:59" x14ac:dyDescent="0.35">
      <c r="R105" s="1213"/>
      <c r="S105" s="1213"/>
      <c r="W105" s="1213"/>
      <c r="X105" s="1213"/>
      <c r="AE105" s="1213"/>
      <c r="AF105" s="1213"/>
      <c r="AV105" s="1213"/>
      <c r="AW105" s="1213"/>
      <c r="AX105" s="1213"/>
      <c r="AY105" s="1213"/>
      <c r="AZ105" s="1213"/>
      <c r="BA105" s="1213"/>
      <c r="BC105" s="1213"/>
      <c r="BE105" s="1213"/>
      <c r="BF105" s="1213"/>
      <c r="BG105" s="1213"/>
    </row>
    <row r="106" spans="18:59" x14ac:dyDescent="0.35">
      <c r="R106" s="1213"/>
      <c r="S106" s="1213"/>
      <c r="W106" s="1213"/>
      <c r="X106" s="1213"/>
      <c r="AE106" s="1213"/>
      <c r="AF106" s="1213"/>
      <c r="AV106" s="1213"/>
      <c r="AW106" s="1213"/>
      <c r="AX106" s="1213"/>
      <c r="AY106" s="1213"/>
      <c r="AZ106" s="1213"/>
      <c r="BA106" s="1213"/>
      <c r="BC106" s="1213"/>
      <c r="BE106" s="1213"/>
      <c r="BF106" s="1213"/>
      <c r="BG106" s="1213"/>
    </row>
    <row r="107" spans="18:59" x14ac:dyDescent="0.35">
      <c r="R107" s="1213"/>
      <c r="S107" s="1213"/>
      <c r="W107" s="1213"/>
      <c r="X107" s="1213"/>
      <c r="AE107" s="1213"/>
      <c r="AF107" s="1213"/>
      <c r="AV107" s="1213"/>
      <c r="AW107" s="1213"/>
      <c r="AX107" s="1213"/>
      <c r="AY107" s="1213"/>
      <c r="AZ107" s="1213"/>
      <c r="BA107" s="1213"/>
      <c r="BC107" s="1213"/>
      <c r="BE107" s="1213"/>
      <c r="BF107" s="1213"/>
      <c r="BG107" s="1213"/>
    </row>
    <row r="108" spans="18:59" x14ac:dyDescent="0.35">
      <c r="R108" s="1213"/>
      <c r="S108" s="1213"/>
      <c r="W108" s="1213"/>
      <c r="X108" s="1213"/>
      <c r="AE108" s="1213"/>
      <c r="AF108" s="1213"/>
      <c r="AV108" s="1213"/>
      <c r="AW108" s="1213"/>
      <c r="AX108" s="1213"/>
      <c r="AY108" s="1213"/>
      <c r="AZ108" s="1213"/>
      <c r="BA108" s="1213"/>
      <c r="BC108" s="1213"/>
      <c r="BE108" s="1213"/>
      <c r="BF108" s="1213"/>
      <c r="BG108" s="1213"/>
    </row>
    <row r="109" spans="18:59" x14ac:dyDescent="0.35">
      <c r="R109" s="1213"/>
      <c r="S109" s="1213"/>
      <c r="W109" s="1213"/>
      <c r="X109" s="1213"/>
      <c r="AE109" s="1213"/>
      <c r="AF109" s="1213"/>
      <c r="AV109" s="1213"/>
      <c r="AW109" s="1213"/>
      <c r="AX109" s="1213"/>
      <c r="AY109" s="1213"/>
      <c r="AZ109" s="1213"/>
      <c r="BA109" s="1213"/>
      <c r="BC109" s="1213"/>
      <c r="BE109" s="1213"/>
      <c r="BF109" s="1213"/>
      <c r="BG109" s="1213"/>
    </row>
    <row r="110" spans="18:59" x14ac:dyDescent="0.35">
      <c r="R110" s="1213"/>
      <c r="S110" s="1213"/>
      <c r="W110" s="1213"/>
      <c r="X110" s="1213"/>
      <c r="AE110" s="1213"/>
      <c r="AF110" s="1213"/>
      <c r="AV110" s="1213"/>
      <c r="AW110" s="1213"/>
      <c r="AX110" s="1213"/>
      <c r="AY110" s="1213"/>
      <c r="AZ110" s="1213"/>
      <c r="BA110" s="1213"/>
      <c r="BC110" s="1213"/>
      <c r="BE110" s="1213"/>
      <c r="BF110" s="1213"/>
      <c r="BG110" s="1213"/>
    </row>
    <row r="111" spans="18:59" x14ac:dyDescent="0.35">
      <c r="R111" s="1213"/>
      <c r="S111" s="1213"/>
      <c r="W111" s="1213"/>
      <c r="X111" s="1213"/>
      <c r="AE111" s="1213"/>
      <c r="AF111" s="1213"/>
      <c r="AV111" s="1213"/>
      <c r="AW111" s="1213"/>
      <c r="AX111" s="1213"/>
      <c r="AY111" s="1213"/>
      <c r="AZ111" s="1213"/>
      <c r="BA111" s="1213"/>
      <c r="BC111" s="1213"/>
      <c r="BE111" s="1213"/>
      <c r="BF111" s="1213"/>
      <c r="BG111" s="1213"/>
    </row>
    <row r="112" spans="18:59" x14ac:dyDescent="0.35">
      <c r="R112" s="1213"/>
      <c r="S112" s="1213"/>
      <c r="W112" s="1213"/>
      <c r="X112" s="1213"/>
      <c r="AE112" s="1213"/>
      <c r="AF112" s="1213"/>
      <c r="AV112" s="1213"/>
      <c r="AW112" s="1213"/>
      <c r="AX112" s="1213"/>
      <c r="AY112" s="1213"/>
      <c r="AZ112" s="1213"/>
      <c r="BA112" s="1213"/>
      <c r="BC112" s="1213"/>
      <c r="BE112" s="1213"/>
      <c r="BF112" s="1213"/>
      <c r="BG112" s="1213"/>
    </row>
    <row r="113" spans="18:59" x14ac:dyDescent="0.35">
      <c r="R113" s="1213"/>
      <c r="S113" s="1213"/>
      <c r="W113" s="1213"/>
      <c r="X113" s="1213"/>
      <c r="AE113" s="1213"/>
      <c r="AF113" s="1213"/>
      <c r="AV113" s="1213"/>
      <c r="AW113" s="1213"/>
      <c r="AX113" s="1213"/>
      <c r="AY113" s="1213"/>
      <c r="AZ113" s="1213"/>
      <c r="BA113" s="1213"/>
      <c r="BC113" s="1213"/>
      <c r="BE113" s="1213"/>
      <c r="BF113" s="1213"/>
      <c r="BG113" s="1213"/>
    </row>
    <row r="114" spans="18:59" x14ac:dyDescent="0.35">
      <c r="R114" s="1213"/>
      <c r="S114" s="1213"/>
      <c r="W114" s="1213"/>
      <c r="X114" s="1213"/>
      <c r="AE114" s="1213"/>
      <c r="AF114" s="1213"/>
      <c r="AV114" s="1213"/>
      <c r="AW114" s="1213"/>
      <c r="AX114" s="1213"/>
      <c r="AY114" s="1213"/>
      <c r="AZ114" s="1213"/>
      <c r="BA114" s="1213"/>
      <c r="BC114" s="1213"/>
      <c r="BE114" s="1213"/>
      <c r="BF114" s="1213"/>
      <c r="BG114" s="1213"/>
    </row>
    <row r="115" spans="18:59" x14ac:dyDescent="0.35">
      <c r="R115" s="1213"/>
      <c r="S115" s="1213"/>
      <c r="W115" s="1213"/>
      <c r="X115" s="1213"/>
      <c r="AE115" s="1213"/>
      <c r="AF115" s="1213"/>
      <c r="AV115" s="1213"/>
      <c r="AW115" s="1213"/>
      <c r="AX115" s="1213"/>
      <c r="AY115" s="1213"/>
      <c r="AZ115" s="1213"/>
      <c r="BA115" s="1213"/>
      <c r="BC115" s="1213"/>
      <c r="BE115" s="1213"/>
      <c r="BF115" s="1213"/>
      <c r="BG115" s="1213"/>
    </row>
    <row r="116" spans="18:59" x14ac:dyDescent="0.35">
      <c r="R116" s="1213"/>
      <c r="S116" s="1213"/>
      <c r="W116" s="1213"/>
      <c r="X116" s="1213"/>
      <c r="AE116" s="1213"/>
      <c r="AF116" s="1213"/>
      <c r="AV116" s="1213"/>
      <c r="AW116" s="1213"/>
      <c r="AX116" s="1213"/>
      <c r="AY116" s="1213"/>
      <c r="AZ116" s="1213"/>
      <c r="BA116" s="1213"/>
      <c r="BC116" s="1213"/>
      <c r="BE116" s="1213"/>
      <c r="BF116" s="1213"/>
      <c r="BG116" s="1213"/>
    </row>
    <row r="117" spans="18:59" x14ac:dyDescent="0.35">
      <c r="R117" s="1213"/>
      <c r="S117" s="1213"/>
      <c r="W117" s="1213"/>
      <c r="X117" s="1213"/>
      <c r="AE117" s="1213"/>
      <c r="AF117" s="1213"/>
      <c r="AV117" s="1213"/>
      <c r="AW117" s="1213"/>
      <c r="AX117" s="1213"/>
      <c r="AY117" s="1213"/>
      <c r="AZ117" s="1213"/>
      <c r="BA117" s="1213"/>
      <c r="BC117" s="1213"/>
      <c r="BE117" s="1213"/>
      <c r="BF117" s="1213"/>
      <c r="BG117" s="1213"/>
    </row>
    <row r="118" spans="18:59" x14ac:dyDescent="0.35">
      <c r="R118" s="1213"/>
      <c r="S118" s="1213"/>
      <c r="W118" s="1213"/>
      <c r="X118" s="1213"/>
      <c r="AE118" s="1213"/>
      <c r="AF118" s="1213"/>
      <c r="AV118" s="1213"/>
      <c r="AW118" s="1213"/>
      <c r="AX118" s="1213"/>
      <c r="AY118" s="1213"/>
      <c r="AZ118" s="1213"/>
      <c r="BA118" s="1213"/>
      <c r="BC118" s="1213"/>
      <c r="BE118" s="1213"/>
      <c r="BF118" s="1213"/>
      <c r="BG118" s="1213"/>
    </row>
    <row r="119" spans="18:59" x14ac:dyDescent="0.35">
      <c r="R119" s="1213"/>
      <c r="S119" s="1213"/>
      <c r="W119" s="1213"/>
      <c r="X119" s="1213"/>
      <c r="AE119" s="1213"/>
      <c r="AF119" s="1213"/>
      <c r="AV119" s="1213"/>
      <c r="AW119" s="1213"/>
      <c r="AX119" s="1213"/>
      <c r="AY119" s="1213"/>
      <c r="AZ119" s="1213"/>
      <c r="BA119" s="1213"/>
      <c r="BC119" s="1213"/>
      <c r="BE119" s="1213"/>
      <c r="BF119" s="1213"/>
      <c r="BG119" s="1213"/>
    </row>
    <row r="120" spans="18:59" x14ac:dyDescent="0.35">
      <c r="R120" s="1213"/>
      <c r="S120" s="1213"/>
      <c r="W120" s="1213"/>
      <c r="X120" s="1213"/>
      <c r="AE120" s="1213"/>
      <c r="AF120" s="1213"/>
      <c r="AV120" s="1213"/>
      <c r="AW120" s="1213"/>
      <c r="AX120" s="1213"/>
      <c r="AY120" s="1213"/>
      <c r="AZ120" s="1213"/>
      <c r="BA120" s="1213"/>
      <c r="BC120" s="1213"/>
      <c r="BE120" s="1213"/>
      <c r="BF120" s="1213"/>
      <c r="BG120" s="1213"/>
    </row>
    <row r="121" spans="18:59" x14ac:dyDescent="0.35">
      <c r="R121" s="1213"/>
      <c r="S121" s="1213"/>
      <c r="W121" s="1213"/>
      <c r="X121" s="1213"/>
      <c r="AE121" s="1213"/>
      <c r="AF121" s="1213"/>
      <c r="AV121" s="1213"/>
      <c r="AW121" s="1213"/>
      <c r="AX121" s="1213"/>
      <c r="AY121" s="1213"/>
      <c r="AZ121" s="1213"/>
      <c r="BA121" s="1213"/>
      <c r="BC121" s="1213"/>
      <c r="BE121" s="1213"/>
      <c r="BF121" s="1213"/>
      <c r="BG121" s="1213"/>
    </row>
    <row r="122" spans="18:59" x14ac:dyDescent="0.35">
      <c r="R122" s="1213"/>
      <c r="S122" s="1213"/>
      <c r="W122" s="1213"/>
      <c r="X122" s="1213"/>
      <c r="AE122" s="1213"/>
      <c r="AF122" s="1213"/>
      <c r="AV122" s="1213"/>
      <c r="AW122" s="1213"/>
      <c r="AX122" s="1213"/>
      <c r="AY122" s="1213"/>
      <c r="AZ122" s="1213"/>
      <c r="BA122" s="1213"/>
      <c r="BC122" s="1213"/>
      <c r="BE122" s="1213"/>
      <c r="BF122" s="1213"/>
      <c r="BG122" s="1213"/>
    </row>
    <row r="123" spans="18:59" x14ac:dyDescent="0.35">
      <c r="R123" s="1213"/>
      <c r="S123" s="1213"/>
      <c r="W123" s="1213"/>
      <c r="X123" s="1213"/>
      <c r="AE123" s="1213"/>
      <c r="AF123" s="1213"/>
      <c r="AV123" s="1213"/>
      <c r="AW123" s="1213"/>
      <c r="AX123" s="1213"/>
      <c r="AY123" s="1213"/>
      <c r="AZ123" s="1213"/>
      <c r="BA123" s="1213"/>
      <c r="BC123" s="1213"/>
      <c r="BE123" s="1213"/>
      <c r="BF123" s="1213"/>
      <c r="BG123" s="1213"/>
    </row>
    <row r="124" spans="18:59" x14ac:dyDescent="0.35">
      <c r="R124" s="1213"/>
      <c r="S124" s="1213"/>
      <c r="W124" s="1213"/>
      <c r="X124" s="1213"/>
      <c r="AE124" s="1213"/>
      <c r="AF124" s="1213"/>
      <c r="AV124" s="1213"/>
      <c r="AW124" s="1213"/>
      <c r="AX124" s="1213"/>
      <c r="AY124" s="1213"/>
      <c r="AZ124" s="1213"/>
      <c r="BA124" s="1213"/>
      <c r="BC124" s="1213"/>
      <c r="BE124" s="1213"/>
      <c r="BF124" s="1213"/>
      <c r="BG124" s="1213"/>
    </row>
    <row r="125" spans="18:59" x14ac:dyDescent="0.35">
      <c r="R125" s="1213"/>
      <c r="S125" s="1213"/>
      <c r="W125" s="1213"/>
      <c r="X125" s="1213"/>
      <c r="AE125" s="1213"/>
      <c r="AF125" s="1213"/>
      <c r="AV125" s="1213"/>
      <c r="AW125" s="1213"/>
      <c r="AX125" s="1213"/>
      <c r="AY125" s="1213"/>
      <c r="AZ125" s="1213"/>
      <c r="BA125" s="1213"/>
      <c r="BC125" s="1213"/>
      <c r="BE125" s="1213"/>
      <c r="BF125" s="1213"/>
      <c r="BG125" s="1213"/>
    </row>
    <row r="126" spans="18:59" x14ac:dyDescent="0.35">
      <c r="R126" s="1213"/>
      <c r="S126" s="1213"/>
      <c r="W126" s="1213"/>
      <c r="X126" s="1213"/>
      <c r="AE126" s="1213"/>
      <c r="AF126" s="1213"/>
      <c r="AV126" s="1213"/>
      <c r="AW126" s="1213"/>
      <c r="AX126" s="1213"/>
      <c r="AY126" s="1213"/>
      <c r="AZ126" s="1213"/>
      <c r="BA126" s="1213"/>
      <c r="BC126" s="1213"/>
      <c r="BE126" s="1213"/>
      <c r="BF126" s="1213"/>
      <c r="BG126" s="1213"/>
    </row>
    <row r="127" spans="18:59" x14ac:dyDescent="0.35">
      <c r="R127" s="1213"/>
      <c r="S127" s="1213"/>
      <c r="W127" s="1213"/>
      <c r="X127" s="1213"/>
      <c r="AE127" s="1213"/>
      <c r="AF127" s="1213"/>
      <c r="AV127" s="1213"/>
      <c r="AW127" s="1213"/>
      <c r="AX127" s="1213"/>
      <c r="AY127" s="1213"/>
      <c r="AZ127" s="1213"/>
      <c r="BA127" s="1213"/>
      <c r="BC127" s="1213"/>
      <c r="BE127" s="1213"/>
      <c r="BF127" s="1213"/>
      <c r="BG127" s="1213"/>
    </row>
    <row r="128" spans="18:59" x14ac:dyDescent="0.35">
      <c r="R128" s="1213"/>
      <c r="S128" s="1213"/>
      <c r="W128" s="1213"/>
      <c r="X128" s="1213"/>
      <c r="AE128" s="1213"/>
      <c r="AF128" s="1213"/>
      <c r="AV128" s="1213"/>
      <c r="AW128" s="1213"/>
      <c r="AX128" s="1213"/>
      <c r="AY128" s="1213"/>
      <c r="AZ128" s="1213"/>
      <c r="BA128" s="1213"/>
      <c r="BC128" s="1213"/>
      <c r="BE128" s="1213"/>
      <c r="BF128" s="1213"/>
      <c r="BG128" s="1213"/>
    </row>
    <row r="129" spans="18:59" x14ac:dyDescent="0.35">
      <c r="R129" s="1213"/>
      <c r="S129" s="1213"/>
      <c r="W129" s="1213"/>
      <c r="X129" s="1213"/>
      <c r="AE129" s="1213"/>
      <c r="AF129" s="1213"/>
      <c r="AV129" s="1213"/>
      <c r="AW129" s="1213"/>
      <c r="AX129" s="1213"/>
      <c r="AY129" s="1213"/>
      <c r="AZ129" s="1213"/>
      <c r="BA129" s="1213"/>
      <c r="BC129" s="1213"/>
      <c r="BE129" s="1213"/>
      <c r="BF129" s="1213"/>
      <c r="BG129" s="1213"/>
    </row>
    <row r="130" spans="18:59" x14ac:dyDescent="0.35">
      <c r="R130" s="1213"/>
      <c r="S130" s="1213"/>
      <c r="W130" s="1213"/>
      <c r="X130" s="1213"/>
      <c r="AE130" s="1213"/>
      <c r="AF130" s="1213"/>
      <c r="AV130" s="1213"/>
      <c r="AW130" s="1213"/>
      <c r="AX130" s="1213"/>
      <c r="AY130" s="1213"/>
      <c r="AZ130" s="1213"/>
      <c r="BA130" s="1213"/>
      <c r="BC130" s="1213"/>
      <c r="BE130" s="1213"/>
      <c r="BF130" s="1213"/>
      <c r="BG130" s="1213"/>
    </row>
    <row r="131" spans="18:59" x14ac:dyDescent="0.35">
      <c r="R131" s="1213"/>
      <c r="S131" s="1213"/>
      <c r="W131" s="1213"/>
      <c r="X131" s="1213"/>
      <c r="AE131" s="1213"/>
      <c r="AF131" s="1213"/>
      <c r="AV131" s="1213"/>
      <c r="AW131" s="1213"/>
      <c r="AX131" s="1213"/>
      <c r="AY131" s="1213"/>
      <c r="AZ131" s="1213"/>
      <c r="BA131" s="1213"/>
      <c r="BC131" s="1213"/>
      <c r="BE131" s="1213"/>
      <c r="BF131" s="1213"/>
      <c r="BG131" s="1213"/>
    </row>
    <row r="132" spans="18:59" x14ac:dyDescent="0.35">
      <c r="R132" s="1213"/>
      <c r="S132" s="1213"/>
      <c r="W132" s="1213"/>
      <c r="X132" s="1213"/>
      <c r="AE132" s="1213"/>
      <c r="AF132" s="1213"/>
      <c r="AV132" s="1213"/>
      <c r="AW132" s="1213"/>
      <c r="AX132" s="1213"/>
      <c r="AY132" s="1213"/>
      <c r="AZ132" s="1213"/>
      <c r="BA132" s="1213"/>
      <c r="BC132" s="1213"/>
      <c r="BE132" s="1213"/>
      <c r="BF132" s="1213"/>
      <c r="BG132" s="1213"/>
    </row>
    <row r="133" spans="18:59" x14ac:dyDescent="0.35">
      <c r="R133" s="1213"/>
      <c r="S133" s="1213"/>
      <c r="W133" s="1213"/>
      <c r="X133" s="1213"/>
      <c r="AE133" s="1213"/>
      <c r="AF133" s="1213"/>
      <c r="AV133" s="1213"/>
      <c r="AW133" s="1213"/>
      <c r="AX133" s="1213"/>
      <c r="AY133" s="1213"/>
      <c r="AZ133" s="1213"/>
      <c r="BA133" s="1213"/>
      <c r="BC133" s="1213"/>
      <c r="BE133" s="1213"/>
      <c r="BF133" s="1213"/>
      <c r="BG133" s="1213"/>
    </row>
    <row r="134" spans="18:59" x14ac:dyDescent="0.35">
      <c r="R134" s="1213"/>
      <c r="S134" s="1213"/>
      <c r="W134" s="1213"/>
      <c r="X134" s="1213"/>
      <c r="AE134" s="1213"/>
      <c r="AF134" s="1213"/>
      <c r="AV134" s="1213"/>
      <c r="AW134" s="1213"/>
      <c r="AX134" s="1213"/>
      <c r="AY134" s="1213"/>
      <c r="AZ134" s="1213"/>
      <c r="BA134" s="1213"/>
      <c r="BC134" s="1213"/>
      <c r="BE134" s="1213"/>
      <c r="BF134" s="1213"/>
      <c r="BG134" s="1213"/>
    </row>
    <row r="135" spans="18:59" x14ac:dyDescent="0.35">
      <c r="R135" s="1213"/>
      <c r="S135" s="1213"/>
      <c r="W135" s="1213"/>
      <c r="X135" s="1213"/>
      <c r="AE135" s="1213"/>
      <c r="AF135" s="1213"/>
      <c r="AV135" s="1213"/>
      <c r="AW135" s="1213"/>
      <c r="AX135" s="1213"/>
      <c r="AY135" s="1213"/>
      <c r="AZ135" s="1213"/>
      <c r="BA135" s="1213"/>
      <c r="BC135" s="1213"/>
      <c r="BE135" s="1213"/>
      <c r="BF135" s="1213"/>
      <c r="BG135" s="1213"/>
    </row>
    <row r="136" spans="18:59" x14ac:dyDescent="0.35">
      <c r="R136" s="1213"/>
      <c r="S136" s="1213"/>
      <c r="W136" s="1213"/>
      <c r="X136" s="1213"/>
      <c r="AE136" s="1213"/>
      <c r="AF136" s="1213"/>
      <c r="AV136" s="1213"/>
      <c r="AW136" s="1213"/>
      <c r="AX136" s="1213"/>
      <c r="AY136" s="1213"/>
      <c r="AZ136" s="1213"/>
      <c r="BA136" s="1213"/>
      <c r="BC136" s="1213"/>
      <c r="BE136" s="1213"/>
      <c r="BF136" s="1213"/>
      <c r="BG136" s="1213"/>
    </row>
    <row r="137" spans="18:59" x14ac:dyDescent="0.35">
      <c r="R137" s="1213"/>
      <c r="S137" s="1213"/>
      <c r="W137" s="1213"/>
      <c r="X137" s="1213"/>
      <c r="AE137" s="1213"/>
      <c r="AF137" s="1213"/>
      <c r="AV137" s="1213"/>
      <c r="AW137" s="1213"/>
      <c r="AX137" s="1213"/>
      <c r="AY137" s="1213"/>
      <c r="AZ137" s="1213"/>
      <c r="BA137" s="1213"/>
      <c r="BC137" s="1213"/>
      <c r="BE137" s="1213"/>
      <c r="BF137" s="1213"/>
      <c r="BG137" s="1213"/>
    </row>
    <row r="138" spans="18:59" x14ac:dyDescent="0.35">
      <c r="R138" s="1213"/>
      <c r="S138" s="1213"/>
      <c r="W138" s="1213"/>
      <c r="X138" s="1213"/>
      <c r="AE138" s="1213"/>
      <c r="AF138" s="1213"/>
      <c r="AV138" s="1213"/>
      <c r="AW138" s="1213"/>
      <c r="AX138" s="1213"/>
      <c r="AY138" s="1213"/>
      <c r="AZ138" s="1213"/>
      <c r="BA138" s="1213"/>
      <c r="BC138" s="1213"/>
      <c r="BE138" s="1213"/>
      <c r="BF138" s="1213"/>
      <c r="BG138" s="1213"/>
    </row>
    <row r="139" spans="18:59" x14ac:dyDescent="0.35">
      <c r="R139" s="1213"/>
      <c r="S139" s="1213"/>
      <c r="W139" s="1213"/>
      <c r="X139" s="1213"/>
      <c r="AE139" s="1213"/>
      <c r="AF139" s="1213"/>
      <c r="AV139" s="1213"/>
      <c r="AW139" s="1213"/>
      <c r="AX139" s="1213"/>
      <c r="AY139" s="1213"/>
      <c r="AZ139" s="1213"/>
      <c r="BA139" s="1213"/>
      <c r="BC139" s="1213"/>
      <c r="BE139" s="1213"/>
      <c r="BF139" s="1213"/>
      <c r="BG139" s="1213"/>
    </row>
    <row r="140" spans="18:59" x14ac:dyDescent="0.35">
      <c r="R140" s="1213"/>
      <c r="S140" s="1213"/>
      <c r="W140" s="1213"/>
      <c r="X140" s="1213"/>
      <c r="AE140" s="1213"/>
      <c r="AF140" s="1213"/>
      <c r="AV140" s="1213"/>
      <c r="AW140" s="1213"/>
      <c r="AX140" s="1213"/>
      <c r="AY140" s="1213"/>
      <c r="AZ140" s="1213"/>
      <c r="BA140" s="1213"/>
      <c r="BC140" s="1213"/>
      <c r="BE140" s="1213"/>
      <c r="BF140" s="1213"/>
      <c r="BG140" s="1213"/>
    </row>
    <row r="141" spans="18:59" x14ac:dyDescent="0.35">
      <c r="R141" s="1213"/>
      <c r="S141" s="1213"/>
      <c r="W141" s="1213"/>
      <c r="X141" s="1213"/>
      <c r="AE141" s="1213"/>
      <c r="AF141" s="1213"/>
      <c r="AV141" s="1213"/>
      <c r="AW141" s="1213"/>
      <c r="AX141" s="1213"/>
      <c r="AY141" s="1213"/>
      <c r="AZ141" s="1213"/>
      <c r="BA141" s="1213"/>
      <c r="BC141" s="1213"/>
      <c r="BE141" s="1213"/>
      <c r="BF141" s="1213"/>
      <c r="BG141" s="1213"/>
    </row>
    <row r="142" spans="18:59" x14ac:dyDescent="0.35">
      <c r="R142" s="1213"/>
      <c r="S142" s="1213"/>
      <c r="W142" s="1213"/>
      <c r="X142" s="1213"/>
      <c r="AE142" s="1213"/>
      <c r="AF142" s="1213"/>
      <c r="AV142" s="1213"/>
      <c r="AW142" s="1213"/>
      <c r="AX142" s="1213"/>
      <c r="AY142" s="1213"/>
      <c r="AZ142" s="1213"/>
      <c r="BA142" s="1213"/>
      <c r="BC142" s="1213"/>
      <c r="BE142" s="1213"/>
      <c r="BF142" s="1213"/>
      <c r="BG142" s="1213"/>
    </row>
    <row r="143" spans="18:59" x14ac:dyDescent="0.35">
      <c r="R143" s="1213"/>
      <c r="S143" s="1213"/>
      <c r="W143" s="1213"/>
      <c r="X143" s="1213"/>
      <c r="AE143" s="1213"/>
      <c r="AF143" s="1213"/>
      <c r="AV143" s="1213"/>
      <c r="AW143" s="1213"/>
      <c r="AX143" s="1213"/>
      <c r="AY143" s="1213"/>
      <c r="AZ143" s="1213"/>
      <c r="BA143" s="1213"/>
      <c r="BC143" s="1213"/>
      <c r="BE143" s="1213"/>
      <c r="BF143" s="1213"/>
      <c r="BG143" s="1213"/>
    </row>
    <row r="144" spans="18:59" x14ac:dyDescent="0.35">
      <c r="R144" s="1213"/>
      <c r="S144" s="1213"/>
      <c r="W144" s="1213"/>
      <c r="X144" s="1213"/>
      <c r="AE144" s="1213"/>
      <c r="AF144" s="1213"/>
      <c r="AV144" s="1213"/>
      <c r="AW144" s="1213"/>
      <c r="AX144" s="1213"/>
      <c r="AY144" s="1213"/>
      <c r="AZ144" s="1213"/>
      <c r="BA144" s="1213"/>
      <c r="BC144" s="1213"/>
      <c r="BE144" s="1213"/>
      <c r="BF144" s="1213"/>
      <c r="BG144" s="1213"/>
    </row>
    <row r="145" spans="18:59" x14ac:dyDescent="0.35">
      <c r="R145" s="1213"/>
      <c r="S145" s="1213"/>
      <c r="W145" s="1213"/>
      <c r="X145" s="1213"/>
      <c r="AE145" s="1213"/>
      <c r="AF145" s="1213"/>
      <c r="AV145" s="1213"/>
      <c r="AW145" s="1213"/>
      <c r="AX145" s="1213"/>
      <c r="AY145" s="1213"/>
      <c r="AZ145" s="1213"/>
      <c r="BA145" s="1213"/>
      <c r="BC145" s="1213"/>
      <c r="BE145" s="1213"/>
      <c r="BF145" s="1213"/>
      <c r="BG145" s="1213"/>
    </row>
    <row r="146" spans="18:59" x14ac:dyDescent="0.35">
      <c r="R146" s="1213"/>
      <c r="S146" s="1213"/>
      <c r="W146" s="1213"/>
      <c r="X146" s="1213"/>
      <c r="AE146" s="1213"/>
      <c r="AF146" s="1213"/>
      <c r="AV146" s="1213"/>
      <c r="AW146" s="1213"/>
      <c r="AX146" s="1213"/>
      <c r="AY146" s="1213"/>
      <c r="AZ146" s="1213"/>
      <c r="BA146" s="1213"/>
      <c r="BC146" s="1213"/>
      <c r="BE146" s="1213"/>
      <c r="BF146" s="1213"/>
      <c r="BG146" s="1213"/>
    </row>
    <row r="147" spans="18:59" x14ac:dyDescent="0.35">
      <c r="R147" s="1213"/>
      <c r="S147" s="1213"/>
      <c r="W147" s="1213"/>
      <c r="X147" s="1213"/>
      <c r="AE147" s="1213"/>
      <c r="AF147" s="1213"/>
      <c r="AV147" s="1213"/>
      <c r="AW147" s="1213"/>
      <c r="AX147" s="1213"/>
      <c r="AY147" s="1213"/>
      <c r="AZ147" s="1213"/>
      <c r="BA147" s="1213"/>
      <c r="BC147" s="1213"/>
      <c r="BE147" s="1213"/>
      <c r="BF147" s="1213"/>
      <c r="BG147" s="1213"/>
    </row>
    <row r="148" spans="18:59" x14ac:dyDescent="0.35">
      <c r="R148" s="1213"/>
      <c r="S148" s="1213"/>
      <c r="W148" s="1213"/>
      <c r="X148" s="1213"/>
      <c r="AE148" s="1213"/>
      <c r="AF148" s="1213"/>
      <c r="AV148" s="1213"/>
      <c r="AW148" s="1213"/>
      <c r="AX148" s="1213"/>
      <c r="AY148" s="1213"/>
      <c r="AZ148" s="1213"/>
      <c r="BA148" s="1213"/>
      <c r="BC148" s="1213"/>
      <c r="BE148" s="1213"/>
      <c r="BF148" s="1213"/>
      <c r="BG148" s="1213"/>
    </row>
    <row r="149" spans="18:59" x14ac:dyDescent="0.35">
      <c r="R149" s="1213"/>
      <c r="S149" s="1213"/>
      <c r="W149" s="1213"/>
      <c r="X149" s="1213"/>
      <c r="AE149" s="1213"/>
      <c r="AF149" s="1213"/>
      <c r="AV149" s="1213"/>
      <c r="AW149" s="1213"/>
      <c r="AX149" s="1213"/>
      <c r="AY149" s="1213"/>
      <c r="AZ149" s="1213"/>
      <c r="BA149" s="1213"/>
      <c r="BC149" s="1213"/>
      <c r="BE149" s="1213"/>
      <c r="BF149" s="1213"/>
      <c r="BG149" s="1213"/>
    </row>
    <row r="150" spans="18:59" x14ac:dyDescent="0.35">
      <c r="R150" s="1213"/>
      <c r="S150" s="1213"/>
      <c r="W150" s="1213"/>
      <c r="X150" s="1213"/>
      <c r="AE150" s="1213"/>
      <c r="AF150" s="1213"/>
      <c r="AV150" s="1213"/>
      <c r="AW150" s="1213"/>
      <c r="AX150" s="1213"/>
      <c r="AY150" s="1213"/>
      <c r="AZ150" s="1213"/>
      <c r="BA150" s="1213"/>
      <c r="BC150" s="1213"/>
      <c r="BE150" s="1213"/>
      <c r="BF150" s="1213"/>
      <c r="BG150" s="1213"/>
    </row>
    <row r="151" spans="18:59" x14ac:dyDescent="0.35">
      <c r="R151" s="1213"/>
      <c r="S151" s="1213"/>
      <c r="W151" s="1213"/>
      <c r="X151" s="1213"/>
      <c r="AE151" s="1213"/>
      <c r="AF151" s="1213"/>
      <c r="AV151" s="1213"/>
      <c r="AW151" s="1213"/>
      <c r="AX151" s="1213"/>
      <c r="AY151" s="1213"/>
      <c r="AZ151" s="1213"/>
      <c r="BA151" s="1213"/>
      <c r="BC151" s="1213"/>
      <c r="BE151" s="1213"/>
      <c r="BF151" s="1213"/>
      <c r="BG151" s="1213"/>
    </row>
    <row r="152" spans="18:59" x14ac:dyDescent="0.35">
      <c r="R152" s="1213"/>
      <c r="S152" s="1213"/>
      <c r="W152" s="1213"/>
      <c r="X152" s="1213"/>
      <c r="AE152" s="1213"/>
      <c r="AF152" s="1213"/>
      <c r="AV152" s="1213"/>
      <c r="AW152" s="1213"/>
      <c r="AX152" s="1213"/>
      <c r="AY152" s="1213"/>
      <c r="AZ152" s="1213"/>
      <c r="BA152" s="1213"/>
      <c r="BC152" s="1213"/>
      <c r="BE152" s="1213"/>
      <c r="BF152" s="1213"/>
      <c r="BG152" s="1213"/>
    </row>
    <row r="153" spans="18:59" x14ac:dyDescent="0.35">
      <c r="R153" s="1213"/>
      <c r="S153" s="1213"/>
      <c r="W153" s="1213"/>
      <c r="X153" s="1213"/>
      <c r="AE153" s="1213"/>
      <c r="AF153" s="1213"/>
      <c r="AV153" s="1213"/>
      <c r="AW153" s="1213"/>
      <c r="AX153" s="1213"/>
      <c r="AY153" s="1213"/>
      <c r="AZ153" s="1213"/>
      <c r="BA153" s="1213"/>
      <c r="BC153" s="1213"/>
      <c r="BE153" s="1213"/>
      <c r="BF153" s="1213"/>
      <c r="BG153" s="1213"/>
    </row>
    <row r="154" spans="18:59" x14ac:dyDescent="0.35">
      <c r="R154" s="1213"/>
      <c r="S154" s="1213"/>
      <c r="W154" s="1213"/>
      <c r="X154" s="1213"/>
      <c r="AE154" s="1213"/>
      <c r="AF154" s="1213"/>
      <c r="AV154" s="1213"/>
      <c r="AW154" s="1213"/>
      <c r="AX154" s="1213"/>
      <c r="AY154" s="1213"/>
      <c r="AZ154" s="1213"/>
      <c r="BA154" s="1213"/>
      <c r="BC154" s="1213"/>
      <c r="BE154" s="1213"/>
      <c r="BF154" s="1213"/>
      <c r="BG154" s="1213"/>
    </row>
    <row r="155" spans="18:59" x14ac:dyDescent="0.35">
      <c r="R155" s="1213"/>
      <c r="S155" s="1213"/>
      <c r="W155" s="1213"/>
      <c r="X155" s="1213"/>
      <c r="AE155" s="1213"/>
      <c r="AF155" s="1213"/>
      <c r="AV155" s="1213"/>
      <c r="AW155" s="1213"/>
      <c r="AX155" s="1213"/>
      <c r="AY155" s="1213"/>
      <c r="AZ155" s="1213"/>
      <c r="BA155" s="1213"/>
      <c r="BC155" s="1213"/>
      <c r="BE155" s="1213"/>
      <c r="BF155" s="1213"/>
      <c r="BG155" s="1213"/>
    </row>
    <row r="156" spans="18:59" x14ac:dyDescent="0.35">
      <c r="R156" s="1213"/>
      <c r="S156" s="1213"/>
      <c r="W156" s="1213"/>
      <c r="X156" s="1213"/>
      <c r="AE156" s="1213"/>
      <c r="AF156" s="1213"/>
      <c r="AV156" s="1213"/>
      <c r="AW156" s="1213"/>
      <c r="AX156" s="1213"/>
      <c r="AY156" s="1213"/>
      <c r="AZ156" s="1213"/>
      <c r="BA156" s="1213"/>
      <c r="BC156" s="1213"/>
      <c r="BE156" s="1213"/>
      <c r="BF156" s="1213"/>
      <c r="BG156" s="1213"/>
    </row>
    <row r="157" spans="18:59" x14ac:dyDescent="0.35">
      <c r="R157" s="1213"/>
      <c r="S157" s="1213"/>
      <c r="W157" s="1213"/>
      <c r="X157" s="1213"/>
      <c r="AE157" s="1213"/>
      <c r="AF157" s="1213"/>
      <c r="AV157" s="1213"/>
      <c r="AW157" s="1213"/>
      <c r="AX157" s="1213"/>
      <c r="AY157" s="1213"/>
      <c r="AZ157" s="1213"/>
      <c r="BA157" s="1213"/>
      <c r="BC157" s="1213"/>
      <c r="BE157" s="1213"/>
      <c r="BF157" s="1213"/>
      <c r="BG157" s="1213"/>
    </row>
    <row r="158" spans="18:59" x14ac:dyDescent="0.35">
      <c r="R158" s="1213"/>
      <c r="S158" s="1213"/>
      <c r="W158" s="1213"/>
      <c r="X158" s="1213"/>
      <c r="AE158" s="1213"/>
      <c r="AF158" s="1213"/>
      <c r="AV158" s="1213"/>
      <c r="AW158" s="1213"/>
      <c r="AX158" s="1213"/>
      <c r="AY158" s="1213"/>
      <c r="AZ158" s="1213"/>
      <c r="BA158" s="1213"/>
      <c r="BC158" s="1213"/>
      <c r="BE158" s="1213"/>
      <c r="BF158" s="1213"/>
      <c r="BG158" s="1213"/>
    </row>
    <row r="159" spans="18:59" x14ac:dyDescent="0.35">
      <c r="R159" s="1213"/>
      <c r="S159" s="1213"/>
      <c r="W159" s="1213"/>
      <c r="X159" s="1213"/>
      <c r="AE159" s="1213"/>
      <c r="AF159" s="1213"/>
      <c r="AV159" s="1213"/>
      <c r="AW159" s="1213"/>
      <c r="AX159" s="1213"/>
      <c r="AY159" s="1213"/>
      <c r="AZ159" s="1213"/>
      <c r="BA159" s="1213"/>
      <c r="BC159" s="1213"/>
      <c r="BE159" s="1213"/>
      <c r="BF159" s="1213"/>
      <c r="BG159" s="1213"/>
    </row>
    <row r="160" spans="18:59" x14ac:dyDescent="0.35">
      <c r="R160" s="1213"/>
      <c r="S160" s="1213"/>
      <c r="W160" s="1213"/>
      <c r="X160" s="1213"/>
      <c r="AE160" s="1213"/>
      <c r="AF160" s="1213"/>
      <c r="AV160" s="1213"/>
      <c r="AW160" s="1213"/>
      <c r="AX160" s="1213"/>
      <c r="AY160" s="1213"/>
      <c r="AZ160" s="1213"/>
      <c r="BA160" s="1213"/>
      <c r="BC160" s="1213"/>
      <c r="BE160" s="1213"/>
      <c r="BF160" s="1213"/>
      <c r="BG160" s="1213"/>
    </row>
    <row r="161" spans="18:59" x14ac:dyDescent="0.35">
      <c r="R161" s="1213"/>
      <c r="S161" s="1213"/>
      <c r="W161" s="1213"/>
      <c r="X161" s="1213"/>
      <c r="AE161" s="1213"/>
      <c r="AF161" s="1213"/>
      <c r="AV161" s="1213"/>
      <c r="AW161" s="1213"/>
      <c r="AX161" s="1213"/>
      <c r="AY161" s="1213"/>
      <c r="AZ161" s="1213"/>
      <c r="BA161" s="1213"/>
      <c r="BC161" s="1213"/>
      <c r="BE161" s="1213"/>
      <c r="BF161" s="1213"/>
      <c r="BG161" s="1213"/>
    </row>
    <row r="162" spans="18:59" x14ac:dyDescent="0.35">
      <c r="R162" s="1213"/>
      <c r="S162" s="1213"/>
      <c r="W162" s="1213"/>
      <c r="X162" s="1213"/>
      <c r="AE162" s="1213"/>
      <c r="AF162" s="1213"/>
      <c r="AV162" s="1213"/>
      <c r="AW162" s="1213"/>
      <c r="AX162" s="1213"/>
      <c r="AY162" s="1213"/>
      <c r="AZ162" s="1213"/>
      <c r="BA162" s="1213"/>
      <c r="BC162" s="1213"/>
      <c r="BE162" s="1213"/>
      <c r="BF162" s="1213"/>
      <c r="BG162" s="1213"/>
    </row>
    <row r="163" spans="18:59" x14ac:dyDescent="0.35">
      <c r="R163" s="1213"/>
      <c r="S163" s="1213"/>
      <c r="W163" s="1213"/>
      <c r="X163" s="1213"/>
      <c r="AE163" s="1213"/>
      <c r="AF163" s="1213"/>
      <c r="AV163" s="1213"/>
      <c r="AW163" s="1213"/>
      <c r="AX163" s="1213"/>
      <c r="AY163" s="1213"/>
      <c r="AZ163" s="1213"/>
      <c r="BA163" s="1213"/>
      <c r="BC163" s="1213"/>
      <c r="BE163" s="1213"/>
      <c r="BF163" s="1213"/>
      <c r="BG163" s="1213"/>
    </row>
    <row r="164" spans="18:59" x14ac:dyDescent="0.35">
      <c r="R164" s="1213"/>
      <c r="S164" s="1213"/>
      <c r="W164" s="1213"/>
      <c r="X164" s="1213"/>
      <c r="AE164" s="1213"/>
      <c r="AF164" s="1213"/>
      <c r="AV164" s="1213"/>
      <c r="AW164" s="1213"/>
      <c r="AX164" s="1213"/>
      <c r="AY164" s="1213"/>
      <c r="AZ164" s="1213"/>
      <c r="BA164" s="1213"/>
      <c r="BC164" s="1213"/>
      <c r="BE164" s="1213"/>
      <c r="BF164" s="1213"/>
      <c r="BG164" s="1213"/>
    </row>
    <row r="165" spans="18:59" x14ac:dyDescent="0.35">
      <c r="R165" s="1213"/>
      <c r="S165" s="1213"/>
      <c r="W165" s="1213"/>
      <c r="X165" s="1213"/>
      <c r="AE165" s="1213"/>
      <c r="AF165" s="1213"/>
      <c r="AV165" s="1213"/>
      <c r="AW165" s="1213"/>
      <c r="AX165" s="1213"/>
      <c r="AY165" s="1213"/>
      <c r="AZ165" s="1213"/>
      <c r="BA165" s="1213"/>
      <c r="BC165" s="1213"/>
      <c r="BE165" s="1213"/>
      <c r="BF165" s="1213"/>
      <c r="BG165" s="1213"/>
    </row>
    <row r="166" spans="18:59" x14ac:dyDescent="0.35">
      <c r="R166" s="1213"/>
      <c r="S166" s="1213"/>
      <c r="W166" s="1213"/>
      <c r="X166" s="1213"/>
      <c r="AE166" s="1213"/>
      <c r="AF166" s="1213"/>
      <c r="AV166" s="1213"/>
      <c r="AW166" s="1213"/>
      <c r="AX166" s="1213"/>
      <c r="AY166" s="1213"/>
      <c r="AZ166" s="1213"/>
      <c r="BA166" s="1213"/>
      <c r="BC166" s="1213"/>
      <c r="BE166" s="1213"/>
      <c r="BF166" s="1213"/>
      <c r="BG166" s="1213"/>
    </row>
    <row r="167" spans="18:59" x14ac:dyDescent="0.35">
      <c r="R167" s="1213"/>
      <c r="S167" s="1213"/>
      <c r="W167" s="1213"/>
      <c r="X167" s="1213"/>
      <c r="AE167" s="1213"/>
      <c r="AF167" s="1213"/>
      <c r="AV167" s="1213"/>
      <c r="AW167" s="1213"/>
      <c r="AX167" s="1213"/>
      <c r="AY167" s="1213"/>
      <c r="AZ167" s="1213"/>
      <c r="BA167" s="1213"/>
      <c r="BC167" s="1213"/>
      <c r="BE167" s="1213"/>
      <c r="BF167" s="1213"/>
      <c r="BG167" s="1213"/>
    </row>
    <row r="168" spans="18:59" x14ac:dyDescent="0.35">
      <c r="R168" s="1213"/>
      <c r="S168" s="1213"/>
      <c r="W168" s="1213"/>
      <c r="X168" s="1213"/>
      <c r="AE168" s="1213"/>
      <c r="AF168" s="1213"/>
      <c r="AV168" s="1213"/>
      <c r="AW168" s="1213"/>
      <c r="AX168" s="1213"/>
      <c r="AY168" s="1213"/>
      <c r="AZ168" s="1213"/>
      <c r="BA168" s="1213"/>
      <c r="BC168" s="1213"/>
      <c r="BE168" s="1213"/>
      <c r="BF168" s="1213"/>
      <c r="BG168" s="1213"/>
    </row>
    <row r="169" spans="18:59" x14ac:dyDescent="0.35">
      <c r="R169" s="1213"/>
      <c r="S169" s="1213"/>
      <c r="W169" s="1213"/>
      <c r="X169" s="1213"/>
      <c r="AE169" s="1213"/>
      <c r="AF169" s="1213"/>
      <c r="AV169" s="1213"/>
      <c r="AW169" s="1213"/>
      <c r="AX169" s="1213"/>
      <c r="AY169" s="1213"/>
      <c r="AZ169" s="1213"/>
      <c r="BA169" s="1213"/>
      <c r="BC169" s="1213"/>
      <c r="BE169" s="1213"/>
      <c r="BF169" s="1213"/>
      <c r="BG169" s="1213"/>
    </row>
    <row r="170" spans="18:59" x14ac:dyDescent="0.35">
      <c r="R170" s="1213"/>
      <c r="S170" s="1213"/>
      <c r="W170" s="1213"/>
      <c r="X170" s="1213"/>
      <c r="AE170" s="1213"/>
      <c r="AF170" s="1213"/>
      <c r="AV170" s="1213"/>
      <c r="AW170" s="1213"/>
      <c r="AX170" s="1213"/>
      <c r="AY170" s="1213"/>
      <c r="AZ170" s="1213"/>
      <c r="BA170" s="1213"/>
      <c r="BC170" s="1213"/>
      <c r="BE170" s="1213"/>
      <c r="BF170" s="1213"/>
      <c r="BG170" s="1213"/>
    </row>
    <row r="171" spans="18:59" x14ac:dyDescent="0.35">
      <c r="R171" s="1213"/>
      <c r="S171" s="1213"/>
      <c r="W171" s="1213"/>
      <c r="X171" s="1213"/>
      <c r="AE171" s="1213"/>
      <c r="AF171" s="1213"/>
      <c r="AV171" s="1213"/>
      <c r="AW171" s="1213"/>
      <c r="AX171" s="1213"/>
      <c r="AY171" s="1213"/>
      <c r="AZ171" s="1213"/>
      <c r="BA171" s="1213"/>
      <c r="BC171" s="1213"/>
      <c r="BE171" s="1213"/>
      <c r="BF171" s="1213"/>
      <c r="BG171" s="1213"/>
    </row>
    <row r="172" spans="18:59" x14ac:dyDescent="0.35">
      <c r="R172" s="1213"/>
      <c r="S172" s="1213"/>
      <c r="W172" s="1213"/>
      <c r="X172" s="1213"/>
      <c r="AE172" s="1213"/>
      <c r="AF172" s="1213"/>
      <c r="AV172" s="1213"/>
      <c r="AW172" s="1213"/>
      <c r="AX172" s="1213"/>
      <c r="AY172" s="1213"/>
      <c r="AZ172" s="1213"/>
      <c r="BA172" s="1213"/>
      <c r="BC172" s="1213"/>
      <c r="BE172" s="1213"/>
      <c r="BF172" s="1213"/>
      <c r="BG172" s="1213"/>
    </row>
    <row r="173" spans="18:59" x14ac:dyDescent="0.35">
      <c r="R173" s="1213"/>
      <c r="S173" s="1213"/>
      <c r="W173" s="1213"/>
      <c r="X173" s="1213"/>
      <c r="AE173" s="1213"/>
      <c r="AF173" s="1213"/>
      <c r="AV173" s="1213"/>
      <c r="AW173" s="1213"/>
      <c r="AX173" s="1213"/>
      <c r="AY173" s="1213"/>
      <c r="AZ173" s="1213"/>
      <c r="BA173" s="1213"/>
      <c r="BC173" s="1213"/>
      <c r="BE173" s="1213"/>
      <c r="BF173" s="1213"/>
      <c r="BG173" s="1213"/>
    </row>
    <row r="174" spans="18:59" x14ac:dyDescent="0.35">
      <c r="R174" s="1213"/>
      <c r="S174" s="1213"/>
      <c r="W174" s="1213"/>
      <c r="X174" s="1213"/>
      <c r="AE174" s="1213"/>
      <c r="AF174" s="1213"/>
      <c r="AV174" s="1213"/>
      <c r="AW174" s="1213"/>
      <c r="AX174" s="1213"/>
      <c r="AY174" s="1213"/>
      <c r="AZ174" s="1213"/>
      <c r="BA174" s="1213"/>
      <c r="BC174" s="1213"/>
      <c r="BE174" s="1213"/>
      <c r="BF174" s="1213"/>
      <c r="BG174" s="1213"/>
    </row>
    <row r="175" spans="18:59" x14ac:dyDescent="0.35">
      <c r="R175" s="1213"/>
      <c r="S175" s="1213"/>
      <c r="W175" s="1213"/>
      <c r="X175" s="1213"/>
      <c r="AE175" s="1213"/>
      <c r="AF175" s="1213"/>
      <c r="AV175" s="1213"/>
      <c r="AW175" s="1213"/>
      <c r="AX175" s="1213"/>
      <c r="AY175" s="1213"/>
      <c r="AZ175" s="1213"/>
      <c r="BA175" s="1213"/>
      <c r="BC175" s="1213"/>
      <c r="BE175" s="1213"/>
      <c r="BF175" s="1213"/>
      <c r="BG175" s="1213"/>
    </row>
    <row r="176" spans="18:59" x14ac:dyDescent="0.35">
      <c r="R176" s="1213"/>
      <c r="S176" s="1213"/>
      <c r="W176" s="1213"/>
      <c r="X176" s="1213"/>
      <c r="AE176" s="1213"/>
      <c r="AF176" s="1213"/>
      <c r="AV176" s="1213"/>
      <c r="AW176" s="1213"/>
      <c r="AX176" s="1213"/>
      <c r="AY176" s="1213"/>
      <c r="AZ176" s="1213"/>
      <c r="BA176" s="1213"/>
      <c r="BC176" s="1213"/>
      <c r="BE176" s="1213"/>
      <c r="BF176" s="1213"/>
      <c r="BG176" s="1213"/>
    </row>
    <row r="177" spans="18:59" x14ac:dyDescent="0.35">
      <c r="R177" s="1213"/>
      <c r="S177" s="1213"/>
      <c r="W177" s="1213"/>
      <c r="X177" s="1213"/>
      <c r="AE177" s="1213"/>
      <c r="AF177" s="1213"/>
      <c r="AV177" s="1213"/>
      <c r="AW177" s="1213"/>
      <c r="AX177" s="1213"/>
      <c r="AY177" s="1213"/>
      <c r="AZ177" s="1213"/>
      <c r="BA177" s="1213"/>
      <c r="BC177" s="1213"/>
      <c r="BE177" s="1213"/>
      <c r="BF177" s="1213"/>
      <c r="BG177" s="1213"/>
    </row>
    <row r="178" spans="18:59" x14ac:dyDescent="0.35">
      <c r="R178" s="1213"/>
      <c r="S178" s="1213"/>
      <c r="W178" s="1213"/>
      <c r="X178" s="1213"/>
      <c r="AE178" s="1213"/>
      <c r="AF178" s="1213"/>
      <c r="AV178" s="1213"/>
      <c r="AW178" s="1213"/>
      <c r="AX178" s="1213"/>
      <c r="AY178" s="1213"/>
      <c r="AZ178" s="1213"/>
      <c r="BA178" s="1213"/>
      <c r="BC178" s="1213"/>
      <c r="BE178" s="1213"/>
      <c r="BF178" s="1213"/>
      <c r="BG178" s="1213"/>
    </row>
    <row r="179" spans="18:59" x14ac:dyDescent="0.35">
      <c r="R179" s="1213"/>
      <c r="S179" s="1213"/>
      <c r="W179" s="1213"/>
      <c r="X179" s="1213"/>
      <c r="AE179" s="1213"/>
      <c r="AF179" s="1213"/>
      <c r="AV179" s="1213"/>
      <c r="AW179" s="1213"/>
      <c r="AX179" s="1213"/>
      <c r="AY179" s="1213"/>
      <c r="AZ179" s="1213"/>
      <c r="BA179" s="1213"/>
      <c r="BC179" s="1213"/>
      <c r="BE179" s="1213"/>
      <c r="BF179" s="1213"/>
      <c r="BG179" s="1213"/>
    </row>
    <row r="180" spans="18:59" x14ac:dyDescent="0.35">
      <c r="R180" s="1213"/>
      <c r="S180" s="1213"/>
      <c r="W180" s="1213"/>
      <c r="X180" s="1213"/>
      <c r="AE180" s="1213"/>
      <c r="AF180" s="1213"/>
      <c r="AV180" s="1213"/>
      <c r="AW180" s="1213"/>
      <c r="AX180" s="1213"/>
      <c r="AY180" s="1213"/>
      <c r="AZ180" s="1213"/>
      <c r="BA180" s="1213"/>
      <c r="BC180" s="1213"/>
      <c r="BE180" s="1213"/>
      <c r="BF180" s="1213"/>
      <c r="BG180" s="1213"/>
    </row>
    <row r="181" spans="18:59" x14ac:dyDescent="0.35">
      <c r="R181" s="1213"/>
      <c r="S181" s="1213"/>
      <c r="W181" s="1213"/>
      <c r="X181" s="1213"/>
      <c r="AE181" s="1213"/>
      <c r="AF181" s="1213"/>
      <c r="AV181" s="1213"/>
      <c r="AW181" s="1213"/>
      <c r="AX181" s="1213"/>
      <c r="AY181" s="1213"/>
      <c r="AZ181" s="1213"/>
      <c r="BA181" s="1213"/>
      <c r="BC181" s="1213"/>
      <c r="BE181" s="1213"/>
      <c r="BF181" s="1213"/>
      <c r="BG181" s="1213"/>
    </row>
    <row r="182" spans="18:59" x14ac:dyDescent="0.35">
      <c r="R182" s="1213"/>
      <c r="S182" s="1213"/>
      <c r="W182" s="1213"/>
      <c r="X182" s="1213"/>
      <c r="AE182" s="1213"/>
      <c r="AF182" s="1213"/>
      <c r="AV182" s="1213"/>
      <c r="AW182" s="1213"/>
      <c r="AX182" s="1213"/>
      <c r="AY182" s="1213"/>
      <c r="AZ182" s="1213"/>
      <c r="BA182" s="1213"/>
      <c r="BC182" s="1213"/>
      <c r="BE182" s="1213"/>
      <c r="BF182" s="1213"/>
      <c r="BG182" s="1213"/>
    </row>
    <row r="183" spans="18:59" x14ac:dyDescent="0.35">
      <c r="R183" s="1213"/>
      <c r="S183" s="1213"/>
      <c r="W183" s="1213"/>
      <c r="X183" s="1213"/>
      <c r="AE183" s="1213"/>
      <c r="AF183" s="1213"/>
      <c r="AV183" s="1213"/>
      <c r="AW183" s="1213"/>
      <c r="AX183" s="1213"/>
      <c r="AY183" s="1213"/>
      <c r="AZ183" s="1213"/>
      <c r="BA183" s="1213"/>
      <c r="BC183" s="1213"/>
      <c r="BE183" s="1213"/>
      <c r="BF183" s="1213"/>
      <c r="BG183" s="1213"/>
    </row>
    <row r="184" spans="18:59" x14ac:dyDescent="0.35">
      <c r="R184" s="1213"/>
      <c r="S184" s="1213"/>
      <c r="W184" s="1213"/>
      <c r="X184" s="1213"/>
      <c r="AE184" s="1213"/>
      <c r="AF184" s="1213"/>
      <c r="AV184" s="1213"/>
      <c r="AW184" s="1213"/>
      <c r="AX184" s="1213"/>
      <c r="AY184" s="1213"/>
      <c r="AZ184" s="1213"/>
      <c r="BA184" s="1213"/>
      <c r="BC184" s="1213"/>
      <c r="BE184" s="1213"/>
      <c r="BF184" s="1213"/>
      <c r="BG184" s="1213"/>
    </row>
    <row r="185" spans="18:59" x14ac:dyDescent="0.35">
      <c r="R185" s="1213"/>
      <c r="S185" s="1213"/>
      <c r="W185" s="1213"/>
      <c r="X185" s="1213"/>
      <c r="AE185" s="1213"/>
      <c r="AF185" s="1213"/>
      <c r="AV185" s="1213"/>
      <c r="AW185" s="1213"/>
      <c r="AX185" s="1213"/>
      <c r="AY185" s="1213"/>
      <c r="AZ185" s="1213"/>
      <c r="BA185" s="1213"/>
      <c r="BC185" s="1213"/>
      <c r="BE185" s="1213"/>
      <c r="BF185" s="1213"/>
      <c r="BG185" s="1213"/>
    </row>
    <row r="186" spans="18:59" x14ac:dyDescent="0.35">
      <c r="R186" s="1213"/>
      <c r="S186" s="1213"/>
      <c r="W186" s="1213"/>
      <c r="X186" s="1213"/>
      <c r="AE186" s="1213"/>
      <c r="AF186" s="1213"/>
      <c r="AV186" s="1213"/>
      <c r="AW186" s="1213"/>
      <c r="AX186" s="1213"/>
      <c r="AY186" s="1213"/>
      <c r="AZ186" s="1213"/>
      <c r="BA186" s="1213"/>
      <c r="BC186" s="1213"/>
      <c r="BE186" s="1213"/>
      <c r="BF186" s="1213"/>
      <c r="BG186" s="1213"/>
    </row>
    <row r="187" spans="18:59" x14ac:dyDescent="0.35">
      <c r="R187" s="1213"/>
      <c r="S187" s="1213"/>
      <c r="W187" s="1213"/>
      <c r="X187" s="1213"/>
      <c r="AE187" s="1213"/>
      <c r="AF187" s="1213"/>
      <c r="AV187" s="1213"/>
      <c r="AW187" s="1213"/>
      <c r="AX187" s="1213"/>
      <c r="AY187" s="1213"/>
      <c r="AZ187" s="1213"/>
      <c r="BA187" s="1213"/>
      <c r="BC187" s="1213"/>
      <c r="BE187" s="1213"/>
      <c r="BF187" s="1213"/>
      <c r="BG187" s="1213"/>
    </row>
    <row r="188" spans="18:59" x14ac:dyDescent="0.35">
      <c r="R188" s="1213"/>
      <c r="S188" s="1213"/>
      <c r="W188" s="1213"/>
      <c r="X188" s="1213"/>
      <c r="AE188" s="1213"/>
      <c r="AF188" s="1213"/>
      <c r="AV188" s="1213"/>
      <c r="AW188" s="1213"/>
      <c r="AX188" s="1213"/>
      <c r="AY188" s="1213"/>
      <c r="AZ188" s="1213"/>
      <c r="BA188" s="1213"/>
      <c r="BC188" s="1213"/>
      <c r="BE188" s="1213"/>
      <c r="BF188" s="1213"/>
      <c r="BG188" s="1213"/>
    </row>
    <row r="189" spans="18:59" x14ac:dyDescent="0.35">
      <c r="R189" s="1213"/>
      <c r="S189" s="1213"/>
      <c r="W189" s="1213"/>
      <c r="X189" s="1213"/>
      <c r="AE189" s="1213"/>
      <c r="AF189" s="1213"/>
      <c r="AV189" s="1213"/>
      <c r="AW189" s="1213"/>
      <c r="AX189" s="1213"/>
      <c r="AY189" s="1213"/>
      <c r="AZ189" s="1213"/>
      <c r="BA189" s="1213"/>
      <c r="BC189" s="1213"/>
      <c r="BE189" s="1213"/>
      <c r="BF189" s="1213"/>
      <c r="BG189" s="1213"/>
    </row>
    <row r="190" spans="18:59" x14ac:dyDescent="0.35">
      <c r="R190" s="1213"/>
      <c r="S190" s="1213"/>
      <c r="W190" s="1213"/>
      <c r="X190" s="1213"/>
      <c r="AE190" s="1213"/>
      <c r="AF190" s="1213"/>
      <c r="AV190" s="1213"/>
      <c r="AW190" s="1213"/>
      <c r="AX190" s="1213"/>
      <c r="AY190" s="1213"/>
      <c r="AZ190" s="1213"/>
      <c r="BA190" s="1213"/>
      <c r="BC190" s="1213"/>
      <c r="BE190" s="1213"/>
      <c r="BF190" s="1213"/>
      <c r="BG190" s="1213"/>
    </row>
    <row r="191" spans="18:59" x14ac:dyDescent="0.35">
      <c r="R191" s="1213"/>
      <c r="S191" s="1213"/>
      <c r="W191" s="1213"/>
      <c r="X191" s="1213"/>
      <c r="AE191" s="1213"/>
      <c r="AF191" s="1213"/>
      <c r="AV191" s="1213"/>
      <c r="AW191" s="1213"/>
      <c r="AX191" s="1213"/>
      <c r="AY191" s="1213"/>
      <c r="AZ191" s="1213"/>
      <c r="BA191" s="1213"/>
      <c r="BC191" s="1213"/>
      <c r="BE191" s="1213"/>
      <c r="BF191" s="1213"/>
      <c r="BG191" s="1213"/>
    </row>
    <row r="192" spans="18:59" x14ac:dyDescent="0.35">
      <c r="R192" s="1213"/>
      <c r="S192" s="1213"/>
      <c r="W192" s="1213"/>
      <c r="X192" s="1213"/>
      <c r="AE192" s="1213"/>
      <c r="AF192" s="1213"/>
      <c r="AV192" s="1213"/>
      <c r="AW192" s="1213"/>
      <c r="AX192" s="1213"/>
      <c r="AY192" s="1213"/>
      <c r="AZ192" s="1213"/>
      <c r="BA192" s="1213"/>
      <c r="BC192" s="1213"/>
      <c r="BE192" s="1213"/>
      <c r="BF192" s="1213"/>
      <c r="BG192" s="1213"/>
    </row>
    <row r="193" spans="18:59" x14ac:dyDescent="0.35">
      <c r="R193" s="1213"/>
      <c r="S193" s="1213"/>
      <c r="W193" s="1213"/>
      <c r="X193" s="1213"/>
      <c r="AE193" s="1213"/>
      <c r="AF193" s="1213"/>
      <c r="AV193" s="1213"/>
      <c r="AW193" s="1213"/>
      <c r="AX193" s="1213"/>
      <c r="AY193" s="1213"/>
      <c r="AZ193" s="1213"/>
      <c r="BA193" s="1213"/>
      <c r="BC193" s="1213"/>
      <c r="BE193" s="1213"/>
      <c r="BF193" s="1213"/>
      <c r="BG193" s="1213"/>
    </row>
    <row r="194" spans="18:59" x14ac:dyDescent="0.35">
      <c r="R194" s="1213"/>
      <c r="S194" s="1213"/>
      <c r="W194" s="1213"/>
      <c r="X194" s="1213"/>
      <c r="AE194" s="1213"/>
      <c r="AF194" s="1213"/>
      <c r="AV194" s="1213"/>
      <c r="AW194" s="1213"/>
      <c r="AX194" s="1213"/>
      <c r="AY194" s="1213"/>
      <c r="AZ194" s="1213"/>
      <c r="BA194" s="1213"/>
      <c r="BC194" s="1213"/>
      <c r="BE194" s="1213"/>
      <c r="BF194" s="1213"/>
      <c r="BG194" s="1213"/>
    </row>
    <row r="195" spans="18:59" x14ac:dyDescent="0.35">
      <c r="R195" s="1213"/>
      <c r="S195" s="1213"/>
      <c r="W195" s="1213"/>
      <c r="X195" s="1213"/>
      <c r="AE195" s="1213"/>
      <c r="AF195" s="1213"/>
      <c r="AV195" s="1213"/>
      <c r="AW195" s="1213"/>
      <c r="AX195" s="1213"/>
      <c r="AY195" s="1213"/>
      <c r="AZ195" s="1213"/>
      <c r="BA195" s="1213"/>
      <c r="BC195" s="1213"/>
      <c r="BE195" s="1213"/>
      <c r="BF195" s="1213"/>
      <c r="BG195" s="1213"/>
    </row>
    <row r="196" spans="18:59" x14ac:dyDescent="0.35">
      <c r="R196" s="1213"/>
      <c r="S196" s="1213"/>
      <c r="W196" s="1213"/>
      <c r="X196" s="1213"/>
      <c r="AE196" s="1213"/>
      <c r="AF196" s="1213"/>
      <c r="AV196" s="1213"/>
      <c r="AW196" s="1213"/>
      <c r="AX196" s="1213"/>
      <c r="AY196" s="1213"/>
      <c r="AZ196" s="1213"/>
      <c r="BA196" s="1213"/>
      <c r="BC196" s="1213"/>
      <c r="BE196" s="1213"/>
      <c r="BF196" s="1213"/>
      <c r="BG196" s="1213"/>
    </row>
    <row r="197" spans="18:59" x14ac:dyDescent="0.35">
      <c r="R197" s="1213"/>
      <c r="S197" s="1213"/>
      <c r="W197" s="1213"/>
      <c r="X197" s="1213"/>
      <c r="AE197" s="1213"/>
      <c r="AF197" s="1213"/>
      <c r="AV197" s="1213"/>
      <c r="AW197" s="1213"/>
      <c r="AX197" s="1213"/>
      <c r="AY197" s="1213"/>
      <c r="AZ197" s="1213"/>
      <c r="BA197" s="1213"/>
      <c r="BC197" s="1213"/>
      <c r="BE197" s="1213"/>
      <c r="BF197" s="1213"/>
      <c r="BG197" s="1213"/>
    </row>
    <row r="198" spans="18:59" x14ac:dyDescent="0.35">
      <c r="R198" s="1213"/>
      <c r="S198" s="1213"/>
      <c r="W198" s="1213"/>
      <c r="X198" s="1213"/>
      <c r="AE198" s="1213"/>
      <c r="AF198" s="1213"/>
      <c r="AV198" s="1213"/>
      <c r="AW198" s="1213"/>
      <c r="AX198" s="1213"/>
      <c r="AY198" s="1213"/>
      <c r="AZ198" s="1213"/>
      <c r="BA198" s="1213"/>
      <c r="BC198" s="1213"/>
      <c r="BE198" s="1213"/>
      <c r="BF198" s="1213"/>
      <c r="BG198" s="1213"/>
    </row>
    <row r="199" spans="18:59" x14ac:dyDescent="0.35">
      <c r="R199" s="1213"/>
      <c r="S199" s="1213"/>
      <c r="W199" s="1213"/>
      <c r="X199" s="1213"/>
      <c r="AE199" s="1213"/>
      <c r="AF199" s="1213"/>
      <c r="AV199" s="1213"/>
      <c r="AW199" s="1213"/>
      <c r="AX199" s="1213"/>
      <c r="AY199" s="1213"/>
      <c r="AZ199" s="1213"/>
      <c r="BA199" s="1213"/>
      <c r="BC199" s="1213"/>
      <c r="BE199" s="1213"/>
      <c r="BF199" s="1213"/>
      <c r="BG199" s="1213"/>
    </row>
    <row r="200" spans="18:59" x14ac:dyDescent="0.35">
      <c r="R200" s="1213"/>
      <c r="S200" s="1213"/>
      <c r="W200" s="1213"/>
      <c r="X200" s="1213"/>
      <c r="AE200" s="1213"/>
      <c r="AF200" s="1213"/>
      <c r="AV200" s="1213"/>
      <c r="AW200" s="1213"/>
      <c r="AX200" s="1213"/>
      <c r="AY200" s="1213"/>
      <c r="AZ200" s="1213"/>
      <c r="BA200" s="1213"/>
      <c r="BC200" s="1213"/>
      <c r="BE200" s="1213"/>
      <c r="BF200" s="1213"/>
      <c r="BG200" s="1213"/>
    </row>
    <row r="201" spans="18:59" x14ac:dyDescent="0.35">
      <c r="R201" s="1213"/>
      <c r="S201" s="1213"/>
      <c r="W201" s="1213"/>
      <c r="X201" s="1213"/>
      <c r="AE201" s="1213"/>
      <c r="AF201" s="1213"/>
      <c r="AV201" s="1213"/>
      <c r="AW201" s="1213"/>
      <c r="AX201" s="1213"/>
      <c r="AY201" s="1213"/>
      <c r="AZ201" s="1213"/>
      <c r="BA201" s="1213"/>
      <c r="BC201" s="1213"/>
      <c r="BE201" s="1213"/>
      <c r="BF201" s="1213"/>
      <c r="BG201" s="1213"/>
    </row>
    <row r="202" spans="18:59" x14ac:dyDescent="0.35">
      <c r="R202" s="1213"/>
      <c r="S202" s="1213"/>
      <c r="W202" s="1213"/>
      <c r="X202" s="1213"/>
      <c r="AE202" s="1213"/>
      <c r="AF202" s="1213"/>
      <c r="AV202" s="1213"/>
      <c r="AW202" s="1213"/>
      <c r="AX202" s="1213"/>
      <c r="AY202" s="1213"/>
      <c r="AZ202" s="1213"/>
      <c r="BA202" s="1213"/>
      <c r="BC202" s="1213"/>
      <c r="BE202" s="1213"/>
      <c r="BF202" s="1213"/>
      <c r="BG202" s="1213"/>
    </row>
    <row r="203" spans="18:59" x14ac:dyDescent="0.35">
      <c r="R203" s="1213"/>
      <c r="S203" s="1213"/>
      <c r="W203" s="1213"/>
      <c r="X203" s="1213"/>
      <c r="AE203" s="1213"/>
      <c r="AF203" s="1213"/>
      <c r="AV203" s="1213"/>
      <c r="AW203" s="1213"/>
      <c r="AX203" s="1213"/>
      <c r="AY203" s="1213"/>
      <c r="AZ203" s="1213"/>
      <c r="BA203" s="1213"/>
      <c r="BC203" s="1213"/>
      <c r="BE203" s="1213"/>
      <c r="BF203" s="1213"/>
      <c r="BG203" s="1213"/>
    </row>
    <row r="204" spans="18:59" x14ac:dyDescent="0.35">
      <c r="R204" s="1213"/>
      <c r="S204" s="1213"/>
      <c r="W204" s="1213"/>
      <c r="X204" s="1213"/>
      <c r="AE204" s="1213"/>
      <c r="AF204" s="1213"/>
      <c r="AV204" s="1213"/>
      <c r="AW204" s="1213"/>
      <c r="AX204" s="1213"/>
      <c r="AY204" s="1213"/>
      <c r="AZ204" s="1213"/>
      <c r="BA204" s="1213"/>
      <c r="BC204" s="1213"/>
      <c r="BE204" s="1213"/>
      <c r="BF204" s="1213"/>
      <c r="BG204" s="1213"/>
    </row>
    <row r="205" spans="18:59" x14ac:dyDescent="0.35">
      <c r="R205" s="1213"/>
      <c r="S205" s="1213"/>
      <c r="W205" s="1213"/>
      <c r="X205" s="1213"/>
      <c r="AE205" s="1213"/>
      <c r="AF205" s="1213"/>
      <c r="AV205" s="1213"/>
      <c r="AW205" s="1213"/>
      <c r="AX205" s="1213"/>
      <c r="AY205" s="1213"/>
      <c r="AZ205" s="1213"/>
      <c r="BA205" s="1213"/>
      <c r="BC205" s="1213"/>
      <c r="BE205" s="1213"/>
      <c r="BF205" s="1213"/>
      <c r="BG205" s="1213"/>
    </row>
    <row r="206" spans="18:59" x14ac:dyDescent="0.35">
      <c r="R206" s="1213"/>
      <c r="S206" s="1213"/>
      <c r="W206" s="1213"/>
      <c r="X206" s="1213"/>
      <c r="AE206" s="1213"/>
      <c r="AF206" s="1213"/>
      <c r="AV206" s="1213"/>
      <c r="AW206" s="1213"/>
      <c r="AX206" s="1213"/>
      <c r="AY206" s="1213"/>
      <c r="AZ206" s="1213"/>
      <c r="BA206" s="1213"/>
      <c r="BC206" s="1213"/>
      <c r="BE206" s="1213"/>
      <c r="BF206" s="1213"/>
      <c r="BG206" s="1213"/>
    </row>
    <row r="207" spans="18:59" x14ac:dyDescent="0.35">
      <c r="R207" s="1213"/>
      <c r="S207" s="1213"/>
      <c r="W207" s="1213"/>
      <c r="X207" s="1213"/>
      <c r="AE207" s="1213"/>
      <c r="AF207" s="1213"/>
      <c r="AV207" s="1213"/>
      <c r="AW207" s="1213"/>
      <c r="AX207" s="1213"/>
      <c r="AY207" s="1213"/>
      <c r="AZ207" s="1213"/>
      <c r="BA207" s="1213"/>
      <c r="BC207" s="1213"/>
      <c r="BE207" s="1213"/>
      <c r="BF207" s="1213"/>
      <c r="BG207" s="1213"/>
    </row>
    <row r="208" spans="18:59" x14ac:dyDescent="0.35">
      <c r="R208" s="1213"/>
      <c r="S208" s="1213"/>
      <c r="W208" s="1213"/>
      <c r="X208" s="1213"/>
      <c r="AE208" s="1213"/>
      <c r="AF208" s="1213"/>
      <c r="AV208" s="1213"/>
      <c r="AW208" s="1213"/>
      <c r="AX208" s="1213"/>
      <c r="AY208" s="1213"/>
      <c r="AZ208" s="1213"/>
      <c r="BA208" s="1213"/>
      <c r="BC208" s="1213"/>
      <c r="BE208" s="1213"/>
      <c r="BF208" s="1213"/>
      <c r="BG208" s="1213"/>
    </row>
    <row r="209" spans="18:59" x14ac:dyDescent="0.35">
      <c r="R209" s="1213"/>
      <c r="S209" s="1213"/>
      <c r="W209" s="1213"/>
      <c r="X209" s="1213"/>
      <c r="AE209" s="1213"/>
      <c r="AF209" s="1213"/>
      <c r="AV209" s="1213"/>
      <c r="AW209" s="1213"/>
      <c r="AX209" s="1213"/>
      <c r="AY209" s="1213"/>
      <c r="AZ209" s="1213"/>
      <c r="BA209" s="1213"/>
      <c r="BC209" s="1213"/>
      <c r="BE209" s="1213"/>
      <c r="BF209" s="1213"/>
      <c r="BG209" s="1213"/>
    </row>
    <row r="210" spans="18:59" x14ac:dyDescent="0.35">
      <c r="R210" s="1213"/>
      <c r="S210" s="1213"/>
      <c r="W210" s="1213"/>
      <c r="X210" s="1213"/>
      <c r="AE210" s="1213"/>
      <c r="AF210" s="1213"/>
      <c r="AV210" s="1213"/>
      <c r="AW210" s="1213"/>
      <c r="AX210" s="1213"/>
      <c r="AY210" s="1213"/>
      <c r="AZ210" s="1213"/>
      <c r="BA210" s="1213"/>
      <c r="BC210" s="1213"/>
      <c r="BE210" s="1213"/>
      <c r="BF210" s="1213"/>
      <c r="BG210" s="1213"/>
    </row>
    <row r="211" spans="18:59" x14ac:dyDescent="0.35">
      <c r="R211" s="1213"/>
      <c r="S211" s="1213"/>
      <c r="W211" s="1213"/>
      <c r="X211" s="1213"/>
      <c r="AE211" s="1213"/>
      <c r="AF211" s="1213"/>
      <c r="AV211" s="1213"/>
      <c r="AW211" s="1213"/>
      <c r="AX211" s="1213"/>
      <c r="AY211" s="1213"/>
      <c r="AZ211" s="1213"/>
      <c r="BA211" s="1213"/>
      <c r="BC211" s="1213"/>
      <c r="BE211" s="1213"/>
      <c r="BF211" s="1213"/>
      <c r="BG211" s="1213"/>
    </row>
    <row r="212" spans="18:59" x14ac:dyDescent="0.35">
      <c r="R212" s="1213"/>
      <c r="S212" s="1213"/>
      <c r="W212" s="1213"/>
      <c r="X212" s="1213"/>
      <c r="AE212" s="1213"/>
      <c r="AF212" s="1213"/>
      <c r="AV212" s="1213"/>
      <c r="AW212" s="1213"/>
      <c r="AX212" s="1213"/>
      <c r="AY212" s="1213"/>
      <c r="AZ212" s="1213"/>
      <c r="BA212" s="1213"/>
      <c r="BC212" s="1213"/>
      <c r="BE212" s="1213"/>
      <c r="BF212" s="1213"/>
      <c r="BG212" s="1213"/>
    </row>
    <row r="213" spans="18:59" x14ac:dyDescent="0.35">
      <c r="R213" s="1213"/>
      <c r="S213" s="1213"/>
      <c r="W213" s="1213"/>
      <c r="X213" s="1213"/>
      <c r="AE213" s="1213"/>
      <c r="AF213" s="1213"/>
      <c r="AV213" s="1213"/>
      <c r="AW213" s="1213"/>
      <c r="AX213" s="1213"/>
      <c r="AY213" s="1213"/>
      <c r="AZ213" s="1213"/>
      <c r="BA213" s="1213"/>
      <c r="BC213" s="1213"/>
      <c r="BE213" s="1213"/>
      <c r="BF213" s="1213"/>
      <c r="BG213" s="1213"/>
    </row>
    <row r="214" spans="18:59" x14ac:dyDescent="0.35">
      <c r="R214" s="1213"/>
      <c r="S214" s="1213"/>
      <c r="W214" s="1213"/>
      <c r="X214" s="1213"/>
      <c r="AE214" s="1213"/>
      <c r="AF214" s="1213"/>
      <c r="AV214" s="1213"/>
      <c r="AW214" s="1213"/>
      <c r="AX214" s="1213"/>
      <c r="AY214" s="1213"/>
      <c r="AZ214" s="1213"/>
      <c r="BA214" s="1213"/>
      <c r="BC214" s="1213"/>
      <c r="BE214" s="1213"/>
      <c r="BF214" s="1213"/>
      <c r="BG214" s="1213"/>
    </row>
    <row r="215" spans="18:59" x14ac:dyDescent="0.35">
      <c r="R215" s="1213"/>
      <c r="S215" s="1213"/>
      <c r="W215" s="1213"/>
      <c r="X215" s="1213"/>
      <c r="AE215" s="1213"/>
      <c r="AF215" s="1213"/>
      <c r="AV215" s="1213"/>
      <c r="AW215" s="1213"/>
      <c r="AX215" s="1213"/>
      <c r="AY215" s="1213"/>
      <c r="AZ215" s="1213"/>
      <c r="BA215" s="1213"/>
      <c r="BC215" s="1213"/>
      <c r="BE215" s="1213"/>
      <c r="BF215" s="1213"/>
      <c r="BG215" s="1213"/>
    </row>
    <row r="216" spans="18:59" x14ac:dyDescent="0.35">
      <c r="R216" s="1213"/>
      <c r="S216" s="1213"/>
      <c r="W216" s="1213"/>
      <c r="X216" s="1213"/>
      <c r="AE216" s="1213"/>
      <c r="AF216" s="1213"/>
      <c r="AV216" s="1213"/>
      <c r="AW216" s="1213"/>
      <c r="AX216" s="1213"/>
      <c r="AY216" s="1213"/>
      <c r="AZ216" s="1213"/>
      <c r="BA216" s="1213"/>
      <c r="BC216" s="1213"/>
      <c r="BE216" s="1213"/>
      <c r="BF216" s="1213"/>
      <c r="BG216" s="1213"/>
    </row>
    <row r="217" spans="18:59" x14ac:dyDescent="0.35">
      <c r="R217" s="1213"/>
      <c r="S217" s="1213"/>
      <c r="W217" s="1213"/>
      <c r="X217" s="1213"/>
      <c r="AE217" s="1213"/>
      <c r="AF217" s="1213"/>
      <c r="AV217" s="1213"/>
      <c r="AW217" s="1213"/>
      <c r="AX217" s="1213"/>
      <c r="AY217" s="1213"/>
      <c r="AZ217" s="1213"/>
      <c r="BA217" s="1213"/>
      <c r="BC217" s="1213"/>
      <c r="BE217" s="1213"/>
      <c r="BF217" s="1213"/>
      <c r="BG217" s="1213"/>
    </row>
    <row r="218" spans="18:59" x14ac:dyDescent="0.35">
      <c r="R218" s="1213"/>
      <c r="S218" s="1213"/>
      <c r="W218" s="1213"/>
      <c r="X218" s="1213"/>
      <c r="AE218" s="1213"/>
      <c r="AF218" s="1213"/>
      <c r="AV218" s="1213"/>
      <c r="AW218" s="1213"/>
      <c r="AX218" s="1213"/>
      <c r="AY218" s="1213"/>
      <c r="AZ218" s="1213"/>
      <c r="BA218" s="1213"/>
      <c r="BC218" s="1213"/>
      <c r="BE218" s="1213"/>
      <c r="BF218" s="1213"/>
      <c r="BG218" s="1213"/>
    </row>
    <row r="219" spans="18:59" x14ac:dyDescent="0.35">
      <c r="R219" s="1213"/>
      <c r="S219" s="1213"/>
      <c r="W219" s="1213"/>
      <c r="X219" s="1213"/>
      <c r="AE219" s="1213"/>
      <c r="AF219" s="1213"/>
      <c r="AV219" s="1213"/>
      <c r="AW219" s="1213"/>
      <c r="AX219" s="1213"/>
      <c r="AY219" s="1213"/>
      <c r="AZ219" s="1213"/>
      <c r="BA219" s="1213"/>
      <c r="BC219" s="1213"/>
      <c r="BE219" s="1213"/>
      <c r="BF219" s="1213"/>
      <c r="BG219" s="1213"/>
    </row>
    <row r="220" spans="18:59" x14ac:dyDescent="0.35">
      <c r="R220" s="1213"/>
      <c r="S220" s="1213"/>
      <c r="W220" s="1213"/>
      <c r="X220" s="1213"/>
      <c r="AE220" s="1213"/>
      <c r="AF220" s="1213"/>
      <c r="AV220" s="1213"/>
      <c r="AW220" s="1213"/>
      <c r="AX220" s="1213"/>
      <c r="AY220" s="1213"/>
      <c r="AZ220" s="1213"/>
      <c r="BA220" s="1213"/>
      <c r="BC220" s="1213"/>
      <c r="BE220" s="1213"/>
      <c r="BF220" s="1213"/>
      <c r="BG220" s="1213"/>
    </row>
    <row r="221" spans="18:59" x14ac:dyDescent="0.35">
      <c r="R221" s="1213"/>
      <c r="S221" s="1213"/>
      <c r="W221" s="1213"/>
      <c r="X221" s="1213"/>
      <c r="AE221" s="1213"/>
      <c r="AF221" s="1213"/>
      <c r="AV221" s="1213"/>
      <c r="AW221" s="1213"/>
      <c r="AX221" s="1213"/>
      <c r="AY221" s="1213"/>
      <c r="AZ221" s="1213"/>
      <c r="BA221" s="1213"/>
      <c r="BC221" s="1213"/>
      <c r="BE221" s="1213"/>
      <c r="BF221" s="1213"/>
      <c r="BG221" s="1213"/>
    </row>
    <row r="222" spans="18:59" x14ac:dyDescent="0.35">
      <c r="R222" s="1213"/>
      <c r="S222" s="1213"/>
      <c r="W222" s="1213"/>
      <c r="X222" s="1213"/>
      <c r="AE222" s="1213"/>
      <c r="AF222" s="1213"/>
      <c r="AV222" s="1213"/>
      <c r="AW222" s="1213"/>
      <c r="AX222" s="1213"/>
      <c r="AY222" s="1213"/>
      <c r="AZ222" s="1213"/>
      <c r="BA222" s="1213"/>
      <c r="BC222" s="1213"/>
      <c r="BE222" s="1213"/>
      <c r="BF222" s="1213"/>
      <c r="BG222" s="1213"/>
    </row>
    <row r="223" spans="18:59" x14ac:dyDescent="0.35">
      <c r="R223" s="1213"/>
      <c r="S223" s="1213"/>
      <c r="W223" s="1213"/>
      <c r="X223" s="1213"/>
      <c r="AE223" s="1213"/>
      <c r="AF223" s="1213"/>
      <c r="AV223" s="1213"/>
      <c r="AW223" s="1213"/>
      <c r="AX223" s="1213"/>
      <c r="AY223" s="1213"/>
      <c r="AZ223" s="1213"/>
      <c r="BA223" s="1213"/>
      <c r="BC223" s="1213"/>
      <c r="BE223" s="1213"/>
      <c r="BF223" s="1213"/>
      <c r="BG223" s="1213"/>
    </row>
    <row r="224" spans="18:59" x14ac:dyDescent="0.35">
      <c r="R224" s="1213"/>
      <c r="S224" s="1213"/>
      <c r="W224" s="1213"/>
      <c r="X224" s="1213"/>
      <c r="AE224" s="1213"/>
      <c r="AF224" s="1213"/>
      <c r="AV224" s="1213"/>
      <c r="AW224" s="1213"/>
      <c r="AX224" s="1213"/>
      <c r="AY224" s="1213"/>
      <c r="AZ224" s="1213"/>
      <c r="BA224" s="1213"/>
      <c r="BC224" s="1213"/>
      <c r="BE224" s="1213"/>
      <c r="BF224" s="1213"/>
      <c r="BG224" s="1213"/>
    </row>
    <row r="225" spans="18:59" x14ac:dyDescent="0.35">
      <c r="R225" s="1213"/>
      <c r="S225" s="1213"/>
      <c r="W225" s="1213"/>
      <c r="X225" s="1213"/>
      <c r="AE225" s="1213"/>
      <c r="AF225" s="1213"/>
      <c r="AV225" s="1213"/>
      <c r="AW225" s="1213"/>
      <c r="AX225" s="1213"/>
      <c r="AY225" s="1213"/>
      <c r="AZ225" s="1213"/>
      <c r="BA225" s="1213"/>
      <c r="BC225" s="1213"/>
      <c r="BE225" s="1213"/>
      <c r="BF225" s="1213"/>
      <c r="BG225" s="1213"/>
    </row>
    <row r="226" spans="18:59" x14ac:dyDescent="0.35">
      <c r="R226" s="1213"/>
      <c r="S226" s="1213"/>
      <c r="W226" s="1213"/>
      <c r="X226" s="1213"/>
      <c r="AE226" s="1213"/>
      <c r="AF226" s="1213"/>
      <c r="AV226" s="1213"/>
      <c r="AW226" s="1213"/>
      <c r="AX226" s="1213"/>
      <c r="AY226" s="1213"/>
      <c r="AZ226" s="1213"/>
      <c r="BA226" s="1213"/>
      <c r="BC226" s="1213"/>
      <c r="BE226" s="1213"/>
      <c r="BF226" s="1213"/>
      <c r="BG226" s="1213"/>
    </row>
    <row r="227" spans="18:59" x14ac:dyDescent="0.35">
      <c r="R227" s="1213"/>
      <c r="S227" s="1213"/>
      <c r="W227" s="1213"/>
      <c r="X227" s="1213"/>
      <c r="AE227" s="1213"/>
      <c r="AF227" s="1213"/>
      <c r="AV227" s="1213"/>
      <c r="AW227" s="1213"/>
      <c r="AX227" s="1213"/>
      <c r="AY227" s="1213"/>
      <c r="AZ227" s="1213"/>
      <c r="BA227" s="1213"/>
      <c r="BC227" s="1213"/>
      <c r="BE227" s="1213"/>
      <c r="BF227" s="1213"/>
      <c r="BG227" s="1213"/>
    </row>
    <row r="228" spans="18:59" x14ac:dyDescent="0.35">
      <c r="R228" s="1213"/>
      <c r="S228" s="1213"/>
      <c r="W228" s="1213"/>
      <c r="X228" s="1213"/>
      <c r="AE228" s="1213"/>
      <c r="AF228" s="1213"/>
      <c r="AV228" s="1213"/>
      <c r="AW228" s="1213"/>
      <c r="AX228" s="1213"/>
      <c r="AY228" s="1213"/>
      <c r="AZ228" s="1213"/>
      <c r="BA228" s="1213"/>
      <c r="BC228" s="1213"/>
      <c r="BE228" s="1213"/>
      <c r="BF228" s="1213"/>
      <c r="BG228" s="1213"/>
    </row>
    <row r="229" spans="18:59" x14ac:dyDescent="0.35">
      <c r="R229" s="1213"/>
      <c r="S229" s="1213"/>
      <c r="W229" s="1213"/>
      <c r="X229" s="1213"/>
      <c r="AE229" s="1213"/>
      <c r="AF229" s="1213"/>
      <c r="AV229" s="1213"/>
      <c r="AW229" s="1213"/>
      <c r="AX229" s="1213"/>
      <c r="AY229" s="1213"/>
      <c r="AZ229" s="1213"/>
      <c r="BA229" s="1213"/>
      <c r="BC229" s="1213"/>
      <c r="BE229" s="1213"/>
      <c r="BF229" s="1213"/>
      <c r="BG229" s="1213"/>
    </row>
    <row r="230" spans="18:59" x14ac:dyDescent="0.35">
      <c r="R230" s="1213"/>
      <c r="S230" s="1213"/>
      <c r="W230" s="1213"/>
      <c r="X230" s="1213"/>
      <c r="AE230" s="1213"/>
      <c r="AF230" s="1213"/>
      <c r="AV230" s="1213"/>
      <c r="AW230" s="1213"/>
      <c r="AX230" s="1213"/>
      <c r="AY230" s="1213"/>
      <c r="AZ230" s="1213"/>
      <c r="BA230" s="1213"/>
      <c r="BC230" s="1213"/>
      <c r="BE230" s="1213"/>
      <c r="BF230" s="1213"/>
      <c r="BG230" s="1213"/>
    </row>
    <row r="231" spans="18:59" x14ac:dyDescent="0.35">
      <c r="R231" s="1213"/>
      <c r="S231" s="1213"/>
      <c r="W231" s="1213"/>
      <c r="X231" s="1213"/>
      <c r="AE231" s="1213"/>
      <c r="AF231" s="1213"/>
      <c r="AV231" s="1213"/>
      <c r="AW231" s="1213"/>
      <c r="AX231" s="1213"/>
      <c r="AY231" s="1213"/>
      <c r="AZ231" s="1213"/>
      <c r="BA231" s="1213"/>
      <c r="BC231" s="1213"/>
      <c r="BE231" s="1213"/>
      <c r="BF231" s="1213"/>
      <c r="BG231" s="1213"/>
    </row>
    <row r="232" spans="18:59" x14ac:dyDescent="0.35">
      <c r="R232" s="1213"/>
      <c r="S232" s="1213"/>
      <c r="W232" s="1213"/>
      <c r="X232" s="1213"/>
      <c r="AE232" s="1213"/>
      <c r="AF232" s="1213"/>
      <c r="AV232" s="1213"/>
      <c r="AW232" s="1213"/>
      <c r="AX232" s="1213"/>
      <c r="AY232" s="1213"/>
      <c r="AZ232" s="1213"/>
      <c r="BA232" s="1213"/>
      <c r="BC232" s="1213"/>
      <c r="BE232" s="1213"/>
      <c r="BF232" s="1213"/>
      <c r="BG232" s="1213"/>
    </row>
    <row r="233" spans="18:59" x14ac:dyDescent="0.35">
      <c r="R233" s="1213"/>
      <c r="S233" s="1213"/>
      <c r="W233" s="1213"/>
      <c r="X233" s="1213"/>
      <c r="AE233" s="1213"/>
      <c r="AF233" s="1213"/>
      <c r="AV233" s="1213"/>
      <c r="AW233" s="1213"/>
      <c r="AX233" s="1213"/>
      <c r="AY233" s="1213"/>
      <c r="AZ233" s="1213"/>
      <c r="BA233" s="1213"/>
      <c r="BC233" s="1213"/>
      <c r="BE233" s="1213"/>
      <c r="BF233" s="1213"/>
      <c r="BG233" s="1213"/>
    </row>
    <row r="234" spans="18:59" x14ac:dyDescent="0.35">
      <c r="R234" s="1213"/>
      <c r="S234" s="1213"/>
      <c r="W234" s="1213"/>
      <c r="X234" s="1213"/>
      <c r="AE234" s="1213"/>
      <c r="AF234" s="1213"/>
      <c r="AV234" s="1213"/>
      <c r="AW234" s="1213"/>
      <c r="AX234" s="1213"/>
      <c r="AY234" s="1213"/>
      <c r="AZ234" s="1213"/>
      <c r="BA234" s="1213"/>
      <c r="BC234" s="1213"/>
      <c r="BE234" s="1213"/>
      <c r="BF234" s="1213"/>
      <c r="BG234" s="1213"/>
    </row>
    <row r="235" spans="18:59" x14ac:dyDescent="0.35">
      <c r="R235" s="1213"/>
      <c r="S235" s="1213"/>
      <c r="W235" s="1213"/>
      <c r="X235" s="1213"/>
      <c r="AE235" s="1213"/>
      <c r="AF235" s="1213"/>
      <c r="AV235" s="1213"/>
      <c r="AW235" s="1213"/>
      <c r="AX235" s="1213"/>
      <c r="AY235" s="1213"/>
      <c r="AZ235" s="1213"/>
      <c r="BA235" s="1213"/>
      <c r="BC235" s="1213"/>
      <c r="BE235" s="1213"/>
      <c r="BF235" s="1213"/>
      <c r="BG235" s="1213"/>
    </row>
    <row r="236" spans="18:59" x14ac:dyDescent="0.35">
      <c r="R236" s="1213"/>
      <c r="S236" s="1213"/>
      <c r="W236" s="1213"/>
      <c r="X236" s="1213"/>
      <c r="AE236" s="1213"/>
      <c r="AF236" s="1213"/>
      <c r="AV236" s="1213"/>
      <c r="AW236" s="1213"/>
      <c r="AX236" s="1213"/>
      <c r="AY236" s="1213"/>
      <c r="AZ236" s="1213"/>
      <c r="BA236" s="1213"/>
      <c r="BC236" s="1213"/>
      <c r="BE236" s="1213"/>
      <c r="BF236" s="1213"/>
      <c r="BG236" s="1213"/>
    </row>
    <row r="237" spans="18:59" x14ac:dyDescent="0.35">
      <c r="R237" s="1213"/>
      <c r="S237" s="1213"/>
      <c r="W237" s="1213"/>
      <c r="X237" s="1213"/>
      <c r="AE237" s="1213"/>
      <c r="AF237" s="1213"/>
      <c r="AV237" s="1213"/>
      <c r="AW237" s="1213"/>
      <c r="AX237" s="1213"/>
      <c r="AY237" s="1213"/>
      <c r="AZ237" s="1213"/>
      <c r="BA237" s="1213"/>
      <c r="BC237" s="1213"/>
      <c r="BE237" s="1213"/>
      <c r="BF237" s="1213"/>
      <c r="BG237" s="1213"/>
    </row>
    <row r="238" spans="18:59" x14ac:dyDescent="0.35">
      <c r="R238" s="1213"/>
      <c r="S238" s="1213"/>
      <c r="W238" s="1213"/>
      <c r="X238" s="1213"/>
      <c r="AE238" s="1213"/>
      <c r="AF238" s="1213"/>
      <c r="AV238" s="1213"/>
      <c r="AW238" s="1213"/>
      <c r="AX238" s="1213"/>
      <c r="AY238" s="1213"/>
      <c r="AZ238" s="1213"/>
      <c r="BA238" s="1213"/>
      <c r="BC238" s="1213"/>
      <c r="BE238" s="1213"/>
      <c r="BF238" s="1213"/>
      <c r="BG238" s="1213"/>
    </row>
    <row r="239" spans="18:59" x14ac:dyDescent="0.35">
      <c r="R239" s="1213"/>
      <c r="S239" s="1213"/>
      <c r="W239" s="1213"/>
      <c r="X239" s="1213"/>
      <c r="AE239" s="1213"/>
      <c r="AF239" s="1213"/>
      <c r="AV239" s="1213"/>
      <c r="AW239" s="1213"/>
      <c r="AX239" s="1213"/>
      <c r="AY239" s="1213"/>
      <c r="AZ239" s="1213"/>
      <c r="BA239" s="1213"/>
      <c r="BC239" s="1213"/>
      <c r="BE239" s="1213"/>
      <c r="BF239" s="1213"/>
      <c r="BG239" s="1213"/>
    </row>
    <row r="240" spans="18:59" x14ac:dyDescent="0.35">
      <c r="R240" s="1213"/>
      <c r="S240" s="1213"/>
      <c r="W240" s="1213"/>
      <c r="X240" s="1213"/>
      <c r="AE240" s="1213"/>
      <c r="AF240" s="1213"/>
      <c r="AV240" s="1213"/>
      <c r="AW240" s="1213"/>
      <c r="AX240" s="1213"/>
      <c r="AY240" s="1213"/>
      <c r="AZ240" s="1213"/>
      <c r="BA240" s="1213"/>
      <c r="BC240" s="1213"/>
      <c r="BE240" s="1213"/>
      <c r="BF240" s="1213"/>
      <c r="BG240" s="1213"/>
    </row>
    <row r="241" spans="18:59" x14ac:dyDescent="0.35">
      <c r="R241" s="1213"/>
      <c r="S241" s="1213"/>
      <c r="W241" s="1213"/>
      <c r="X241" s="1213"/>
      <c r="AE241" s="1213"/>
      <c r="AF241" s="1213"/>
      <c r="AV241" s="1213"/>
      <c r="AW241" s="1213"/>
      <c r="AX241" s="1213"/>
      <c r="AY241" s="1213"/>
      <c r="AZ241" s="1213"/>
      <c r="BA241" s="1213"/>
      <c r="BC241" s="1213"/>
      <c r="BE241" s="1213"/>
      <c r="BF241" s="1213"/>
      <c r="BG241" s="1213"/>
    </row>
    <row r="242" spans="18:59" x14ac:dyDescent="0.35">
      <c r="R242" s="1213"/>
      <c r="S242" s="1213"/>
      <c r="W242" s="1213"/>
      <c r="X242" s="1213"/>
      <c r="AE242" s="1213"/>
      <c r="AF242" s="1213"/>
      <c r="AV242" s="1213"/>
      <c r="AW242" s="1213"/>
      <c r="AX242" s="1213"/>
      <c r="AY242" s="1213"/>
      <c r="AZ242" s="1213"/>
      <c r="BA242" s="1213"/>
      <c r="BC242" s="1213"/>
      <c r="BE242" s="1213"/>
      <c r="BF242" s="1213"/>
      <c r="BG242" s="1213"/>
    </row>
    <row r="243" spans="18:59" x14ac:dyDescent="0.35">
      <c r="R243" s="1213"/>
      <c r="S243" s="1213"/>
      <c r="W243" s="1213"/>
      <c r="X243" s="1213"/>
      <c r="AE243" s="1213"/>
      <c r="AF243" s="1213"/>
      <c r="AV243" s="1213"/>
      <c r="AW243" s="1213"/>
      <c r="AX243" s="1213"/>
      <c r="AY243" s="1213"/>
      <c r="AZ243" s="1213"/>
      <c r="BA243" s="1213"/>
      <c r="BC243" s="1213"/>
      <c r="BE243" s="1213"/>
      <c r="BF243" s="1213"/>
      <c r="BG243" s="1213"/>
    </row>
    <row r="244" spans="18:59" x14ac:dyDescent="0.35">
      <c r="R244" s="1213"/>
      <c r="S244" s="1213"/>
      <c r="W244" s="1213"/>
      <c r="X244" s="1213"/>
      <c r="AE244" s="1213"/>
      <c r="AF244" s="1213"/>
      <c r="AV244" s="1213"/>
      <c r="AW244" s="1213"/>
      <c r="AX244" s="1213"/>
      <c r="AY244" s="1213"/>
      <c r="AZ244" s="1213"/>
      <c r="BA244" s="1213"/>
      <c r="BC244" s="1213"/>
      <c r="BE244" s="1213"/>
      <c r="BF244" s="1213"/>
      <c r="BG244" s="1213"/>
    </row>
    <row r="245" spans="18:59" x14ac:dyDescent="0.35">
      <c r="R245" s="1213"/>
      <c r="S245" s="1213"/>
      <c r="W245" s="1213"/>
      <c r="X245" s="1213"/>
      <c r="AE245" s="1213"/>
      <c r="AF245" s="1213"/>
      <c r="AV245" s="1213"/>
      <c r="AW245" s="1213"/>
      <c r="AX245" s="1213"/>
      <c r="AY245" s="1213"/>
      <c r="AZ245" s="1213"/>
      <c r="BA245" s="1213"/>
      <c r="BC245" s="1213"/>
      <c r="BE245" s="1213"/>
      <c r="BF245" s="1213"/>
      <c r="BG245" s="1213"/>
    </row>
    <row r="246" spans="18:59" x14ac:dyDescent="0.35">
      <c r="R246" s="1213"/>
      <c r="S246" s="1213"/>
      <c r="W246" s="1213"/>
      <c r="X246" s="1213"/>
      <c r="AE246" s="1213"/>
      <c r="AF246" s="1213"/>
      <c r="AV246" s="1213"/>
      <c r="AW246" s="1213"/>
      <c r="AX246" s="1213"/>
      <c r="AY246" s="1213"/>
      <c r="AZ246" s="1213"/>
      <c r="BA246" s="1213"/>
      <c r="BC246" s="1213"/>
      <c r="BE246" s="1213"/>
      <c r="BF246" s="1213"/>
      <c r="BG246" s="1213"/>
    </row>
    <row r="247" spans="18:59" x14ac:dyDescent="0.35">
      <c r="R247" s="1213"/>
      <c r="S247" s="1213"/>
      <c r="W247" s="1213"/>
      <c r="X247" s="1213"/>
      <c r="AE247" s="1213"/>
      <c r="AF247" s="1213"/>
      <c r="AV247" s="1213"/>
      <c r="AW247" s="1213"/>
      <c r="AX247" s="1213"/>
      <c r="AY247" s="1213"/>
      <c r="AZ247" s="1213"/>
      <c r="BA247" s="1213"/>
      <c r="BC247" s="1213"/>
      <c r="BE247" s="1213"/>
      <c r="BF247" s="1213"/>
      <c r="BG247" s="1213"/>
    </row>
    <row r="248" spans="18:59" x14ac:dyDescent="0.35">
      <c r="R248" s="1213"/>
      <c r="S248" s="1213"/>
      <c r="W248" s="1213"/>
      <c r="X248" s="1213"/>
      <c r="AE248" s="1213"/>
      <c r="AF248" s="1213"/>
      <c r="AV248" s="1213"/>
      <c r="AW248" s="1213"/>
      <c r="AX248" s="1213"/>
      <c r="AY248" s="1213"/>
      <c r="AZ248" s="1213"/>
      <c r="BA248" s="1213"/>
      <c r="BC248" s="1213"/>
      <c r="BE248" s="1213"/>
      <c r="BF248" s="1213"/>
      <c r="BG248" s="1213"/>
    </row>
    <row r="249" spans="18:59" x14ac:dyDescent="0.35">
      <c r="R249" s="1213"/>
      <c r="S249" s="1213"/>
      <c r="W249" s="1213"/>
      <c r="X249" s="1213"/>
      <c r="AE249" s="1213"/>
      <c r="AF249" s="1213"/>
      <c r="AV249" s="1213"/>
      <c r="AW249" s="1213"/>
      <c r="AX249" s="1213"/>
      <c r="AY249" s="1213"/>
      <c r="AZ249" s="1213"/>
      <c r="BA249" s="1213"/>
      <c r="BC249" s="1213"/>
      <c r="BE249" s="1213"/>
      <c r="BF249" s="1213"/>
      <c r="BG249" s="1213"/>
    </row>
    <row r="250" spans="18:59" x14ac:dyDescent="0.35">
      <c r="R250" s="1213"/>
      <c r="S250" s="1213"/>
      <c r="W250" s="1213"/>
      <c r="X250" s="1213"/>
      <c r="AE250" s="1213"/>
      <c r="AF250" s="1213"/>
      <c r="AV250" s="1213"/>
      <c r="AW250" s="1213"/>
      <c r="AX250" s="1213"/>
      <c r="AY250" s="1213"/>
      <c r="AZ250" s="1213"/>
      <c r="BA250" s="1213"/>
      <c r="BC250" s="1213"/>
      <c r="BE250" s="1213"/>
      <c r="BF250" s="1213"/>
      <c r="BG250" s="1213"/>
    </row>
    <row r="251" spans="18:59" x14ac:dyDescent="0.35">
      <c r="R251" s="1213"/>
      <c r="S251" s="1213"/>
      <c r="W251" s="1213"/>
      <c r="X251" s="1213"/>
      <c r="AE251" s="1213"/>
      <c r="AF251" s="1213"/>
      <c r="AV251" s="1213"/>
      <c r="AW251" s="1213"/>
      <c r="AX251" s="1213"/>
      <c r="AY251" s="1213"/>
      <c r="AZ251" s="1213"/>
      <c r="BA251" s="1213"/>
      <c r="BC251" s="1213"/>
      <c r="BE251" s="1213"/>
      <c r="BF251" s="1213"/>
      <c r="BG251" s="1213"/>
    </row>
    <row r="252" spans="18:59" x14ac:dyDescent="0.35">
      <c r="R252" s="1213"/>
      <c r="S252" s="1213"/>
      <c r="W252" s="1213"/>
      <c r="X252" s="1213"/>
      <c r="AE252" s="1213"/>
      <c r="AF252" s="1213"/>
      <c r="AV252" s="1213"/>
      <c r="AW252" s="1213"/>
      <c r="AX252" s="1213"/>
      <c r="AY252" s="1213"/>
      <c r="AZ252" s="1213"/>
      <c r="BA252" s="1213"/>
      <c r="BC252" s="1213"/>
      <c r="BE252" s="1213"/>
      <c r="BF252" s="1213"/>
      <c r="BG252" s="1213"/>
    </row>
    <row r="253" spans="18:59" x14ac:dyDescent="0.35">
      <c r="R253" s="1213"/>
      <c r="S253" s="1213"/>
      <c r="W253" s="1213"/>
      <c r="X253" s="1213"/>
      <c r="AE253" s="1213"/>
      <c r="AF253" s="1213"/>
      <c r="AV253" s="1213"/>
      <c r="AW253" s="1213"/>
      <c r="AX253" s="1213"/>
      <c r="AY253" s="1213"/>
      <c r="AZ253" s="1213"/>
      <c r="BA253" s="1213"/>
      <c r="BC253" s="1213"/>
      <c r="BE253" s="1213"/>
      <c r="BF253" s="1213"/>
      <c r="BG253" s="1213"/>
    </row>
    <row r="254" spans="18:59" x14ac:dyDescent="0.35">
      <c r="R254" s="1213"/>
      <c r="S254" s="1213"/>
      <c r="W254" s="1213"/>
      <c r="X254" s="1213"/>
      <c r="AE254" s="1213"/>
      <c r="AF254" s="1213"/>
      <c r="AV254" s="1213"/>
      <c r="AW254" s="1213"/>
      <c r="AX254" s="1213"/>
      <c r="AY254" s="1213"/>
      <c r="AZ254" s="1213"/>
      <c r="BA254" s="1213"/>
      <c r="BC254" s="1213"/>
      <c r="BE254" s="1213"/>
      <c r="BF254" s="1213"/>
      <c r="BG254" s="1213"/>
    </row>
    <row r="255" spans="18:59" x14ac:dyDescent="0.35">
      <c r="R255" s="1213"/>
      <c r="S255" s="1213"/>
      <c r="W255" s="1213"/>
      <c r="X255" s="1213"/>
      <c r="AE255" s="1213"/>
      <c r="AF255" s="1213"/>
      <c r="AV255" s="1213"/>
      <c r="AW255" s="1213"/>
      <c r="AX255" s="1213"/>
      <c r="AY255" s="1213"/>
      <c r="AZ255" s="1213"/>
      <c r="BA255" s="1213"/>
      <c r="BC255" s="1213"/>
      <c r="BE255" s="1213"/>
      <c r="BF255" s="1213"/>
      <c r="BG255" s="1213"/>
    </row>
    <row r="256" spans="18:59" x14ac:dyDescent="0.35">
      <c r="R256" s="1213"/>
      <c r="S256" s="1213"/>
      <c r="W256" s="1213"/>
      <c r="X256" s="1213"/>
      <c r="AE256" s="1213"/>
      <c r="AF256" s="1213"/>
      <c r="AV256" s="1213"/>
      <c r="AW256" s="1213"/>
      <c r="AX256" s="1213"/>
      <c r="AY256" s="1213"/>
      <c r="AZ256" s="1213"/>
      <c r="BA256" s="1213"/>
      <c r="BC256" s="1213"/>
      <c r="BE256" s="1213"/>
      <c r="BF256" s="1213"/>
      <c r="BG256" s="1213"/>
    </row>
    <row r="257" spans="18:59" x14ac:dyDescent="0.35">
      <c r="R257" s="1213"/>
      <c r="S257" s="1213"/>
      <c r="W257" s="1213"/>
      <c r="X257" s="1213"/>
      <c r="AE257" s="1213"/>
      <c r="AF257" s="1213"/>
      <c r="AV257" s="1213"/>
      <c r="AW257" s="1213"/>
      <c r="AX257" s="1213"/>
      <c r="AY257" s="1213"/>
      <c r="AZ257" s="1213"/>
      <c r="BA257" s="1213"/>
      <c r="BC257" s="1213"/>
      <c r="BE257" s="1213"/>
      <c r="BF257" s="1213"/>
      <c r="BG257" s="1213"/>
    </row>
    <row r="258" spans="18:59" x14ac:dyDescent="0.35">
      <c r="R258" s="1213"/>
      <c r="S258" s="1213"/>
      <c r="W258" s="1213"/>
      <c r="X258" s="1213"/>
      <c r="AE258" s="1213"/>
      <c r="AF258" s="1213"/>
      <c r="AV258" s="1213"/>
      <c r="AW258" s="1213"/>
      <c r="AX258" s="1213"/>
      <c r="AY258" s="1213"/>
      <c r="AZ258" s="1213"/>
      <c r="BA258" s="1213"/>
      <c r="BC258" s="1213"/>
      <c r="BE258" s="1213"/>
      <c r="BF258" s="1213"/>
      <c r="BG258" s="1213"/>
    </row>
    <row r="259" spans="18:59" x14ac:dyDescent="0.35">
      <c r="R259" s="1213"/>
      <c r="S259" s="1213"/>
      <c r="W259" s="1213"/>
      <c r="X259" s="1213"/>
      <c r="AE259" s="1213"/>
      <c r="AF259" s="1213"/>
      <c r="AV259" s="1213"/>
      <c r="AW259" s="1213"/>
      <c r="AX259" s="1213"/>
      <c r="AY259" s="1213"/>
      <c r="AZ259" s="1213"/>
      <c r="BA259" s="1213"/>
      <c r="BC259" s="1213"/>
      <c r="BE259" s="1213"/>
      <c r="BF259" s="1213"/>
      <c r="BG259" s="1213"/>
    </row>
    <row r="260" spans="18:59" x14ac:dyDescent="0.35">
      <c r="R260" s="1213"/>
      <c r="S260" s="1213"/>
      <c r="W260" s="1213"/>
      <c r="X260" s="1213"/>
      <c r="AE260" s="1213"/>
      <c r="AF260" s="1213"/>
      <c r="AV260" s="1213"/>
      <c r="AW260" s="1213"/>
      <c r="AX260" s="1213"/>
      <c r="AY260" s="1213"/>
      <c r="AZ260" s="1213"/>
      <c r="BA260" s="1213"/>
      <c r="BC260" s="1213"/>
      <c r="BE260" s="1213"/>
      <c r="BF260" s="1213"/>
      <c r="BG260" s="1213"/>
    </row>
    <row r="261" spans="18:59" x14ac:dyDescent="0.35">
      <c r="R261" s="1213"/>
      <c r="S261" s="1213"/>
      <c r="W261" s="1213"/>
      <c r="X261" s="1213"/>
      <c r="AE261" s="1213"/>
      <c r="AF261" s="1213"/>
      <c r="AV261" s="1213"/>
      <c r="AW261" s="1213"/>
      <c r="AX261" s="1213"/>
      <c r="AY261" s="1213"/>
      <c r="AZ261" s="1213"/>
      <c r="BA261" s="1213"/>
      <c r="BC261" s="1213"/>
      <c r="BE261" s="1213"/>
      <c r="BF261" s="1213"/>
      <c r="BG261" s="1213"/>
    </row>
    <row r="262" spans="18:59" x14ac:dyDescent="0.35">
      <c r="R262" s="1213"/>
      <c r="S262" s="1213"/>
      <c r="W262" s="1213"/>
      <c r="X262" s="1213"/>
      <c r="AE262" s="1213"/>
      <c r="AF262" s="1213"/>
      <c r="AV262" s="1213"/>
      <c r="AW262" s="1213"/>
      <c r="AX262" s="1213"/>
      <c r="AY262" s="1213"/>
      <c r="AZ262" s="1213"/>
      <c r="BA262" s="1213"/>
      <c r="BC262" s="1213"/>
      <c r="BE262" s="1213"/>
      <c r="BF262" s="1213"/>
      <c r="BG262" s="1213"/>
    </row>
    <row r="263" spans="18:59" x14ac:dyDescent="0.35">
      <c r="R263" s="1213"/>
      <c r="S263" s="1213"/>
      <c r="W263" s="1213"/>
      <c r="X263" s="1213"/>
      <c r="AE263" s="1213"/>
      <c r="AF263" s="1213"/>
      <c r="AV263" s="1213"/>
      <c r="AW263" s="1213"/>
      <c r="AX263" s="1213"/>
      <c r="AY263" s="1213"/>
      <c r="AZ263" s="1213"/>
      <c r="BA263" s="1213"/>
      <c r="BC263" s="1213"/>
      <c r="BE263" s="1213"/>
      <c r="BF263" s="1213"/>
      <c r="BG263" s="1213"/>
    </row>
    <row r="264" spans="18:59" x14ac:dyDescent="0.35">
      <c r="R264" s="1213"/>
      <c r="S264" s="1213"/>
      <c r="W264" s="1213"/>
      <c r="X264" s="1213"/>
      <c r="AE264" s="1213"/>
      <c r="AF264" s="1213"/>
      <c r="AV264" s="1213"/>
      <c r="AW264" s="1213"/>
      <c r="AX264" s="1213"/>
      <c r="AY264" s="1213"/>
      <c r="AZ264" s="1213"/>
      <c r="BA264" s="1213"/>
      <c r="BC264" s="1213"/>
      <c r="BE264" s="1213"/>
      <c r="BF264" s="1213"/>
      <c r="BG264" s="1213"/>
    </row>
    <row r="265" spans="18:59" x14ac:dyDescent="0.35">
      <c r="R265" s="1213"/>
      <c r="S265" s="1213"/>
      <c r="W265" s="1213"/>
      <c r="X265" s="1213"/>
      <c r="AE265" s="1213"/>
      <c r="AF265" s="1213"/>
      <c r="AV265" s="1213"/>
      <c r="AW265" s="1213"/>
      <c r="AX265" s="1213"/>
      <c r="AY265" s="1213"/>
      <c r="AZ265" s="1213"/>
      <c r="BA265" s="1213"/>
      <c r="BC265" s="1213"/>
      <c r="BE265" s="1213"/>
      <c r="BF265" s="1213"/>
      <c r="BG265" s="1213"/>
    </row>
    <row r="266" spans="18:59" x14ac:dyDescent="0.35">
      <c r="R266" s="1213"/>
      <c r="S266" s="1213"/>
      <c r="W266" s="1213"/>
      <c r="X266" s="1213"/>
      <c r="AE266" s="1213"/>
      <c r="AF266" s="1213"/>
      <c r="AV266" s="1213"/>
      <c r="AW266" s="1213"/>
      <c r="AX266" s="1213"/>
      <c r="AY266" s="1213"/>
      <c r="AZ266" s="1213"/>
      <c r="BA266" s="1213"/>
      <c r="BC266" s="1213"/>
      <c r="BE266" s="1213"/>
      <c r="BF266" s="1213"/>
      <c r="BG266" s="1213"/>
    </row>
    <row r="267" spans="18:59" x14ac:dyDescent="0.35">
      <c r="R267" s="1213"/>
      <c r="S267" s="1213"/>
      <c r="W267" s="1213"/>
      <c r="X267" s="1213"/>
      <c r="AE267" s="1213"/>
      <c r="AF267" s="1213"/>
      <c r="AV267" s="1213"/>
      <c r="AW267" s="1213"/>
      <c r="AX267" s="1213"/>
      <c r="AY267" s="1213"/>
      <c r="AZ267" s="1213"/>
      <c r="BA267" s="1213"/>
      <c r="BC267" s="1213"/>
      <c r="BE267" s="1213"/>
      <c r="BF267" s="1213"/>
      <c r="BG267" s="1213"/>
    </row>
    <row r="268" spans="18:59" x14ac:dyDescent="0.35">
      <c r="R268" s="1213"/>
      <c r="S268" s="1213"/>
      <c r="W268" s="1213"/>
      <c r="X268" s="1213"/>
      <c r="AE268" s="1213"/>
      <c r="AF268" s="1213"/>
      <c r="AV268" s="1213"/>
      <c r="AW268" s="1213"/>
      <c r="AX268" s="1213"/>
      <c r="AY268" s="1213"/>
      <c r="AZ268" s="1213"/>
      <c r="BA268" s="1213"/>
      <c r="BC268" s="1213"/>
      <c r="BE268" s="1213"/>
      <c r="BF268" s="1213"/>
      <c r="BG268" s="1213"/>
    </row>
    <row r="269" spans="18:59" x14ac:dyDescent="0.35">
      <c r="R269" s="1213"/>
      <c r="S269" s="1213"/>
      <c r="W269" s="1213"/>
      <c r="X269" s="1213"/>
      <c r="AE269" s="1213"/>
      <c r="AF269" s="1213"/>
      <c r="AV269" s="1213"/>
      <c r="AW269" s="1213"/>
      <c r="AX269" s="1213"/>
      <c r="AY269" s="1213"/>
      <c r="AZ269" s="1213"/>
      <c r="BA269" s="1213"/>
      <c r="BC269" s="1213"/>
      <c r="BE269" s="1213"/>
      <c r="BF269" s="1213"/>
      <c r="BG269" s="1213"/>
    </row>
    <row r="270" spans="18:59" x14ac:dyDescent="0.35">
      <c r="R270" s="1213"/>
      <c r="S270" s="1213"/>
      <c r="W270" s="1213"/>
      <c r="X270" s="1213"/>
      <c r="AE270" s="1213"/>
      <c r="AF270" s="1213"/>
      <c r="AV270" s="1213"/>
      <c r="AW270" s="1213"/>
      <c r="AX270" s="1213"/>
      <c r="AY270" s="1213"/>
      <c r="AZ270" s="1213"/>
      <c r="BA270" s="1213"/>
      <c r="BC270" s="1213"/>
      <c r="BE270" s="1213"/>
      <c r="BF270" s="1213"/>
      <c r="BG270" s="1213"/>
    </row>
    <row r="271" spans="18:59" x14ac:dyDescent="0.35">
      <c r="R271" s="1213"/>
      <c r="S271" s="1213"/>
      <c r="W271" s="1213"/>
      <c r="X271" s="1213"/>
      <c r="AE271" s="1213"/>
      <c r="AF271" s="1213"/>
      <c r="AV271" s="1213"/>
      <c r="AW271" s="1213"/>
      <c r="AX271" s="1213"/>
      <c r="AY271" s="1213"/>
      <c r="AZ271" s="1213"/>
      <c r="BA271" s="1213"/>
      <c r="BC271" s="1213"/>
      <c r="BE271" s="1213"/>
      <c r="BF271" s="1213"/>
      <c r="BG271" s="1213"/>
    </row>
    <row r="272" spans="18:59" x14ac:dyDescent="0.35">
      <c r="R272" s="1213"/>
      <c r="S272" s="1213"/>
      <c r="W272" s="1213"/>
      <c r="X272" s="1213"/>
      <c r="AE272" s="1213"/>
      <c r="AF272" s="1213"/>
      <c r="AV272" s="1213"/>
      <c r="AW272" s="1213"/>
      <c r="AX272" s="1213"/>
      <c r="AY272" s="1213"/>
      <c r="AZ272" s="1213"/>
      <c r="BA272" s="1213"/>
      <c r="BC272" s="1213"/>
      <c r="BE272" s="1213"/>
      <c r="BF272" s="1213"/>
      <c r="BG272" s="1213"/>
    </row>
    <row r="273" spans="18:59" x14ac:dyDescent="0.35">
      <c r="R273" s="1213"/>
      <c r="S273" s="1213"/>
      <c r="W273" s="1213"/>
      <c r="X273" s="1213"/>
      <c r="AE273" s="1213"/>
      <c r="AF273" s="1213"/>
      <c r="AV273" s="1213"/>
      <c r="AW273" s="1213"/>
      <c r="AX273" s="1213"/>
      <c r="AY273" s="1213"/>
      <c r="AZ273" s="1213"/>
      <c r="BA273" s="1213"/>
      <c r="BC273" s="1213"/>
      <c r="BE273" s="1213"/>
      <c r="BF273" s="1213"/>
      <c r="BG273" s="1213"/>
    </row>
    <row r="274" spans="18:59" x14ac:dyDescent="0.35">
      <c r="R274" s="1213"/>
      <c r="S274" s="1213"/>
      <c r="W274" s="1213"/>
      <c r="X274" s="1213"/>
      <c r="AE274" s="1213"/>
      <c r="AF274" s="1213"/>
      <c r="AV274" s="1213"/>
      <c r="AW274" s="1213"/>
      <c r="AX274" s="1213"/>
      <c r="AY274" s="1213"/>
      <c r="AZ274" s="1213"/>
      <c r="BA274" s="1213"/>
      <c r="BC274" s="1213"/>
      <c r="BE274" s="1213"/>
      <c r="BF274" s="1213"/>
      <c r="BG274" s="1213"/>
    </row>
    <row r="275" spans="18:59" x14ac:dyDescent="0.35">
      <c r="R275" s="1213"/>
      <c r="S275" s="1213"/>
      <c r="W275" s="1213"/>
      <c r="X275" s="1213"/>
      <c r="AE275" s="1213"/>
      <c r="AF275" s="1213"/>
      <c r="AV275" s="1213"/>
      <c r="AW275" s="1213"/>
      <c r="AX275" s="1213"/>
      <c r="AY275" s="1213"/>
      <c r="AZ275" s="1213"/>
      <c r="BA275" s="1213"/>
      <c r="BC275" s="1213"/>
      <c r="BE275" s="1213"/>
      <c r="BF275" s="1213"/>
      <c r="BG275" s="1213"/>
    </row>
    <row r="276" spans="18:59" x14ac:dyDescent="0.35">
      <c r="R276" s="1213"/>
      <c r="S276" s="1213"/>
      <c r="W276" s="1213"/>
      <c r="X276" s="1213"/>
      <c r="AE276" s="1213"/>
      <c r="AF276" s="1213"/>
      <c r="AV276" s="1213"/>
      <c r="AW276" s="1213"/>
      <c r="AX276" s="1213"/>
      <c r="AY276" s="1213"/>
      <c r="AZ276" s="1213"/>
      <c r="BA276" s="1213"/>
      <c r="BC276" s="1213"/>
      <c r="BE276" s="1213"/>
      <c r="BF276" s="1213"/>
      <c r="BG276" s="1213"/>
    </row>
    <row r="277" spans="18:59" x14ac:dyDescent="0.35">
      <c r="R277" s="1213"/>
      <c r="S277" s="1213"/>
      <c r="W277" s="1213"/>
      <c r="X277" s="1213"/>
      <c r="AE277" s="1213"/>
      <c r="AF277" s="1213"/>
      <c r="AV277" s="1213"/>
      <c r="AW277" s="1213"/>
      <c r="AX277" s="1213"/>
      <c r="AY277" s="1213"/>
      <c r="AZ277" s="1213"/>
      <c r="BA277" s="1213"/>
      <c r="BC277" s="1213"/>
      <c r="BE277" s="1213"/>
      <c r="BF277" s="1213"/>
      <c r="BG277" s="1213"/>
    </row>
    <row r="278" spans="18:59" x14ac:dyDescent="0.35">
      <c r="R278" s="1213"/>
      <c r="S278" s="1213"/>
      <c r="W278" s="1213"/>
      <c r="X278" s="1213"/>
      <c r="AE278" s="1213"/>
      <c r="AF278" s="1213"/>
      <c r="AV278" s="1213"/>
      <c r="AW278" s="1213"/>
      <c r="AX278" s="1213"/>
      <c r="AY278" s="1213"/>
      <c r="AZ278" s="1213"/>
      <c r="BA278" s="1213"/>
      <c r="BC278" s="1213"/>
      <c r="BE278" s="1213"/>
      <c r="BF278" s="1213"/>
      <c r="BG278" s="1213"/>
    </row>
    <row r="279" spans="18:59" x14ac:dyDescent="0.35">
      <c r="R279" s="1213"/>
      <c r="S279" s="1213"/>
      <c r="W279" s="1213"/>
      <c r="X279" s="1213"/>
      <c r="AE279" s="1213"/>
      <c r="AF279" s="1213"/>
      <c r="AV279" s="1213"/>
      <c r="AW279" s="1213"/>
      <c r="AX279" s="1213"/>
      <c r="AY279" s="1213"/>
      <c r="AZ279" s="1213"/>
      <c r="BA279" s="1213"/>
      <c r="BC279" s="1213"/>
      <c r="BE279" s="1213"/>
      <c r="BF279" s="1213"/>
      <c r="BG279" s="1213"/>
    </row>
    <row r="280" spans="18:59" x14ac:dyDescent="0.35">
      <c r="R280" s="1213"/>
      <c r="S280" s="1213"/>
      <c r="W280" s="1213"/>
      <c r="X280" s="1213"/>
      <c r="AE280" s="1213"/>
      <c r="AF280" s="1213"/>
      <c r="AV280" s="1213"/>
      <c r="AW280" s="1213"/>
      <c r="AX280" s="1213"/>
      <c r="AY280" s="1213"/>
      <c r="AZ280" s="1213"/>
      <c r="BA280" s="1213"/>
      <c r="BC280" s="1213"/>
      <c r="BE280" s="1213"/>
      <c r="BF280" s="1213"/>
      <c r="BG280" s="1213"/>
    </row>
    <row r="281" spans="18:59" x14ac:dyDescent="0.35">
      <c r="R281" s="1213"/>
      <c r="S281" s="1213"/>
      <c r="W281" s="1213"/>
      <c r="X281" s="1213"/>
      <c r="AE281" s="1213"/>
      <c r="AF281" s="1213"/>
      <c r="AV281" s="1213"/>
      <c r="AW281" s="1213"/>
      <c r="AX281" s="1213"/>
      <c r="AY281" s="1213"/>
      <c r="AZ281" s="1213"/>
      <c r="BA281" s="1213"/>
      <c r="BC281" s="1213"/>
      <c r="BE281" s="1213"/>
      <c r="BF281" s="1213"/>
      <c r="BG281" s="1213"/>
    </row>
    <row r="282" spans="18:59" x14ac:dyDescent="0.35">
      <c r="R282" s="1213"/>
      <c r="S282" s="1213"/>
      <c r="W282" s="1213"/>
      <c r="X282" s="1213"/>
      <c r="AE282" s="1213"/>
      <c r="AF282" s="1213"/>
      <c r="AV282" s="1213"/>
      <c r="AW282" s="1213"/>
      <c r="AX282" s="1213"/>
      <c r="AY282" s="1213"/>
      <c r="AZ282" s="1213"/>
      <c r="BA282" s="1213"/>
      <c r="BC282" s="1213"/>
      <c r="BE282" s="1213"/>
      <c r="BF282" s="1213"/>
      <c r="BG282" s="1213"/>
    </row>
    <row r="283" spans="18:59" x14ac:dyDescent="0.35">
      <c r="R283" s="1213"/>
      <c r="S283" s="1213"/>
      <c r="W283" s="1213"/>
      <c r="X283" s="1213"/>
      <c r="AE283" s="1213"/>
      <c r="AF283" s="1213"/>
      <c r="AV283" s="1213"/>
      <c r="AW283" s="1213"/>
      <c r="AX283" s="1213"/>
      <c r="AY283" s="1213"/>
      <c r="AZ283" s="1213"/>
      <c r="BA283" s="1213"/>
      <c r="BC283" s="1213"/>
      <c r="BE283" s="1213"/>
      <c r="BF283" s="1213"/>
      <c r="BG283" s="1213"/>
    </row>
    <row r="284" spans="18:59" x14ac:dyDescent="0.35">
      <c r="R284" s="1213"/>
      <c r="S284" s="1213"/>
      <c r="W284" s="1213"/>
      <c r="X284" s="1213"/>
      <c r="AE284" s="1213"/>
      <c r="AF284" s="1213"/>
      <c r="AV284" s="1213"/>
      <c r="AW284" s="1213"/>
      <c r="AX284" s="1213"/>
      <c r="AY284" s="1213"/>
      <c r="AZ284" s="1213"/>
      <c r="BA284" s="1213"/>
      <c r="BC284" s="1213"/>
      <c r="BE284" s="1213"/>
      <c r="BF284" s="1213"/>
      <c r="BG284" s="1213"/>
    </row>
    <row r="285" spans="18:59" x14ac:dyDescent="0.35">
      <c r="R285" s="1213"/>
      <c r="S285" s="1213"/>
      <c r="W285" s="1213"/>
      <c r="X285" s="1213"/>
      <c r="AE285" s="1213"/>
      <c r="AF285" s="1213"/>
      <c r="AV285" s="1213"/>
      <c r="AW285" s="1213"/>
      <c r="AX285" s="1213"/>
      <c r="AY285" s="1213"/>
      <c r="AZ285" s="1213"/>
      <c r="BA285" s="1213"/>
      <c r="BC285" s="1213"/>
      <c r="BE285" s="1213"/>
      <c r="BF285" s="1213"/>
      <c r="BG285" s="1213"/>
    </row>
    <row r="286" spans="18:59" x14ac:dyDescent="0.35">
      <c r="R286" s="1213"/>
      <c r="S286" s="1213"/>
      <c r="W286" s="1213"/>
      <c r="X286" s="1213"/>
      <c r="AE286" s="1213"/>
      <c r="AF286" s="1213"/>
      <c r="AV286" s="1213"/>
      <c r="AW286" s="1213"/>
      <c r="AX286" s="1213"/>
      <c r="AY286" s="1213"/>
      <c r="AZ286" s="1213"/>
      <c r="BA286" s="1213"/>
      <c r="BC286" s="1213"/>
      <c r="BE286" s="1213"/>
      <c r="BF286" s="1213"/>
      <c r="BG286" s="1213"/>
    </row>
    <row r="287" spans="18:59" x14ac:dyDescent="0.35">
      <c r="R287" s="1213"/>
      <c r="S287" s="1213"/>
      <c r="W287" s="1213"/>
      <c r="X287" s="1213"/>
      <c r="AE287" s="1213"/>
      <c r="AF287" s="1213"/>
      <c r="AV287" s="1213"/>
      <c r="AW287" s="1213"/>
      <c r="AX287" s="1213"/>
      <c r="AY287" s="1213"/>
      <c r="AZ287" s="1213"/>
      <c r="BA287" s="1213"/>
      <c r="BC287" s="1213"/>
      <c r="BE287" s="1213"/>
      <c r="BF287" s="1213"/>
      <c r="BG287" s="1213"/>
    </row>
    <row r="288" spans="18:59" x14ac:dyDescent="0.35">
      <c r="R288" s="1213"/>
      <c r="S288" s="1213"/>
      <c r="W288" s="1213"/>
      <c r="X288" s="1213"/>
      <c r="AE288" s="1213"/>
      <c r="AF288" s="1213"/>
      <c r="AV288" s="1213"/>
      <c r="AW288" s="1213"/>
      <c r="AX288" s="1213"/>
      <c r="AY288" s="1213"/>
      <c r="AZ288" s="1213"/>
      <c r="BA288" s="1213"/>
      <c r="BC288" s="1213"/>
      <c r="BE288" s="1213"/>
      <c r="BF288" s="1213"/>
      <c r="BG288" s="1213"/>
    </row>
    <row r="289" spans="18:59" x14ac:dyDescent="0.35">
      <c r="R289" s="1213"/>
      <c r="S289" s="1213"/>
      <c r="W289" s="1213"/>
      <c r="X289" s="1213"/>
      <c r="AE289" s="1213"/>
      <c r="AF289" s="1213"/>
      <c r="AV289" s="1213"/>
      <c r="AW289" s="1213"/>
      <c r="AX289" s="1213"/>
      <c r="AY289" s="1213"/>
      <c r="AZ289" s="1213"/>
      <c r="BA289" s="1213"/>
      <c r="BC289" s="1213"/>
      <c r="BE289" s="1213"/>
      <c r="BF289" s="1213"/>
      <c r="BG289" s="1213"/>
    </row>
    <row r="290" spans="18:59" x14ac:dyDescent="0.35">
      <c r="R290" s="1213"/>
      <c r="S290" s="1213"/>
      <c r="W290" s="1213"/>
      <c r="X290" s="1213"/>
      <c r="AE290" s="1213"/>
      <c r="AF290" s="1213"/>
      <c r="AV290" s="1213"/>
      <c r="AW290" s="1213"/>
      <c r="AX290" s="1213"/>
      <c r="AY290" s="1213"/>
      <c r="AZ290" s="1213"/>
      <c r="BA290" s="1213"/>
      <c r="BC290" s="1213"/>
      <c r="BE290" s="1213"/>
      <c r="BF290" s="1213"/>
      <c r="BG290" s="1213"/>
    </row>
    <row r="291" spans="18:59" x14ac:dyDescent="0.35">
      <c r="R291" s="1213"/>
      <c r="S291" s="1213"/>
      <c r="W291" s="1213"/>
      <c r="X291" s="1213"/>
      <c r="AE291" s="1213"/>
      <c r="AF291" s="1213"/>
      <c r="AV291" s="1213"/>
      <c r="AW291" s="1213"/>
      <c r="AX291" s="1213"/>
      <c r="AY291" s="1213"/>
      <c r="AZ291" s="1213"/>
      <c r="BA291" s="1213"/>
      <c r="BC291" s="1213"/>
      <c r="BE291" s="1213"/>
      <c r="BF291" s="1213"/>
      <c r="BG291" s="1213"/>
    </row>
    <row r="292" spans="18:59" x14ac:dyDescent="0.35">
      <c r="R292" s="1213"/>
      <c r="S292" s="1213"/>
      <c r="W292" s="1213"/>
      <c r="X292" s="1213"/>
      <c r="AE292" s="1213"/>
      <c r="AF292" s="1213"/>
      <c r="AV292" s="1213"/>
      <c r="AW292" s="1213"/>
      <c r="AX292" s="1213"/>
      <c r="AY292" s="1213"/>
      <c r="AZ292" s="1213"/>
      <c r="BA292" s="1213"/>
      <c r="BC292" s="1213"/>
      <c r="BE292" s="1213"/>
      <c r="BF292" s="1213"/>
      <c r="BG292" s="1213"/>
    </row>
    <row r="293" spans="18:59" x14ac:dyDescent="0.35">
      <c r="R293" s="1213"/>
      <c r="S293" s="1213"/>
      <c r="W293" s="1213"/>
      <c r="X293" s="1213"/>
      <c r="AE293" s="1213"/>
      <c r="AF293" s="1213"/>
      <c r="AV293" s="1213"/>
      <c r="AW293" s="1213"/>
      <c r="AX293" s="1213"/>
      <c r="AY293" s="1213"/>
      <c r="AZ293" s="1213"/>
      <c r="BA293" s="1213"/>
      <c r="BC293" s="1213"/>
      <c r="BE293" s="1213"/>
      <c r="BF293" s="1213"/>
      <c r="BG293" s="1213"/>
    </row>
    <row r="294" spans="18:59" x14ac:dyDescent="0.35">
      <c r="R294" s="1213"/>
      <c r="S294" s="1213"/>
      <c r="W294" s="1213"/>
      <c r="X294" s="1213"/>
      <c r="AE294" s="1213"/>
      <c r="AF294" s="1213"/>
      <c r="AV294" s="1213"/>
      <c r="AW294" s="1213"/>
      <c r="AX294" s="1213"/>
      <c r="AY294" s="1213"/>
      <c r="AZ294" s="1213"/>
      <c r="BA294" s="1213"/>
      <c r="BC294" s="1213"/>
      <c r="BE294" s="1213"/>
      <c r="BF294" s="1213"/>
      <c r="BG294" s="1213"/>
    </row>
    <row r="295" spans="18:59" x14ac:dyDescent="0.35">
      <c r="R295" s="1213"/>
      <c r="S295" s="1213"/>
      <c r="W295" s="1213"/>
      <c r="X295" s="1213"/>
      <c r="AE295" s="1213"/>
      <c r="AF295" s="1213"/>
      <c r="AV295" s="1213"/>
      <c r="AW295" s="1213"/>
      <c r="AX295" s="1213"/>
      <c r="AY295" s="1213"/>
      <c r="AZ295" s="1213"/>
      <c r="BA295" s="1213"/>
      <c r="BC295" s="1213"/>
      <c r="BE295" s="1213"/>
      <c r="BF295" s="1213"/>
      <c r="BG295" s="1213"/>
    </row>
    <row r="296" spans="18:59" x14ac:dyDescent="0.35">
      <c r="R296" s="1213"/>
      <c r="S296" s="1213"/>
      <c r="W296" s="1213"/>
      <c r="X296" s="1213"/>
      <c r="AE296" s="1213"/>
      <c r="AF296" s="1213"/>
      <c r="AV296" s="1213"/>
      <c r="AW296" s="1213"/>
      <c r="AX296" s="1213"/>
      <c r="AY296" s="1213"/>
      <c r="AZ296" s="1213"/>
      <c r="BA296" s="1213"/>
      <c r="BC296" s="1213"/>
      <c r="BE296" s="1213"/>
      <c r="BF296" s="1213"/>
      <c r="BG296" s="1213"/>
    </row>
    <row r="297" spans="18:59" x14ac:dyDescent="0.35">
      <c r="R297" s="1213"/>
      <c r="S297" s="1213"/>
      <c r="W297" s="1213"/>
      <c r="X297" s="1213"/>
      <c r="AE297" s="1213"/>
      <c r="AF297" s="1213"/>
      <c r="AV297" s="1213"/>
      <c r="AW297" s="1213"/>
      <c r="AX297" s="1213"/>
      <c r="AY297" s="1213"/>
      <c r="AZ297" s="1213"/>
      <c r="BA297" s="1213"/>
      <c r="BC297" s="1213"/>
      <c r="BE297" s="1213"/>
      <c r="BF297" s="1213"/>
      <c r="BG297" s="1213"/>
    </row>
    <row r="298" spans="18:59" x14ac:dyDescent="0.35">
      <c r="R298" s="1213"/>
      <c r="S298" s="1213"/>
      <c r="W298" s="1213"/>
      <c r="X298" s="1213"/>
      <c r="AE298" s="1213"/>
      <c r="AF298" s="1213"/>
      <c r="AV298" s="1213"/>
      <c r="AW298" s="1213"/>
      <c r="AX298" s="1213"/>
      <c r="AY298" s="1213"/>
      <c r="AZ298" s="1213"/>
      <c r="BA298" s="1213"/>
      <c r="BC298" s="1213"/>
      <c r="BE298" s="1213"/>
      <c r="BF298" s="1213"/>
      <c r="BG298" s="1213"/>
    </row>
    <row r="299" spans="18:59" x14ac:dyDescent="0.35">
      <c r="R299" s="1213"/>
      <c r="S299" s="1213"/>
      <c r="W299" s="1213"/>
      <c r="X299" s="1213"/>
      <c r="AE299" s="1213"/>
      <c r="AF299" s="1213"/>
      <c r="AV299" s="1213"/>
      <c r="AW299" s="1213"/>
      <c r="AX299" s="1213"/>
      <c r="AY299" s="1213"/>
      <c r="AZ299" s="1213"/>
      <c r="BA299" s="1213"/>
      <c r="BC299" s="1213"/>
      <c r="BE299" s="1213"/>
      <c r="BF299" s="1213"/>
      <c r="BG299" s="1213"/>
    </row>
    <row r="300" spans="18:59" x14ac:dyDescent="0.35">
      <c r="R300" s="1213"/>
      <c r="S300" s="1213"/>
      <c r="W300" s="1213"/>
      <c r="X300" s="1213"/>
      <c r="AE300" s="1213"/>
      <c r="AF300" s="1213"/>
      <c r="AV300" s="1213"/>
      <c r="AW300" s="1213"/>
      <c r="AX300" s="1213"/>
      <c r="AY300" s="1213"/>
      <c r="AZ300" s="1213"/>
      <c r="BA300" s="1213"/>
      <c r="BC300" s="1213"/>
      <c r="BE300" s="1213"/>
      <c r="BF300" s="1213"/>
      <c r="BG300" s="1213"/>
    </row>
    <row r="301" spans="18:59" x14ac:dyDescent="0.35">
      <c r="R301" s="1213"/>
      <c r="S301" s="1213"/>
      <c r="W301" s="1213"/>
      <c r="X301" s="1213"/>
      <c r="AE301" s="1213"/>
      <c r="AF301" s="1213"/>
      <c r="AV301" s="1213"/>
      <c r="AW301" s="1213"/>
      <c r="AX301" s="1213"/>
      <c r="AY301" s="1213"/>
      <c r="AZ301" s="1213"/>
      <c r="BA301" s="1213"/>
      <c r="BC301" s="1213"/>
      <c r="BE301" s="1213"/>
      <c r="BF301" s="1213"/>
      <c r="BG301" s="1213"/>
    </row>
    <row r="302" spans="18:59" x14ac:dyDescent="0.35">
      <c r="R302" s="1213"/>
      <c r="S302" s="1213"/>
      <c r="W302" s="1213"/>
      <c r="X302" s="1213"/>
      <c r="AE302" s="1213"/>
      <c r="AF302" s="1213"/>
      <c r="AV302" s="1213"/>
      <c r="AW302" s="1213"/>
      <c r="AX302" s="1213"/>
      <c r="AY302" s="1213"/>
      <c r="AZ302" s="1213"/>
      <c r="BA302" s="1213"/>
      <c r="BC302" s="1213"/>
      <c r="BE302" s="1213"/>
      <c r="BF302" s="1213"/>
      <c r="BG302" s="1213"/>
    </row>
    <row r="303" spans="18:59" x14ac:dyDescent="0.35">
      <c r="R303" s="1213"/>
      <c r="S303" s="1213"/>
      <c r="W303" s="1213"/>
      <c r="X303" s="1213"/>
      <c r="AE303" s="1213"/>
      <c r="AF303" s="1213"/>
      <c r="AV303" s="1213"/>
      <c r="AW303" s="1213"/>
      <c r="AX303" s="1213"/>
      <c r="AY303" s="1213"/>
      <c r="AZ303" s="1213"/>
      <c r="BA303" s="1213"/>
      <c r="BC303" s="1213"/>
      <c r="BE303" s="1213"/>
      <c r="BF303" s="1213"/>
      <c r="BG303" s="1213"/>
    </row>
    <row r="304" spans="18:59" x14ac:dyDescent="0.35">
      <c r="R304" s="1213"/>
      <c r="S304" s="1213"/>
      <c r="W304" s="1213"/>
      <c r="X304" s="1213"/>
      <c r="AE304" s="1213"/>
      <c r="AF304" s="1213"/>
      <c r="AV304" s="1213"/>
      <c r="AW304" s="1213"/>
      <c r="AX304" s="1213"/>
      <c r="AY304" s="1213"/>
      <c r="AZ304" s="1213"/>
      <c r="BA304" s="1213"/>
      <c r="BC304" s="1213"/>
      <c r="BE304" s="1213"/>
      <c r="BF304" s="1213"/>
      <c r="BG304" s="1213"/>
    </row>
    <row r="305" spans="18:59" x14ac:dyDescent="0.35">
      <c r="R305" s="1213"/>
      <c r="S305" s="1213"/>
      <c r="W305" s="1213"/>
      <c r="X305" s="1213"/>
      <c r="AE305" s="1213"/>
      <c r="AF305" s="1213"/>
      <c r="AV305" s="1213"/>
      <c r="AW305" s="1213"/>
      <c r="AX305" s="1213"/>
      <c r="AY305" s="1213"/>
      <c r="AZ305" s="1213"/>
      <c r="BA305" s="1213"/>
      <c r="BC305" s="1213"/>
      <c r="BE305" s="1213"/>
      <c r="BF305" s="1213"/>
      <c r="BG305" s="1213"/>
    </row>
    <row r="306" spans="18:59" x14ac:dyDescent="0.35">
      <c r="R306" s="1213"/>
      <c r="S306" s="1213"/>
      <c r="W306" s="1213"/>
      <c r="X306" s="1213"/>
      <c r="AE306" s="1213"/>
      <c r="AF306" s="1213"/>
      <c r="AV306" s="1213"/>
      <c r="AW306" s="1213"/>
      <c r="AX306" s="1213"/>
      <c r="AY306" s="1213"/>
      <c r="AZ306" s="1213"/>
      <c r="BA306" s="1213"/>
      <c r="BC306" s="1213"/>
      <c r="BE306" s="1213"/>
      <c r="BF306" s="1213"/>
      <c r="BG306" s="1213"/>
    </row>
    <row r="307" spans="18:59" x14ac:dyDescent="0.35">
      <c r="R307" s="1213"/>
      <c r="S307" s="1213"/>
      <c r="W307" s="1213"/>
      <c r="X307" s="1213"/>
      <c r="AE307" s="1213"/>
      <c r="AF307" s="1213"/>
      <c r="AV307" s="1213"/>
      <c r="AW307" s="1213"/>
      <c r="AX307" s="1213"/>
      <c r="AY307" s="1213"/>
      <c r="AZ307" s="1213"/>
      <c r="BA307" s="1213"/>
      <c r="BC307" s="1213"/>
      <c r="BE307" s="1213"/>
      <c r="BF307" s="1213"/>
      <c r="BG307" s="1213"/>
    </row>
    <row r="308" spans="18:59" x14ac:dyDescent="0.35">
      <c r="R308" s="1213"/>
      <c r="S308" s="1213"/>
      <c r="W308" s="1213"/>
      <c r="X308" s="1213"/>
      <c r="AE308" s="1213"/>
      <c r="AF308" s="1213"/>
      <c r="AV308" s="1213"/>
      <c r="AW308" s="1213"/>
      <c r="AX308" s="1213"/>
      <c r="AY308" s="1213"/>
      <c r="AZ308" s="1213"/>
      <c r="BA308" s="1213"/>
      <c r="BC308" s="1213"/>
      <c r="BE308" s="1213"/>
      <c r="BF308" s="1213"/>
      <c r="BG308" s="1213"/>
    </row>
    <row r="309" spans="18:59" x14ac:dyDescent="0.35">
      <c r="R309" s="1213"/>
      <c r="S309" s="1213"/>
      <c r="W309" s="1213"/>
      <c r="X309" s="1213"/>
      <c r="AE309" s="1213"/>
      <c r="AF309" s="1213"/>
      <c r="AV309" s="1213"/>
      <c r="AW309" s="1213"/>
      <c r="AX309" s="1213"/>
      <c r="AY309" s="1213"/>
      <c r="AZ309" s="1213"/>
      <c r="BA309" s="1213"/>
      <c r="BC309" s="1213"/>
      <c r="BE309" s="1213"/>
      <c r="BF309" s="1213"/>
      <c r="BG309" s="1213"/>
    </row>
    <row r="310" spans="18:59" x14ac:dyDescent="0.35">
      <c r="R310" s="1213"/>
      <c r="S310" s="1213"/>
      <c r="W310" s="1213"/>
      <c r="X310" s="1213"/>
      <c r="AE310" s="1213"/>
      <c r="AF310" s="1213"/>
      <c r="AV310" s="1213"/>
      <c r="AW310" s="1213"/>
      <c r="AX310" s="1213"/>
      <c r="AY310" s="1213"/>
      <c r="AZ310" s="1213"/>
      <c r="BA310" s="1213"/>
      <c r="BC310" s="1213"/>
      <c r="BE310" s="1213"/>
      <c r="BF310" s="1213"/>
      <c r="BG310" s="1213"/>
    </row>
    <row r="311" spans="18:59" x14ac:dyDescent="0.35">
      <c r="R311" s="1213"/>
      <c r="S311" s="1213"/>
      <c r="W311" s="1213"/>
      <c r="X311" s="1213"/>
      <c r="AE311" s="1213"/>
      <c r="AF311" s="1213"/>
      <c r="AV311" s="1213"/>
      <c r="AW311" s="1213"/>
      <c r="AX311" s="1213"/>
      <c r="AY311" s="1213"/>
      <c r="AZ311" s="1213"/>
      <c r="BA311" s="1213"/>
      <c r="BC311" s="1213"/>
      <c r="BE311" s="1213"/>
      <c r="BF311" s="1213"/>
      <c r="BG311" s="1213"/>
    </row>
    <row r="312" spans="18:59" x14ac:dyDescent="0.35">
      <c r="R312" s="1213"/>
      <c r="S312" s="1213"/>
      <c r="W312" s="1213"/>
      <c r="X312" s="1213"/>
      <c r="AE312" s="1213"/>
      <c r="AF312" s="1213"/>
      <c r="AV312" s="1213"/>
      <c r="AW312" s="1213"/>
      <c r="AX312" s="1213"/>
      <c r="AY312" s="1213"/>
      <c r="AZ312" s="1213"/>
      <c r="BA312" s="1213"/>
      <c r="BC312" s="1213"/>
      <c r="BE312" s="1213"/>
      <c r="BF312" s="1213"/>
      <c r="BG312" s="1213"/>
    </row>
    <row r="313" spans="18:59" x14ac:dyDescent="0.35">
      <c r="R313" s="1213"/>
      <c r="S313" s="1213"/>
      <c r="W313" s="1213"/>
      <c r="X313" s="1213"/>
      <c r="AE313" s="1213"/>
      <c r="AF313" s="1213"/>
      <c r="AV313" s="1213"/>
      <c r="AW313" s="1213"/>
      <c r="AX313" s="1213"/>
      <c r="AY313" s="1213"/>
      <c r="AZ313" s="1213"/>
      <c r="BA313" s="1213"/>
      <c r="BC313" s="1213"/>
      <c r="BE313" s="1213"/>
      <c r="BF313" s="1213"/>
      <c r="BG313" s="1213"/>
    </row>
    <row r="314" spans="18:59" x14ac:dyDescent="0.35">
      <c r="R314" s="1213"/>
      <c r="S314" s="1213"/>
      <c r="W314" s="1213"/>
      <c r="X314" s="1213"/>
      <c r="AE314" s="1213"/>
      <c r="AF314" s="1213"/>
      <c r="AV314" s="1213"/>
      <c r="AW314" s="1213"/>
      <c r="AX314" s="1213"/>
      <c r="AY314" s="1213"/>
      <c r="AZ314" s="1213"/>
      <c r="BA314" s="1213"/>
      <c r="BC314" s="1213"/>
      <c r="BE314" s="1213"/>
      <c r="BF314" s="1213"/>
      <c r="BG314" s="1213"/>
    </row>
    <row r="315" spans="18:59" x14ac:dyDescent="0.35">
      <c r="R315" s="1213"/>
      <c r="S315" s="1213"/>
      <c r="W315" s="1213"/>
      <c r="X315" s="1213"/>
      <c r="AE315" s="1213"/>
      <c r="AF315" s="1213"/>
      <c r="AV315" s="1213"/>
      <c r="AW315" s="1213"/>
      <c r="AX315" s="1213"/>
      <c r="AY315" s="1213"/>
      <c r="AZ315" s="1213"/>
      <c r="BA315" s="1213"/>
      <c r="BC315" s="1213"/>
      <c r="BE315" s="1213"/>
      <c r="BF315" s="1213"/>
      <c r="BG315" s="1213"/>
    </row>
    <row r="316" spans="18:59" x14ac:dyDescent="0.35">
      <c r="R316" s="1213"/>
      <c r="S316" s="1213"/>
      <c r="W316" s="1213"/>
      <c r="X316" s="1213"/>
      <c r="AE316" s="1213"/>
      <c r="AF316" s="1213"/>
      <c r="AV316" s="1213"/>
      <c r="AW316" s="1213"/>
      <c r="AX316" s="1213"/>
      <c r="AY316" s="1213"/>
      <c r="AZ316" s="1213"/>
      <c r="BA316" s="1213"/>
      <c r="BC316" s="1213"/>
      <c r="BE316" s="1213"/>
      <c r="BF316" s="1213"/>
      <c r="BG316" s="1213"/>
    </row>
    <row r="317" spans="18:59" x14ac:dyDescent="0.35">
      <c r="R317" s="1213"/>
      <c r="S317" s="1213"/>
      <c r="W317" s="1213"/>
      <c r="X317" s="1213"/>
      <c r="AE317" s="1213"/>
      <c r="AF317" s="1213"/>
      <c r="AV317" s="1213"/>
      <c r="AW317" s="1213"/>
      <c r="AX317" s="1213"/>
      <c r="AY317" s="1213"/>
      <c r="AZ317" s="1213"/>
      <c r="BA317" s="1213"/>
      <c r="BC317" s="1213"/>
      <c r="BE317" s="1213"/>
      <c r="BF317" s="1213"/>
      <c r="BG317" s="1213"/>
    </row>
    <row r="318" spans="18:59" x14ac:dyDescent="0.35">
      <c r="R318" s="1213"/>
      <c r="S318" s="1213"/>
      <c r="W318" s="1213"/>
      <c r="X318" s="1213"/>
      <c r="AE318" s="1213"/>
      <c r="AF318" s="1213"/>
      <c r="AV318" s="1213"/>
      <c r="AW318" s="1213"/>
      <c r="AX318" s="1213"/>
      <c r="AY318" s="1213"/>
      <c r="AZ318" s="1213"/>
      <c r="BA318" s="1213"/>
      <c r="BC318" s="1213"/>
      <c r="BE318" s="1213"/>
      <c r="BF318" s="1213"/>
      <c r="BG318" s="1213"/>
    </row>
    <row r="319" spans="18:59" x14ac:dyDescent="0.35">
      <c r="R319" s="1213"/>
      <c r="S319" s="1213"/>
      <c r="W319" s="1213"/>
      <c r="X319" s="1213"/>
      <c r="AE319" s="1213"/>
      <c r="AF319" s="1213"/>
      <c r="AV319" s="1213"/>
      <c r="AW319" s="1213"/>
      <c r="AX319" s="1213"/>
      <c r="AY319" s="1213"/>
      <c r="AZ319" s="1213"/>
      <c r="BA319" s="1213"/>
      <c r="BC319" s="1213"/>
      <c r="BE319" s="1213"/>
      <c r="BF319" s="1213"/>
      <c r="BG319" s="1213"/>
    </row>
    <row r="320" spans="18:59" x14ac:dyDescent="0.35">
      <c r="R320" s="1213"/>
      <c r="S320" s="1213"/>
      <c r="W320" s="1213"/>
      <c r="X320" s="1213"/>
      <c r="AE320" s="1213"/>
      <c r="AF320" s="1213"/>
      <c r="AV320" s="1213"/>
      <c r="AW320" s="1213"/>
      <c r="AX320" s="1213"/>
      <c r="AY320" s="1213"/>
      <c r="AZ320" s="1213"/>
      <c r="BA320" s="1213"/>
      <c r="BC320" s="1213"/>
      <c r="BE320" s="1213"/>
      <c r="BF320" s="1213"/>
      <c r="BG320" s="1213"/>
    </row>
    <row r="321" spans="18:59" x14ac:dyDescent="0.35">
      <c r="R321" s="1213"/>
      <c r="S321" s="1213"/>
      <c r="W321" s="1213"/>
      <c r="X321" s="1213"/>
      <c r="AE321" s="1213"/>
      <c r="AF321" s="1213"/>
      <c r="AV321" s="1213"/>
      <c r="AW321" s="1213"/>
      <c r="AX321" s="1213"/>
      <c r="AY321" s="1213"/>
      <c r="AZ321" s="1213"/>
      <c r="BA321" s="1213"/>
      <c r="BC321" s="1213"/>
      <c r="BE321" s="1213"/>
      <c r="BF321" s="1213"/>
      <c r="BG321" s="1213"/>
    </row>
    <row r="322" spans="18:59" x14ac:dyDescent="0.35">
      <c r="R322" s="1213"/>
      <c r="S322" s="1213"/>
      <c r="W322" s="1213"/>
      <c r="X322" s="1213"/>
      <c r="AE322" s="1213"/>
      <c r="AF322" s="1213"/>
      <c r="AV322" s="1213"/>
      <c r="AW322" s="1213"/>
      <c r="AX322" s="1213"/>
      <c r="AY322" s="1213"/>
      <c r="AZ322" s="1213"/>
      <c r="BA322" s="1213"/>
      <c r="BC322" s="1213"/>
      <c r="BE322" s="1213"/>
      <c r="BF322" s="1213"/>
      <c r="BG322" s="1213"/>
    </row>
    <row r="323" spans="18:59" x14ac:dyDescent="0.35">
      <c r="R323" s="1213"/>
      <c r="S323" s="1213"/>
      <c r="W323" s="1213"/>
      <c r="X323" s="1213"/>
      <c r="AE323" s="1213"/>
      <c r="AF323" s="1213"/>
      <c r="AV323" s="1213"/>
      <c r="AW323" s="1213"/>
      <c r="AX323" s="1213"/>
      <c r="AY323" s="1213"/>
      <c r="AZ323" s="1213"/>
      <c r="BA323" s="1213"/>
      <c r="BC323" s="1213"/>
      <c r="BE323" s="1213"/>
      <c r="BF323" s="1213"/>
      <c r="BG323" s="1213"/>
    </row>
    <row r="324" spans="18:59" x14ac:dyDescent="0.35">
      <c r="R324" s="1213"/>
      <c r="S324" s="1213"/>
      <c r="W324" s="1213"/>
      <c r="X324" s="1213"/>
      <c r="AE324" s="1213"/>
      <c r="AF324" s="1213"/>
      <c r="AV324" s="1213"/>
      <c r="AW324" s="1213"/>
      <c r="AX324" s="1213"/>
      <c r="AY324" s="1213"/>
      <c r="AZ324" s="1213"/>
      <c r="BA324" s="1213"/>
      <c r="BC324" s="1213"/>
      <c r="BE324" s="1213"/>
      <c r="BF324" s="1213"/>
      <c r="BG324" s="1213"/>
    </row>
    <row r="325" spans="18:59" x14ac:dyDescent="0.35">
      <c r="R325" s="1213"/>
      <c r="S325" s="1213"/>
      <c r="W325" s="1213"/>
      <c r="X325" s="1213"/>
      <c r="AE325" s="1213"/>
      <c r="AF325" s="1213"/>
      <c r="AV325" s="1213"/>
      <c r="AW325" s="1213"/>
      <c r="AX325" s="1213"/>
      <c r="AY325" s="1213"/>
      <c r="AZ325" s="1213"/>
      <c r="BA325" s="1213"/>
      <c r="BC325" s="1213"/>
      <c r="BE325" s="1213"/>
      <c r="BF325" s="1213"/>
      <c r="BG325" s="1213"/>
    </row>
    <row r="326" spans="18:59" x14ac:dyDescent="0.35">
      <c r="R326" s="1213"/>
      <c r="S326" s="1213"/>
      <c r="W326" s="1213"/>
      <c r="X326" s="1213"/>
      <c r="AE326" s="1213"/>
      <c r="AF326" s="1213"/>
      <c r="AV326" s="1213"/>
      <c r="AW326" s="1213"/>
      <c r="AX326" s="1213"/>
      <c r="AY326" s="1213"/>
      <c r="AZ326" s="1213"/>
      <c r="BA326" s="1213"/>
      <c r="BC326" s="1213"/>
      <c r="BE326" s="1213"/>
      <c r="BF326" s="1213"/>
      <c r="BG326" s="1213"/>
    </row>
    <row r="327" spans="18:59" x14ac:dyDescent="0.35">
      <c r="R327" s="1213"/>
      <c r="S327" s="1213"/>
      <c r="W327" s="1213"/>
      <c r="X327" s="1213"/>
      <c r="AE327" s="1213"/>
      <c r="AF327" s="1213"/>
      <c r="AV327" s="1213"/>
      <c r="AW327" s="1213"/>
      <c r="AX327" s="1213"/>
      <c r="AY327" s="1213"/>
      <c r="AZ327" s="1213"/>
      <c r="BA327" s="1213"/>
      <c r="BC327" s="1213"/>
      <c r="BE327" s="1213"/>
      <c r="BF327" s="1213"/>
      <c r="BG327" s="1213"/>
    </row>
    <row r="328" spans="18:59" x14ac:dyDescent="0.35">
      <c r="R328" s="1213"/>
      <c r="S328" s="1213"/>
      <c r="W328" s="1213"/>
      <c r="X328" s="1213"/>
      <c r="AE328" s="1213"/>
      <c r="AF328" s="1213"/>
      <c r="AV328" s="1213"/>
      <c r="AW328" s="1213"/>
      <c r="AX328" s="1213"/>
      <c r="AY328" s="1213"/>
      <c r="AZ328" s="1213"/>
      <c r="BA328" s="1213"/>
      <c r="BC328" s="1213"/>
      <c r="BE328" s="1213"/>
      <c r="BF328" s="1213"/>
      <c r="BG328" s="1213"/>
    </row>
    <row r="329" spans="18:59" x14ac:dyDescent="0.35">
      <c r="R329" s="1213"/>
      <c r="S329" s="1213"/>
      <c r="W329" s="1213"/>
      <c r="X329" s="1213"/>
      <c r="AE329" s="1213"/>
      <c r="AF329" s="1213"/>
      <c r="AV329" s="1213"/>
      <c r="AW329" s="1213"/>
      <c r="AX329" s="1213"/>
      <c r="AY329" s="1213"/>
      <c r="AZ329" s="1213"/>
      <c r="BA329" s="1213"/>
      <c r="BC329" s="1213"/>
      <c r="BE329" s="1213"/>
      <c r="BF329" s="1213"/>
      <c r="BG329" s="1213"/>
    </row>
    <row r="330" spans="18:59" x14ac:dyDescent="0.35">
      <c r="R330" s="1213"/>
      <c r="S330" s="1213"/>
      <c r="W330" s="1213"/>
      <c r="X330" s="1213"/>
      <c r="AE330" s="1213"/>
      <c r="AF330" s="1213"/>
      <c r="AV330" s="1213"/>
      <c r="AW330" s="1213"/>
      <c r="AX330" s="1213"/>
      <c r="AY330" s="1213"/>
      <c r="AZ330" s="1213"/>
      <c r="BA330" s="1213"/>
      <c r="BC330" s="1213"/>
      <c r="BE330" s="1213"/>
      <c r="BF330" s="1213"/>
      <c r="BG330" s="1213"/>
    </row>
    <row r="331" spans="18:59" x14ac:dyDescent="0.35">
      <c r="R331" s="1213"/>
      <c r="S331" s="1213"/>
      <c r="W331" s="1213"/>
      <c r="X331" s="1213"/>
      <c r="AE331" s="1213"/>
      <c r="AF331" s="1213"/>
      <c r="AV331" s="1213"/>
      <c r="AW331" s="1213"/>
      <c r="AX331" s="1213"/>
      <c r="AY331" s="1213"/>
      <c r="AZ331" s="1213"/>
      <c r="BA331" s="1213"/>
      <c r="BC331" s="1213"/>
      <c r="BE331" s="1213"/>
      <c r="BF331" s="1213"/>
      <c r="BG331" s="1213"/>
    </row>
    <row r="332" spans="18:59" x14ac:dyDescent="0.35">
      <c r="R332" s="1213"/>
      <c r="S332" s="1213"/>
      <c r="W332" s="1213"/>
      <c r="X332" s="1213"/>
      <c r="AE332" s="1213"/>
      <c r="AF332" s="1213"/>
      <c r="AV332" s="1213"/>
      <c r="AW332" s="1213"/>
      <c r="AX332" s="1213"/>
      <c r="AY332" s="1213"/>
      <c r="AZ332" s="1213"/>
      <c r="BA332" s="1213"/>
      <c r="BC332" s="1213"/>
      <c r="BE332" s="1213"/>
      <c r="BF332" s="1213"/>
      <c r="BG332" s="1213"/>
    </row>
    <row r="333" spans="18:59" x14ac:dyDescent="0.35">
      <c r="R333" s="1213"/>
      <c r="S333" s="1213"/>
      <c r="W333" s="1213"/>
      <c r="X333" s="1213"/>
      <c r="AE333" s="1213"/>
      <c r="AF333" s="1213"/>
      <c r="AV333" s="1213"/>
      <c r="AW333" s="1213"/>
      <c r="AX333" s="1213"/>
      <c r="AY333" s="1213"/>
      <c r="AZ333" s="1213"/>
      <c r="BA333" s="1213"/>
      <c r="BC333" s="1213"/>
      <c r="BE333" s="1213"/>
      <c r="BF333" s="1213"/>
      <c r="BG333" s="1213"/>
    </row>
    <row r="334" spans="18:59" x14ac:dyDescent="0.35">
      <c r="R334" s="1213"/>
      <c r="S334" s="1213"/>
      <c r="W334" s="1213"/>
      <c r="X334" s="1213"/>
      <c r="AE334" s="1213"/>
      <c r="AF334" s="1213"/>
      <c r="AV334" s="1213"/>
      <c r="AW334" s="1213"/>
      <c r="AX334" s="1213"/>
      <c r="AY334" s="1213"/>
      <c r="AZ334" s="1213"/>
      <c r="BA334" s="1213"/>
      <c r="BC334" s="1213"/>
      <c r="BE334" s="1213"/>
      <c r="BF334" s="1213"/>
      <c r="BG334" s="1213"/>
    </row>
    <row r="335" spans="18:59" x14ac:dyDescent="0.35">
      <c r="R335" s="1213"/>
      <c r="S335" s="1213"/>
      <c r="W335" s="1213"/>
      <c r="X335" s="1213"/>
      <c r="AE335" s="1213"/>
      <c r="AF335" s="1213"/>
      <c r="AV335" s="1213"/>
      <c r="AW335" s="1213"/>
      <c r="AX335" s="1213"/>
      <c r="AY335" s="1213"/>
      <c r="AZ335" s="1213"/>
      <c r="BA335" s="1213"/>
      <c r="BC335" s="1213"/>
      <c r="BE335" s="1213"/>
      <c r="BF335" s="1213"/>
      <c r="BG335" s="1213"/>
    </row>
    <row r="336" spans="18:59" x14ac:dyDescent="0.35">
      <c r="R336" s="1213"/>
      <c r="S336" s="1213"/>
      <c r="W336" s="1213"/>
      <c r="X336" s="1213"/>
      <c r="AE336" s="1213"/>
      <c r="AF336" s="1213"/>
      <c r="AV336" s="1213"/>
      <c r="AW336" s="1213"/>
      <c r="AX336" s="1213"/>
      <c r="AY336" s="1213"/>
      <c r="AZ336" s="1213"/>
      <c r="BA336" s="1213"/>
      <c r="BC336" s="1213"/>
      <c r="BE336" s="1213"/>
      <c r="BF336" s="1213"/>
      <c r="BG336" s="1213"/>
    </row>
    <row r="337" spans="18:59" x14ac:dyDescent="0.35">
      <c r="R337" s="1213"/>
      <c r="S337" s="1213"/>
      <c r="W337" s="1213"/>
      <c r="X337" s="1213"/>
      <c r="AE337" s="1213"/>
      <c r="AF337" s="1213"/>
      <c r="AV337" s="1213"/>
      <c r="AW337" s="1213"/>
      <c r="AX337" s="1213"/>
      <c r="AY337" s="1213"/>
      <c r="AZ337" s="1213"/>
      <c r="BA337" s="1213"/>
      <c r="BC337" s="1213"/>
      <c r="BE337" s="1213"/>
      <c r="BF337" s="1213"/>
      <c r="BG337" s="1213"/>
    </row>
    <row r="338" spans="18:59" x14ac:dyDescent="0.35">
      <c r="R338" s="1213"/>
      <c r="S338" s="1213"/>
      <c r="W338" s="1213"/>
      <c r="X338" s="1213"/>
      <c r="AE338" s="1213"/>
      <c r="AF338" s="1213"/>
      <c r="AV338" s="1213"/>
      <c r="AW338" s="1213"/>
      <c r="AX338" s="1213"/>
      <c r="AY338" s="1213"/>
      <c r="AZ338" s="1213"/>
      <c r="BA338" s="1213"/>
      <c r="BC338" s="1213"/>
      <c r="BE338" s="1213"/>
      <c r="BF338" s="1213"/>
      <c r="BG338" s="1213"/>
    </row>
    <row r="339" spans="18:59" x14ac:dyDescent="0.35">
      <c r="R339" s="1213"/>
      <c r="S339" s="1213"/>
      <c r="W339" s="1213"/>
      <c r="X339" s="1213"/>
      <c r="AE339" s="1213"/>
      <c r="AF339" s="1213"/>
      <c r="AV339" s="1213"/>
      <c r="AW339" s="1213"/>
      <c r="AX339" s="1213"/>
      <c r="AY339" s="1213"/>
      <c r="AZ339" s="1213"/>
      <c r="BA339" s="1213"/>
      <c r="BC339" s="1213"/>
      <c r="BE339" s="1213"/>
      <c r="BF339" s="1213"/>
      <c r="BG339" s="1213"/>
    </row>
    <row r="340" spans="18:59" x14ac:dyDescent="0.35">
      <c r="R340" s="1213"/>
      <c r="S340" s="1213"/>
      <c r="W340" s="1213"/>
      <c r="X340" s="1213"/>
      <c r="AE340" s="1213"/>
      <c r="AF340" s="1213"/>
      <c r="AV340" s="1213"/>
      <c r="AW340" s="1213"/>
      <c r="AX340" s="1213"/>
      <c r="AY340" s="1213"/>
      <c r="AZ340" s="1213"/>
      <c r="BA340" s="1213"/>
      <c r="BC340" s="1213"/>
      <c r="BE340" s="1213"/>
      <c r="BF340" s="1213"/>
      <c r="BG340" s="1213"/>
    </row>
    <row r="341" spans="18:59" x14ac:dyDescent="0.35">
      <c r="R341" s="1213"/>
      <c r="S341" s="1213"/>
      <c r="W341" s="1213"/>
      <c r="X341" s="1213"/>
      <c r="AE341" s="1213"/>
      <c r="AF341" s="1213"/>
      <c r="AV341" s="1213"/>
      <c r="AW341" s="1213"/>
      <c r="AX341" s="1213"/>
      <c r="AY341" s="1213"/>
      <c r="AZ341" s="1213"/>
      <c r="BA341" s="1213"/>
      <c r="BC341" s="1213"/>
      <c r="BE341" s="1213"/>
      <c r="BF341" s="1213"/>
      <c r="BG341" s="1213"/>
    </row>
    <row r="342" spans="18:59" x14ac:dyDescent="0.35">
      <c r="R342" s="1213"/>
      <c r="S342" s="1213"/>
      <c r="W342" s="1213"/>
      <c r="X342" s="1213"/>
      <c r="AE342" s="1213"/>
      <c r="AF342" s="1213"/>
      <c r="AV342" s="1213"/>
      <c r="AW342" s="1213"/>
      <c r="AX342" s="1213"/>
      <c r="AY342" s="1213"/>
      <c r="AZ342" s="1213"/>
      <c r="BA342" s="1213"/>
      <c r="BC342" s="1213"/>
      <c r="BE342" s="1213"/>
      <c r="BF342" s="1213"/>
      <c r="BG342" s="1213"/>
    </row>
    <row r="343" spans="18:59" x14ac:dyDescent="0.35">
      <c r="R343" s="1213"/>
      <c r="S343" s="1213"/>
      <c r="W343" s="1213"/>
      <c r="X343" s="1213"/>
      <c r="AE343" s="1213"/>
      <c r="AF343" s="1213"/>
      <c r="AV343" s="1213"/>
      <c r="AW343" s="1213"/>
      <c r="AX343" s="1213"/>
      <c r="AY343" s="1213"/>
      <c r="AZ343" s="1213"/>
      <c r="BA343" s="1213"/>
      <c r="BC343" s="1213"/>
      <c r="BE343" s="1213"/>
      <c r="BF343" s="1213"/>
      <c r="BG343" s="1213"/>
    </row>
    <row r="344" spans="18:59" x14ac:dyDescent="0.35">
      <c r="R344" s="1213"/>
      <c r="S344" s="1213"/>
      <c r="W344" s="1213"/>
      <c r="X344" s="1213"/>
      <c r="AE344" s="1213"/>
      <c r="AF344" s="1213"/>
      <c r="AV344" s="1213"/>
      <c r="AW344" s="1213"/>
      <c r="AX344" s="1213"/>
      <c r="AY344" s="1213"/>
      <c r="AZ344" s="1213"/>
      <c r="BA344" s="1213"/>
      <c r="BC344" s="1213"/>
      <c r="BE344" s="1213"/>
      <c r="BF344" s="1213"/>
      <c r="BG344" s="1213"/>
    </row>
    <row r="345" spans="18:59" x14ac:dyDescent="0.35">
      <c r="R345" s="1213"/>
      <c r="S345" s="1213"/>
      <c r="W345" s="1213"/>
      <c r="X345" s="1213"/>
      <c r="AE345" s="1213"/>
      <c r="AF345" s="1213"/>
      <c r="AV345" s="1213"/>
      <c r="AW345" s="1213"/>
      <c r="AX345" s="1213"/>
      <c r="AY345" s="1213"/>
      <c r="AZ345" s="1213"/>
      <c r="BA345" s="1213"/>
      <c r="BC345" s="1213"/>
      <c r="BE345" s="1213"/>
      <c r="BF345" s="1213"/>
      <c r="BG345" s="1213"/>
    </row>
    <row r="346" spans="18:59" x14ac:dyDescent="0.35">
      <c r="R346" s="1213"/>
      <c r="S346" s="1213"/>
      <c r="W346" s="1213"/>
      <c r="X346" s="1213"/>
      <c r="AE346" s="1213"/>
      <c r="AF346" s="1213"/>
      <c r="AV346" s="1213"/>
      <c r="AW346" s="1213"/>
      <c r="AX346" s="1213"/>
      <c r="AY346" s="1213"/>
      <c r="AZ346" s="1213"/>
      <c r="BA346" s="1213"/>
      <c r="BC346" s="1213"/>
      <c r="BE346" s="1213"/>
      <c r="BF346" s="1213"/>
      <c r="BG346" s="1213"/>
    </row>
    <row r="347" spans="18:59" x14ac:dyDescent="0.35">
      <c r="R347" s="1213"/>
      <c r="S347" s="1213"/>
      <c r="W347" s="1213"/>
      <c r="X347" s="1213"/>
      <c r="AE347" s="1213"/>
      <c r="AF347" s="1213"/>
      <c r="AV347" s="1213"/>
      <c r="AW347" s="1213"/>
      <c r="AX347" s="1213"/>
      <c r="AY347" s="1213"/>
      <c r="AZ347" s="1213"/>
      <c r="BA347" s="1213"/>
      <c r="BC347" s="1213"/>
      <c r="BE347" s="1213"/>
      <c r="BF347" s="1213"/>
      <c r="BG347" s="1213"/>
    </row>
    <row r="348" spans="18:59" x14ac:dyDescent="0.35">
      <c r="R348" s="1213"/>
      <c r="S348" s="1213"/>
      <c r="W348" s="1213"/>
      <c r="X348" s="1213"/>
      <c r="AE348" s="1213"/>
      <c r="AF348" s="1213"/>
      <c r="AV348" s="1213"/>
      <c r="AW348" s="1213"/>
      <c r="AX348" s="1213"/>
      <c r="AY348" s="1213"/>
      <c r="AZ348" s="1213"/>
      <c r="BA348" s="1213"/>
      <c r="BC348" s="1213"/>
      <c r="BE348" s="1213"/>
      <c r="BF348" s="1213"/>
      <c r="BG348" s="1213"/>
    </row>
    <row r="349" spans="18:59" x14ac:dyDescent="0.35">
      <c r="R349" s="1213"/>
      <c r="S349" s="1213"/>
      <c r="W349" s="1213"/>
      <c r="X349" s="1213"/>
      <c r="AE349" s="1213"/>
      <c r="AF349" s="1213"/>
      <c r="AV349" s="1213"/>
      <c r="AW349" s="1213"/>
      <c r="AX349" s="1213"/>
      <c r="AY349" s="1213"/>
      <c r="AZ349" s="1213"/>
      <c r="BA349" s="1213"/>
      <c r="BC349" s="1213"/>
      <c r="BE349" s="1213"/>
      <c r="BF349" s="1213"/>
      <c r="BG349" s="1213"/>
    </row>
    <row r="350" spans="18:59" x14ac:dyDescent="0.35">
      <c r="R350" s="1213"/>
      <c r="S350" s="1213"/>
      <c r="W350" s="1213"/>
      <c r="X350" s="1213"/>
      <c r="AE350" s="1213"/>
      <c r="AF350" s="1213"/>
      <c r="AV350" s="1213"/>
      <c r="AW350" s="1213"/>
      <c r="AX350" s="1213"/>
      <c r="AY350" s="1213"/>
      <c r="AZ350" s="1213"/>
      <c r="BA350" s="1213"/>
      <c r="BC350" s="1213"/>
      <c r="BE350" s="1213"/>
      <c r="BF350" s="1213"/>
      <c r="BG350" s="1213"/>
    </row>
    <row r="351" spans="18:59" x14ac:dyDescent="0.35">
      <c r="R351" s="1213"/>
      <c r="S351" s="1213"/>
      <c r="W351" s="1213"/>
      <c r="X351" s="1213"/>
      <c r="AE351" s="1213"/>
      <c r="AF351" s="1213"/>
      <c r="AV351" s="1213"/>
      <c r="AW351" s="1213"/>
      <c r="AX351" s="1213"/>
      <c r="AY351" s="1213"/>
      <c r="AZ351" s="1213"/>
      <c r="BA351" s="1213"/>
      <c r="BC351" s="1213"/>
      <c r="BE351" s="1213"/>
      <c r="BF351" s="1213"/>
      <c r="BG351" s="1213"/>
    </row>
    <row r="352" spans="18:59" x14ac:dyDescent="0.35">
      <c r="R352" s="1213"/>
      <c r="S352" s="1213"/>
      <c r="W352" s="1213"/>
      <c r="X352" s="1213"/>
      <c r="AE352" s="1213"/>
      <c r="AF352" s="1213"/>
      <c r="AV352" s="1213"/>
      <c r="AW352" s="1213"/>
      <c r="AX352" s="1213"/>
      <c r="AY352" s="1213"/>
      <c r="AZ352" s="1213"/>
      <c r="BA352" s="1213"/>
      <c r="BC352" s="1213"/>
      <c r="BE352" s="1213"/>
      <c r="BF352" s="1213"/>
      <c r="BG352" s="1213"/>
    </row>
    <row r="353" spans="18:59" x14ac:dyDescent="0.35">
      <c r="R353" s="1213"/>
      <c r="S353" s="1213"/>
      <c r="W353" s="1213"/>
      <c r="X353" s="1213"/>
      <c r="AE353" s="1213"/>
      <c r="AF353" s="1213"/>
      <c r="AV353" s="1213"/>
      <c r="AW353" s="1213"/>
      <c r="AX353" s="1213"/>
      <c r="AY353" s="1213"/>
      <c r="AZ353" s="1213"/>
      <c r="BA353" s="1213"/>
      <c r="BC353" s="1213"/>
      <c r="BE353" s="1213"/>
      <c r="BF353" s="1213"/>
      <c r="BG353" s="1213"/>
    </row>
    <row r="354" spans="18:59" x14ac:dyDescent="0.35">
      <c r="R354" s="1213"/>
      <c r="S354" s="1213"/>
      <c r="W354" s="1213"/>
      <c r="X354" s="1213"/>
      <c r="AE354" s="1213"/>
      <c r="AF354" s="1213"/>
      <c r="AV354" s="1213"/>
      <c r="AW354" s="1213"/>
      <c r="AX354" s="1213"/>
      <c r="AY354" s="1213"/>
      <c r="AZ354" s="1213"/>
      <c r="BA354" s="1213"/>
      <c r="BC354" s="1213"/>
      <c r="BE354" s="1213"/>
      <c r="BF354" s="1213"/>
      <c r="BG354" s="1213"/>
    </row>
    <row r="355" spans="18:59" x14ac:dyDescent="0.35">
      <c r="R355" s="1213"/>
      <c r="S355" s="1213"/>
      <c r="W355" s="1213"/>
      <c r="X355" s="1213"/>
      <c r="AE355" s="1213"/>
      <c r="AF355" s="1213"/>
      <c r="AV355" s="1213"/>
      <c r="AW355" s="1213"/>
      <c r="AX355" s="1213"/>
      <c r="AY355" s="1213"/>
      <c r="AZ355" s="1213"/>
      <c r="BA355" s="1213"/>
      <c r="BC355" s="1213"/>
      <c r="BE355" s="1213"/>
      <c r="BF355" s="1213"/>
      <c r="BG355" s="1213"/>
    </row>
    <row r="356" spans="18:59" x14ac:dyDescent="0.35">
      <c r="R356" s="1213"/>
      <c r="S356" s="1213"/>
      <c r="W356" s="1213"/>
      <c r="X356" s="1213"/>
      <c r="AE356" s="1213"/>
      <c r="AF356" s="1213"/>
      <c r="AV356" s="1213"/>
      <c r="AW356" s="1213"/>
      <c r="AX356" s="1213"/>
      <c r="AY356" s="1213"/>
      <c r="AZ356" s="1213"/>
      <c r="BA356" s="1213"/>
      <c r="BC356" s="1213"/>
      <c r="BE356" s="1213"/>
      <c r="BF356" s="1213"/>
      <c r="BG356" s="1213"/>
    </row>
    <row r="357" spans="18:59" x14ac:dyDescent="0.35">
      <c r="R357" s="1213"/>
      <c r="S357" s="1213"/>
      <c r="W357" s="1213"/>
      <c r="X357" s="1213"/>
      <c r="AE357" s="1213"/>
      <c r="AF357" s="1213"/>
      <c r="AV357" s="1213"/>
      <c r="AW357" s="1213"/>
      <c r="AX357" s="1213"/>
      <c r="AY357" s="1213"/>
      <c r="AZ357" s="1213"/>
      <c r="BA357" s="1213"/>
      <c r="BC357" s="1213"/>
      <c r="BE357" s="1213"/>
      <c r="BF357" s="1213"/>
      <c r="BG357" s="1213"/>
    </row>
    <row r="358" spans="18:59" x14ac:dyDescent="0.35">
      <c r="R358" s="1213"/>
      <c r="S358" s="1213"/>
      <c r="W358" s="1213"/>
      <c r="X358" s="1213"/>
      <c r="AE358" s="1213"/>
      <c r="AF358" s="1213"/>
      <c r="AV358" s="1213"/>
      <c r="AW358" s="1213"/>
      <c r="AX358" s="1213"/>
      <c r="AY358" s="1213"/>
      <c r="AZ358" s="1213"/>
      <c r="BA358" s="1213"/>
      <c r="BC358" s="1213"/>
      <c r="BE358" s="1213"/>
      <c r="BF358" s="1213"/>
      <c r="BG358" s="1213"/>
    </row>
    <row r="359" spans="18:59" x14ac:dyDescent="0.35">
      <c r="R359" s="1213"/>
      <c r="S359" s="1213"/>
      <c r="W359" s="1213"/>
      <c r="X359" s="1213"/>
      <c r="AE359" s="1213"/>
      <c r="AF359" s="1213"/>
      <c r="AV359" s="1213"/>
      <c r="AW359" s="1213"/>
      <c r="AX359" s="1213"/>
      <c r="AY359" s="1213"/>
      <c r="AZ359" s="1213"/>
      <c r="BA359" s="1213"/>
      <c r="BC359" s="1213"/>
      <c r="BE359" s="1213"/>
      <c r="BF359" s="1213"/>
      <c r="BG359" s="1213"/>
    </row>
    <row r="360" spans="18:59" x14ac:dyDescent="0.35">
      <c r="R360" s="1213"/>
      <c r="S360" s="1213"/>
      <c r="W360" s="1213"/>
      <c r="X360" s="1213"/>
      <c r="AE360" s="1213"/>
      <c r="AF360" s="1213"/>
      <c r="AV360" s="1213"/>
      <c r="AW360" s="1213"/>
      <c r="AX360" s="1213"/>
      <c r="AY360" s="1213"/>
      <c r="AZ360" s="1213"/>
      <c r="BA360" s="1213"/>
      <c r="BC360" s="1213"/>
      <c r="BE360" s="1213"/>
      <c r="BF360" s="1213"/>
      <c r="BG360" s="1213"/>
    </row>
    <row r="361" spans="18:59" x14ac:dyDescent="0.35">
      <c r="R361" s="1213"/>
      <c r="S361" s="1213"/>
      <c r="W361" s="1213"/>
      <c r="X361" s="1213"/>
      <c r="AE361" s="1213"/>
      <c r="AF361" s="1213"/>
      <c r="AV361" s="1213"/>
      <c r="AW361" s="1213"/>
      <c r="AX361" s="1213"/>
      <c r="AY361" s="1213"/>
      <c r="AZ361" s="1213"/>
      <c r="BA361" s="1213"/>
      <c r="BC361" s="1213"/>
      <c r="BE361" s="1213"/>
      <c r="BF361" s="1213"/>
      <c r="BG361" s="1213"/>
    </row>
    <row r="362" spans="18:59" x14ac:dyDescent="0.35">
      <c r="R362" s="1213"/>
      <c r="S362" s="1213"/>
      <c r="W362" s="1213"/>
      <c r="X362" s="1213"/>
      <c r="AE362" s="1213"/>
      <c r="AF362" s="1213"/>
      <c r="AV362" s="1213"/>
      <c r="AW362" s="1213"/>
      <c r="AX362" s="1213"/>
      <c r="AY362" s="1213"/>
      <c r="AZ362" s="1213"/>
      <c r="BA362" s="1213"/>
      <c r="BC362" s="1213"/>
      <c r="BE362" s="1213"/>
      <c r="BF362" s="1213"/>
      <c r="BG362" s="1213"/>
    </row>
    <row r="363" spans="18:59" x14ac:dyDescent="0.35">
      <c r="R363" s="1213"/>
      <c r="S363" s="1213"/>
      <c r="W363" s="1213"/>
      <c r="X363" s="1213"/>
      <c r="AE363" s="1213"/>
      <c r="AF363" s="1213"/>
      <c r="AV363" s="1213"/>
      <c r="AW363" s="1213"/>
      <c r="AX363" s="1213"/>
      <c r="AY363" s="1213"/>
      <c r="AZ363" s="1213"/>
      <c r="BA363" s="1213"/>
      <c r="BC363" s="1213"/>
      <c r="BE363" s="1213"/>
      <c r="BF363" s="1213"/>
      <c r="BG363" s="1213"/>
    </row>
    <row r="364" spans="18:59" x14ac:dyDescent="0.35">
      <c r="R364" s="1213"/>
      <c r="S364" s="1213"/>
      <c r="W364" s="1213"/>
      <c r="X364" s="1213"/>
      <c r="AE364" s="1213"/>
      <c r="AF364" s="1213"/>
      <c r="AV364" s="1213"/>
      <c r="AW364" s="1213"/>
      <c r="AX364" s="1213"/>
      <c r="AY364" s="1213"/>
      <c r="AZ364" s="1213"/>
      <c r="BA364" s="1213"/>
      <c r="BC364" s="1213"/>
      <c r="BE364" s="1213"/>
      <c r="BF364" s="1213"/>
      <c r="BG364" s="1213"/>
    </row>
    <row r="365" spans="18:59" x14ac:dyDescent="0.35">
      <c r="R365" s="1213"/>
      <c r="S365" s="1213"/>
      <c r="W365" s="1213"/>
      <c r="X365" s="1213"/>
      <c r="AE365" s="1213"/>
      <c r="AF365" s="1213"/>
      <c r="AV365" s="1213"/>
      <c r="AW365" s="1213"/>
      <c r="AX365" s="1213"/>
      <c r="AY365" s="1213"/>
      <c r="AZ365" s="1213"/>
      <c r="BA365" s="1213"/>
      <c r="BC365" s="1213"/>
      <c r="BE365" s="1213"/>
      <c r="BF365" s="1213"/>
      <c r="BG365" s="1213"/>
    </row>
    <row r="366" spans="18:59" x14ac:dyDescent="0.35">
      <c r="R366" s="1213"/>
      <c r="S366" s="1213"/>
      <c r="W366" s="1213"/>
      <c r="X366" s="1213"/>
      <c r="AE366" s="1213"/>
      <c r="AF366" s="1213"/>
      <c r="AV366" s="1213"/>
      <c r="AW366" s="1213"/>
      <c r="AX366" s="1213"/>
      <c r="AY366" s="1213"/>
      <c r="AZ366" s="1213"/>
      <c r="BA366" s="1213"/>
      <c r="BC366" s="1213"/>
      <c r="BE366" s="1213"/>
      <c r="BF366" s="1213"/>
      <c r="BG366" s="1213"/>
    </row>
    <row r="367" spans="18:59" x14ac:dyDescent="0.35">
      <c r="R367" s="1213"/>
      <c r="S367" s="1213"/>
      <c r="W367" s="1213"/>
      <c r="X367" s="1213"/>
      <c r="AE367" s="1213"/>
      <c r="AF367" s="1213"/>
      <c r="AV367" s="1213"/>
      <c r="AW367" s="1213"/>
      <c r="AX367" s="1213"/>
      <c r="AY367" s="1213"/>
      <c r="AZ367" s="1213"/>
      <c r="BA367" s="1213"/>
      <c r="BC367" s="1213"/>
      <c r="BE367" s="1213"/>
      <c r="BF367" s="1213"/>
      <c r="BG367" s="1213"/>
    </row>
    <row r="368" spans="18:59" x14ac:dyDescent="0.35">
      <c r="R368" s="1213"/>
      <c r="S368" s="1213"/>
      <c r="W368" s="1213"/>
      <c r="X368" s="1213"/>
      <c r="AE368" s="1213"/>
      <c r="AF368" s="1213"/>
      <c r="AV368" s="1213"/>
      <c r="AW368" s="1213"/>
      <c r="AX368" s="1213"/>
      <c r="AY368" s="1213"/>
      <c r="AZ368" s="1213"/>
      <c r="BA368" s="1213"/>
      <c r="BC368" s="1213"/>
      <c r="BE368" s="1213"/>
      <c r="BF368" s="1213"/>
      <c r="BG368" s="1213"/>
    </row>
    <row r="369" spans="18:59" x14ac:dyDescent="0.35">
      <c r="R369" s="1213"/>
      <c r="S369" s="1213"/>
      <c r="W369" s="1213"/>
      <c r="X369" s="1213"/>
      <c r="AE369" s="1213"/>
      <c r="AF369" s="1213"/>
      <c r="AV369" s="1213"/>
      <c r="AW369" s="1213"/>
      <c r="AX369" s="1213"/>
      <c r="AY369" s="1213"/>
      <c r="AZ369" s="1213"/>
      <c r="BA369" s="1213"/>
      <c r="BC369" s="1213"/>
      <c r="BE369" s="1213"/>
      <c r="BF369" s="1213"/>
      <c r="BG369" s="1213"/>
    </row>
    <row r="370" spans="18:59" x14ac:dyDescent="0.35">
      <c r="R370" s="1213"/>
      <c r="S370" s="1213"/>
      <c r="W370" s="1213"/>
      <c r="X370" s="1213"/>
      <c r="AE370" s="1213"/>
      <c r="AF370" s="1213"/>
      <c r="AV370" s="1213"/>
      <c r="AW370" s="1213"/>
      <c r="AX370" s="1213"/>
      <c r="AY370" s="1213"/>
      <c r="AZ370" s="1213"/>
      <c r="BA370" s="1213"/>
      <c r="BC370" s="1213"/>
      <c r="BE370" s="1213"/>
      <c r="BF370" s="1213"/>
      <c r="BG370" s="1213"/>
    </row>
    <row r="371" spans="18:59" x14ac:dyDescent="0.35">
      <c r="R371" s="1213"/>
      <c r="S371" s="1213"/>
      <c r="W371" s="1213"/>
      <c r="X371" s="1213"/>
      <c r="AE371" s="1213"/>
      <c r="AF371" s="1213"/>
      <c r="AV371" s="1213"/>
      <c r="AW371" s="1213"/>
      <c r="AX371" s="1213"/>
      <c r="AY371" s="1213"/>
      <c r="AZ371" s="1213"/>
      <c r="BA371" s="1213"/>
      <c r="BC371" s="1213"/>
      <c r="BE371" s="1213"/>
      <c r="BF371" s="1213"/>
      <c r="BG371" s="1213"/>
    </row>
    <row r="372" spans="18:59" x14ac:dyDescent="0.35">
      <c r="R372" s="1213"/>
      <c r="S372" s="1213"/>
      <c r="W372" s="1213"/>
      <c r="X372" s="1213"/>
      <c r="AE372" s="1213"/>
      <c r="AF372" s="1213"/>
      <c r="AV372" s="1213"/>
      <c r="AW372" s="1213"/>
      <c r="AX372" s="1213"/>
      <c r="AY372" s="1213"/>
      <c r="AZ372" s="1213"/>
      <c r="BA372" s="1213"/>
      <c r="BC372" s="1213"/>
      <c r="BE372" s="1213"/>
      <c r="BF372" s="1213"/>
      <c r="BG372" s="1213"/>
    </row>
    <row r="373" spans="18:59" x14ac:dyDescent="0.35">
      <c r="R373" s="1213"/>
      <c r="S373" s="1213"/>
      <c r="W373" s="1213"/>
      <c r="X373" s="1213"/>
      <c r="AE373" s="1213"/>
      <c r="AF373" s="1213"/>
      <c r="AV373" s="1213"/>
      <c r="AW373" s="1213"/>
      <c r="AX373" s="1213"/>
      <c r="AY373" s="1213"/>
      <c r="AZ373" s="1213"/>
      <c r="BA373" s="1213"/>
      <c r="BC373" s="1213"/>
      <c r="BE373" s="1213"/>
      <c r="BF373" s="1213"/>
      <c r="BG373" s="1213"/>
    </row>
    <row r="374" spans="18:59" x14ac:dyDescent="0.35">
      <c r="R374" s="1213"/>
      <c r="S374" s="1213"/>
      <c r="W374" s="1213"/>
      <c r="X374" s="1213"/>
      <c r="AE374" s="1213"/>
      <c r="AF374" s="1213"/>
      <c r="AV374" s="1213"/>
      <c r="AW374" s="1213"/>
      <c r="AX374" s="1213"/>
      <c r="AY374" s="1213"/>
      <c r="AZ374" s="1213"/>
      <c r="BA374" s="1213"/>
      <c r="BC374" s="1213"/>
      <c r="BE374" s="1213"/>
      <c r="BF374" s="1213"/>
      <c r="BG374" s="1213"/>
    </row>
    <row r="375" spans="18:59" x14ac:dyDescent="0.35">
      <c r="R375" s="1213"/>
      <c r="S375" s="1213"/>
      <c r="W375" s="1213"/>
      <c r="X375" s="1213"/>
      <c r="AE375" s="1213"/>
      <c r="AF375" s="1213"/>
      <c r="AV375" s="1213"/>
      <c r="AW375" s="1213"/>
      <c r="AX375" s="1213"/>
      <c r="AY375" s="1213"/>
      <c r="AZ375" s="1213"/>
      <c r="BA375" s="1213"/>
      <c r="BC375" s="1213"/>
      <c r="BE375" s="1213"/>
      <c r="BF375" s="1213"/>
      <c r="BG375" s="1213"/>
    </row>
    <row r="376" spans="18:59" x14ac:dyDescent="0.35">
      <c r="R376" s="1213"/>
      <c r="S376" s="1213"/>
      <c r="W376" s="1213"/>
      <c r="X376" s="1213"/>
      <c r="AE376" s="1213"/>
      <c r="AF376" s="1213"/>
      <c r="AV376" s="1213"/>
      <c r="AW376" s="1213"/>
      <c r="AX376" s="1213"/>
      <c r="AY376" s="1213"/>
      <c r="AZ376" s="1213"/>
      <c r="BA376" s="1213"/>
      <c r="BC376" s="1213"/>
      <c r="BE376" s="1213"/>
      <c r="BF376" s="1213"/>
      <c r="BG376" s="1213"/>
    </row>
    <row r="377" spans="18:59" x14ac:dyDescent="0.35">
      <c r="R377" s="1213"/>
      <c r="S377" s="1213"/>
      <c r="W377" s="1213"/>
      <c r="X377" s="1213"/>
      <c r="AE377" s="1213"/>
      <c r="AF377" s="1213"/>
      <c r="AV377" s="1213"/>
      <c r="AW377" s="1213"/>
      <c r="AX377" s="1213"/>
      <c r="AY377" s="1213"/>
      <c r="AZ377" s="1213"/>
      <c r="BA377" s="1213"/>
      <c r="BC377" s="1213"/>
      <c r="BE377" s="1213"/>
      <c r="BF377" s="1213"/>
      <c r="BG377" s="1213"/>
    </row>
    <row r="378" spans="18:59" x14ac:dyDescent="0.35">
      <c r="R378" s="1213"/>
      <c r="S378" s="1213"/>
      <c r="W378" s="1213"/>
      <c r="X378" s="1213"/>
      <c r="AE378" s="1213"/>
      <c r="AF378" s="1213"/>
      <c r="AV378" s="1213"/>
      <c r="AW378" s="1213"/>
      <c r="AX378" s="1213"/>
      <c r="AY378" s="1213"/>
      <c r="AZ378" s="1213"/>
      <c r="BA378" s="1213"/>
      <c r="BC378" s="1213"/>
      <c r="BE378" s="1213"/>
      <c r="BF378" s="1213"/>
      <c r="BG378" s="1213"/>
    </row>
    <row r="379" spans="18:59" x14ac:dyDescent="0.35">
      <c r="R379" s="1213"/>
      <c r="S379" s="1213"/>
      <c r="W379" s="1213"/>
      <c r="X379" s="1213"/>
      <c r="AE379" s="1213"/>
      <c r="AF379" s="1213"/>
      <c r="AV379" s="1213"/>
      <c r="AW379" s="1213"/>
      <c r="AX379" s="1213"/>
      <c r="AY379" s="1213"/>
      <c r="AZ379" s="1213"/>
      <c r="BA379" s="1213"/>
      <c r="BC379" s="1213"/>
      <c r="BE379" s="1213"/>
      <c r="BF379" s="1213"/>
      <c r="BG379" s="1213"/>
    </row>
    <row r="380" spans="18:59" x14ac:dyDescent="0.35">
      <c r="R380" s="1213"/>
      <c r="S380" s="1213"/>
      <c r="W380" s="1213"/>
      <c r="X380" s="1213"/>
      <c r="AE380" s="1213"/>
      <c r="AF380" s="1213"/>
      <c r="AV380" s="1213"/>
      <c r="AW380" s="1213"/>
      <c r="AX380" s="1213"/>
      <c r="AY380" s="1213"/>
      <c r="AZ380" s="1213"/>
      <c r="BA380" s="1213"/>
      <c r="BC380" s="1213"/>
      <c r="BE380" s="1213"/>
      <c r="BF380" s="1213"/>
      <c r="BG380" s="1213"/>
    </row>
    <row r="381" spans="18:59" x14ac:dyDescent="0.35">
      <c r="R381" s="1213"/>
      <c r="S381" s="1213"/>
      <c r="W381" s="1213"/>
      <c r="X381" s="1213"/>
      <c r="AE381" s="1213"/>
      <c r="AF381" s="1213"/>
      <c r="AV381" s="1213"/>
      <c r="AW381" s="1213"/>
      <c r="AX381" s="1213"/>
      <c r="AY381" s="1213"/>
      <c r="AZ381" s="1213"/>
      <c r="BA381" s="1213"/>
      <c r="BC381" s="1213"/>
      <c r="BE381" s="1213"/>
      <c r="BF381" s="1213"/>
      <c r="BG381" s="1213"/>
    </row>
    <row r="382" spans="18:59" x14ac:dyDescent="0.35">
      <c r="R382" s="1213"/>
      <c r="S382" s="1213"/>
      <c r="W382" s="1213"/>
      <c r="X382" s="1213"/>
      <c r="AE382" s="1213"/>
      <c r="AF382" s="1213"/>
      <c r="AV382" s="1213"/>
      <c r="AW382" s="1213"/>
      <c r="AX382" s="1213"/>
      <c r="AY382" s="1213"/>
      <c r="AZ382" s="1213"/>
      <c r="BA382" s="1213"/>
      <c r="BC382" s="1213"/>
      <c r="BE382" s="1213"/>
      <c r="BF382" s="1213"/>
      <c r="BG382" s="1213"/>
    </row>
    <row r="383" spans="18:59" x14ac:dyDescent="0.35">
      <c r="R383" s="1213"/>
      <c r="S383" s="1213"/>
      <c r="W383" s="1213"/>
      <c r="X383" s="1213"/>
      <c r="AE383" s="1213"/>
      <c r="AF383" s="1213"/>
      <c r="AV383" s="1213"/>
      <c r="AW383" s="1213"/>
      <c r="AX383" s="1213"/>
      <c r="AY383" s="1213"/>
      <c r="AZ383" s="1213"/>
      <c r="BA383" s="1213"/>
      <c r="BC383" s="1213"/>
      <c r="BE383" s="1213"/>
      <c r="BF383" s="1213"/>
      <c r="BG383" s="1213"/>
    </row>
    <row r="384" spans="18:59" x14ac:dyDescent="0.35">
      <c r="R384" s="1213"/>
      <c r="S384" s="1213"/>
      <c r="W384" s="1213"/>
      <c r="X384" s="1213"/>
      <c r="AE384" s="1213"/>
      <c r="AF384" s="1213"/>
      <c r="AV384" s="1213"/>
      <c r="AW384" s="1213"/>
      <c r="AX384" s="1213"/>
      <c r="AY384" s="1213"/>
      <c r="AZ384" s="1213"/>
      <c r="BA384" s="1213"/>
      <c r="BC384" s="1213"/>
      <c r="BE384" s="1213"/>
      <c r="BF384" s="1213"/>
      <c r="BG384" s="1213"/>
    </row>
    <row r="385" spans="18:59" x14ac:dyDescent="0.35">
      <c r="R385" s="1213"/>
      <c r="S385" s="1213"/>
      <c r="W385" s="1213"/>
      <c r="X385" s="1213"/>
      <c r="AE385" s="1213"/>
      <c r="AF385" s="1213"/>
      <c r="AV385" s="1213"/>
      <c r="AW385" s="1213"/>
      <c r="AX385" s="1213"/>
      <c r="AY385" s="1213"/>
      <c r="AZ385" s="1213"/>
      <c r="BA385" s="1213"/>
      <c r="BC385" s="1213"/>
      <c r="BE385" s="1213"/>
      <c r="BF385" s="1213"/>
      <c r="BG385" s="1213"/>
    </row>
    <row r="386" spans="18:59" x14ac:dyDescent="0.35">
      <c r="R386" s="1213"/>
      <c r="S386" s="1213"/>
      <c r="W386" s="1213"/>
      <c r="X386" s="1213"/>
      <c r="AE386" s="1213"/>
      <c r="AF386" s="1213"/>
      <c r="AV386" s="1213"/>
      <c r="AW386" s="1213"/>
      <c r="AX386" s="1213"/>
      <c r="AY386" s="1213"/>
      <c r="AZ386" s="1213"/>
      <c r="BA386" s="1213"/>
      <c r="BC386" s="1213"/>
      <c r="BE386" s="1213"/>
      <c r="BF386" s="1213"/>
      <c r="BG386" s="1213"/>
    </row>
    <row r="387" spans="18:59" x14ac:dyDescent="0.35">
      <c r="R387" s="1213"/>
      <c r="S387" s="1213"/>
      <c r="W387" s="1213"/>
      <c r="X387" s="1213"/>
      <c r="AE387" s="1213"/>
      <c r="AF387" s="1213"/>
      <c r="AV387" s="1213"/>
      <c r="AW387" s="1213"/>
      <c r="AX387" s="1213"/>
      <c r="AY387" s="1213"/>
      <c r="AZ387" s="1213"/>
      <c r="BA387" s="1213"/>
      <c r="BC387" s="1213"/>
      <c r="BE387" s="1213"/>
      <c r="BF387" s="1213"/>
      <c r="BG387" s="1213"/>
    </row>
    <row r="388" spans="18:59" x14ac:dyDescent="0.35">
      <c r="R388" s="1213"/>
      <c r="S388" s="1213"/>
      <c r="W388" s="1213"/>
      <c r="X388" s="1213"/>
      <c r="AE388" s="1213"/>
      <c r="AF388" s="1213"/>
      <c r="AV388" s="1213"/>
      <c r="AW388" s="1213"/>
      <c r="AX388" s="1213"/>
      <c r="AY388" s="1213"/>
      <c r="AZ388" s="1213"/>
      <c r="BA388" s="1213"/>
      <c r="BC388" s="1213"/>
      <c r="BE388" s="1213"/>
      <c r="BF388" s="1213"/>
      <c r="BG388" s="1213"/>
    </row>
    <row r="389" spans="18:59" x14ac:dyDescent="0.35">
      <c r="R389" s="1213"/>
      <c r="S389" s="1213"/>
      <c r="W389" s="1213"/>
      <c r="X389" s="1213"/>
      <c r="AE389" s="1213"/>
      <c r="AF389" s="1213"/>
      <c r="AV389" s="1213"/>
      <c r="AW389" s="1213"/>
      <c r="AX389" s="1213"/>
      <c r="AY389" s="1213"/>
      <c r="AZ389" s="1213"/>
      <c r="BA389" s="1213"/>
      <c r="BC389" s="1213"/>
      <c r="BE389" s="1213"/>
      <c r="BF389" s="1213"/>
      <c r="BG389" s="1213"/>
    </row>
    <row r="390" spans="18:59" x14ac:dyDescent="0.35">
      <c r="R390" s="1213"/>
      <c r="S390" s="1213"/>
      <c r="W390" s="1213"/>
      <c r="X390" s="1213"/>
      <c r="AE390" s="1213"/>
      <c r="AF390" s="1213"/>
      <c r="AV390" s="1213"/>
      <c r="AW390" s="1213"/>
      <c r="AX390" s="1213"/>
      <c r="AY390" s="1213"/>
      <c r="AZ390" s="1213"/>
      <c r="BA390" s="1213"/>
      <c r="BC390" s="1213"/>
      <c r="BE390" s="1213"/>
      <c r="BF390" s="1213"/>
      <c r="BG390" s="1213"/>
    </row>
    <row r="391" spans="18:59" x14ac:dyDescent="0.35">
      <c r="R391" s="1213"/>
      <c r="S391" s="1213"/>
      <c r="W391" s="1213"/>
      <c r="X391" s="1213"/>
      <c r="AE391" s="1213"/>
      <c r="AF391" s="1213"/>
      <c r="AV391" s="1213"/>
      <c r="AW391" s="1213"/>
      <c r="AX391" s="1213"/>
      <c r="AY391" s="1213"/>
      <c r="AZ391" s="1213"/>
      <c r="BA391" s="1213"/>
      <c r="BC391" s="1213"/>
      <c r="BE391" s="1213"/>
      <c r="BF391" s="1213"/>
      <c r="BG391" s="1213"/>
    </row>
    <row r="392" spans="18:59" x14ac:dyDescent="0.35">
      <c r="R392" s="1213"/>
      <c r="S392" s="1213"/>
      <c r="W392" s="1213"/>
      <c r="X392" s="1213"/>
      <c r="AE392" s="1213"/>
      <c r="AF392" s="1213"/>
      <c r="AV392" s="1213"/>
      <c r="AW392" s="1213"/>
      <c r="AX392" s="1213"/>
      <c r="AY392" s="1213"/>
      <c r="AZ392" s="1213"/>
      <c r="BA392" s="1213"/>
      <c r="BC392" s="1213"/>
      <c r="BE392" s="1213"/>
      <c r="BF392" s="1213"/>
      <c r="BG392" s="1213"/>
    </row>
    <row r="393" spans="18:59" x14ac:dyDescent="0.35">
      <c r="R393" s="1213"/>
      <c r="S393" s="1213"/>
      <c r="W393" s="1213"/>
      <c r="X393" s="1213"/>
      <c r="AE393" s="1213"/>
      <c r="AF393" s="1213"/>
      <c r="AV393" s="1213"/>
      <c r="AW393" s="1213"/>
      <c r="AX393" s="1213"/>
      <c r="AY393" s="1213"/>
      <c r="AZ393" s="1213"/>
      <c r="BA393" s="1213"/>
      <c r="BC393" s="1213"/>
      <c r="BE393" s="1213"/>
      <c r="BF393" s="1213"/>
      <c r="BG393" s="1213"/>
    </row>
    <row r="394" spans="18:59" x14ac:dyDescent="0.35">
      <c r="R394" s="1213"/>
      <c r="S394" s="1213"/>
      <c r="W394" s="1213"/>
      <c r="X394" s="1213"/>
      <c r="AE394" s="1213"/>
      <c r="AF394" s="1213"/>
      <c r="AV394" s="1213"/>
      <c r="AW394" s="1213"/>
      <c r="AX394" s="1213"/>
      <c r="AY394" s="1213"/>
      <c r="AZ394" s="1213"/>
      <c r="BA394" s="1213"/>
      <c r="BC394" s="1213"/>
      <c r="BE394" s="1213"/>
      <c r="BF394" s="1213"/>
      <c r="BG394" s="1213"/>
    </row>
    <row r="395" spans="18:59" x14ac:dyDescent="0.35">
      <c r="R395" s="1213"/>
      <c r="S395" s="1213"/>
      <c r="W395" s="1213"/>
      <c r="X395" s="1213"/>
      <c r="AE395" s="1213"/>
      <c r="AF395" s="1213"/>
      <c r="AV395" s="1213"/>
      <c r="AW395" s="1213"/>
      <c r="AX395" s="1213"/>
      <c r="AY395" s="1213"/>
      <c r="AZ395" s="1213"/>
      <c r="BA395" s="1213"/>
      <c r="BC395" s="1213"/>
      <c r="BE395" s="1213"/>
      <c r="BF395" s="1213"/>
      <c r="BG395" s="1213"/>
    </row>
    <row r="396" spans="18:59" x14ac:dyDescent="0.35">
      <c r="R396" s="1213"/>
      <c r="S396" s="1213"/>
      <c r="W396" s="1213"/>
      <c r="X396" s="1213"/>
      <c r="AE396" s="1213"/>
      <c r="AF396" s="1213"/>
      <c r="AV396" s="1213"/>
      <c r="AW396" s="1213"/>
      <c r="AX396" s="1213"/>
      <c r="AY396" s="1213"/>
      <c r="AZ396" s="1213"/>
      <c r="BA396" s="1213"/>
      <c r="BC396" s="1213"/>
      <c r="BE396" s="1213"/>
      <c r="BF396" s="1213"/>
      <c r="BG396" s="1213"/>
    </row>
    <row r="397" spans="18:59" x14ac:dyDescent="0.35">
      <c r="R397" s="1213"/>
      <c r="S397" s="1213"/>
      <c r="W397" s="1213"/>
      <c r="X397" s="1213"/>
      <c r="AE397" s="1213"/>
      <c r="AF397" s="1213"/>
      <c r="AV397" s="1213"/>
      <c r="AW397" s="1213"/>
      <c r="AX397" s="1213"/>
      <c r="AY397" s="1213"/>
      <c r="AZ397" s="1213"/>
      <c r="BA397" s="1213"/>
      <c r="BC397" s="1213"/>
      <c r="BE397" s="1213"/>
      <c r="BF397" s="1213"/>
      <c r="BG397" s="1213"/>
    </row>
    <row r="398" spans="18:59" x14ac:dyDescent="0.35">
      <c r="R398" s="1213"/>
      <c r="S398" s="1213"/>
      <c r="W398" s="1213"/>
      <c r="X398" s="1213"/>
      <c r="AE398" s="1213"/>
      <c r="AF398" s="1213"/>
      <c r="AV398" s="1213"/>
      <c r="AW398" s="1213"/>
      <c r="AX398" s="1213"/>
      <c r="AY398" s="1213"/>
      <c r="AZ398" s="1213"/>
      <c r="BA398" s="1213"/>
      <c r="BC398" s="1213"/>
      <c r="BE398" s="1213"/>
      <c r="BF398" s="1213"/>
      <c r="BG398" s="1213"/>
    </row>
    <row r="399" spans="18:59" x14ac:dyDescent="0.35">
      <c r="R399" s="1213"/>
      <c r="S399" s="1213"/>
      <c r="W399" s="1213"/>
      <c r="X399" s="1213"/>
      <c r="AE399" s="1213"/>
      <c r="AF399" s="1213"/>
      <c r="AV399" s="1213"/>
      <c r="AW399" s="1213"/>
      <c r="AX399" s="1213"/>
      <c r="AY399" s="1213"/>
      <c r="AZ399" s="1213"/>
      <c r="BA399" s="1213"/>
      <c r="BC399" s="1213"/>
      <c r="BE399" s="1213"/>
      <c r="BF399" s="1213"/>
      <c r="BG399" s="1213"/>
    </row>
    <row r="400" spans="18:59" x14ac:dyDescent="0.35">
      <c r="R400" s="1213"/>
      <c r="S400" s="1213"/>
      <c r="W400" s="1213"/>
      <c r="X400" s="1213"/>
      <c r="AE400" s="1213"/>
      <c r="AF400" s="1213"/>
      <c r="AV400" s="1213"/>
      <c r="AW400" s="1213"/>
      <c r="AX400" s="1213"/>
      <c r="AY400" s="1213"/>
      <c r="AZ400" s="1213"/>
      <c r="BA400" s="1213"/>
      <c r="BC400" s="1213"/>
      <c r="BE400" s="1213"/>
      <c r="BF400" s="1213"/>
      <c r="BG400" s="1213"/>
    </row>
    <row r="401" spans="18:59" x14ac:dyDescent="0.35">
      <c r="R401" s="1213"/>
      <c r="S401" s="1213"/>
      <c r="W401" s="1213"/>
      <c r="X401" s="1213"/>
      <c r="AE401" s="1213"/>
      <c r="AF401" s="1213"/>
      <c r="AV401" s="1213"/>
      <c r="AW401" s="1213"/>
      <c r="AX401" s="1213"/>
      <c r="AY401" s="1213"/>
      <c r="AZ401" s="1213"/>
      <c r="BA401" s="1213"/>
      <c r="BC401" s="1213"/>
      <c r="BE401" s="1213"/>
      <c r="BF401" s="1213"/>
      <c r="BG401" s="1213"/>
    </row>
    <row r="402" spans="18:59" x14ac:dyDescent="0.35">
      <c r="R402" s="1213"/>
      <c r="S402" s="1213"/>
      <c r="W402" s="1213"/>
      <c r="X402" s="1213"/>
      <c r="AE402" s="1213"/>
      <c r="AF402" s="1213"/>
      <c r="AV402" s="1213"/>
      <c r="AW402" s="1213"/>
      <c r="AX402" s="1213"/>
      <c r="AY402" s="1213"/>
      <c r="AZ402" s="1213"/>
      <c r="BA402" s="1213"/>
      <c r="BC402" s="1213"/>
      <c r="BE402" s="1213"/>
      <c r="BF402" s="1213"/>
      <c r="BG402" s="1213"/>
    </row>
    <row r="403" spans="18:59" x14ac:dyDescent="0.35">
      <c r="R403" s="1213"/>
      <c r="S403" s="1213"/>
      <c r="W403" s="1213"/>
      <c r="X403" s="1213"/>
      <c r="AE403" s="1213"/>
      <c r="AF403" s="1213"/>
      <c r="AV403" s="1213"/>
      <c r="AW403" s="1213"/>
      <c r="AX403" s="1213"/>
      <c r="AY403" s="1213"/>
      <c r="AZ403" s="1213"/>
      <c r="BA403" s="1213"/>
      <c r="BC403" s="1213"/>
      <c r="BE403" s="1213"/>
      <c r="BF403" s="1213"/>
      <c r="BG403" s="1213"/>
    </row>
    <row r="404" spans="18:59" x14ac:dyDescent="0.35">
      <c r="R404" s="1213"/>
      <c r="S404" s="1213"/>
      <c r="W404" s="1213"/>
      <c r="X404" s="1213"/>
      <c r="AE404" s="1213"/>
      <c r="AF404" s="1213"/>
      <c r="AV404" s="1213"/>
      <c r="AW404" s="1213"/>
      <c r="AX404" s="1213"/>
      <c r="AY404" s="1213"/>
      <c r="AZ404" s="1213"/>
      <c r="BA404" s="1213"/>
      <c r="BC404" s="1213"/>
      <c r="BE404" s="1213"/>
      <c r="BF404" s="1213"/>
      <c r="BG404" s="1213"/>
    </row>
    <row r="405" spans="18:59" x14ac:dyDescent="0.35">
      <c r="R405" s="1213"/>
      <c r="S405" s="1213"/>
      <c r="W405" s="1213"/>
      <c r="X405" s="1213"/>
      <c r="AE405" s="1213"/>
      <c r="AF405" s="1213"/>
      <c r="AV405" s="1213"/>
      <c r="AW405" s="1213"/>
      <c r="AX405" s="1213"/>
      <c r="AY405" s="1213"/>
      <c r="AZ405" s="1213"/>
      <c r="BA405" s="1213"/>
      <c r="BC405" s="1213"/>
      <c r="BE405" s="1213"/>
      <c r="BF405" s="1213"/>
      <c r="BG405" s="1213"/>
    </row>
    <row r="406" spans="18:59" x14ac:dyDescent="0.35">
      <c r="R406" s="1213"/>
      <c r="S406" s="1213"/>
      <c r="W406" s="1213"/>
      <c r="X406" s="1213"/>
      <c r="AE406" s="1213"/>
      <c r="AF406" s="1213"/>
      <c r="AV406" s="1213"/>
      <c r="AW406" s="1213"/>
      <c r="AX406" s="1213"/>
      <c r="AY406" s="1213"/>
      <c r="AZ406" s="1213"/>
      <c r="BA406" s="1213"/>
      <c r="BC406" s="1213"/>
      <c r="BE406" s="1213"/>
      <c r="BF406" s="1213"/>
      <c r="BG406" s="1213"/>
    </row>
    <row r="407" spans="18:59" x14ac:dyDescent="0.35">
      <c r="R407" s="1213"/>
      <c r="S407" s="1213"/>
      <c r="W407" s="1213"/>
      <c r="X407" s="1213"/>
      <c r="AE407" s="1213"/>
      <c r="AF407" s="1213"/>
      <c r="AV407" s="1213"/>
      <c r="AW407" s="1213"/>
      <c r="AX407" s="1213"/>
      <c r="AY407" s="1213"/>
      <c r="AZ407" s="1213"/>
      <c r="BA407" s="1213"/>
      <c r="BC407" s="1213"/>
      <c r="BE407" s="1213"/>
      <c r="BF407" s="1213"/>
      <c r="BG407" s="1213"/>
    </row>
    <row r="408" spans="18:59" x14ac:dyDescent="0.35">
      <c r="R408" s="1213"/>
      <c r="S408" s="1213"/>
      <c r="W408" s="1213"/>
      <c r="X408" s="1213"/>
      <c r="AE408" s="1213"/>
      <c r="AF408" s="1213"/>
      <c r="AV408" s="1213"/>
      <c r="AW408" s="1213"/>
      <c r="AX408" s="1213"/>
      <c r="AY408" s="1213"/>
      <c r="AZ408" s="1213"/>
      <c r="BA408" s="1213"/>
      <c r="BC408" s="1213"/>
      <c r="BE408" s="1213"/>
      <c r="BF408" s="1213"/>
      <c r="BG408" s="1213"/>
    </row>
    <row r="409" spans="18:59" x14ac:dyDescent="0.35">
      <c r="R409" s="1213"/>
      <c r="S409" s="1213"/>
      <c r="W409" s="1213"/>
      <c r="X409" s="1213"/>
      <c r="AE409" s="1213"/>
      <c r="AF409" s="1213"/>
      <c r="AV409" s="1213"/>
      <c r="AW409" s="1213"/>
      <c r="AX409" s="1213"/>
      <c r="AY409" s="1213"/>
      <c r="AZ409" s="1213"/>
      <c r="BA409" s="1213"/>
      <c r="BC409" s="1213"/>
      <c r="BE409" s="1213"/>
      <c r="BF409" s="1213"/>
      <c r="BG409" s="1213"/>
    </row>
    <row r="410" spans="18:59" x14ac:dyDescent="0.35">
      <c r="R410" s="1213"/>
      <c r="S410" s="1213"/>
      <c r="W410" s="1213"/>
      <c r="X410" s="1213"/>
      <c r="AE410" s="1213"/>
      <c r="AF410" s="1213"/>
      <c r="AV410" s="1213"/>
      <c r="AW410" s="1213"/>
      <c r="AX410" s="1213"/>
      <c r="AY410" s="1213"/>
      <c r="AZ410" s="1213"/>
      <c r="BA410" s="1213"/>
      <c r="BC410" s="1213"/>
      <c r="BE410" s="1213"/>
      <c r="BF410" s="1213"/>
      <c r="BG410" s="1213"/>
    </row>
    <row r="411" spans="18:59" x14ac:dyDescent="0.35">
      <c r="R411" s="1213"/>
      <c r="S411" s="1213"/>
      <c r="W411" s="1213"/>
      <c r="X411" s="1213"/>
      <c r="AE411" s="1213"/>
      <c r="AF411" s="1213"/>
      <c r="AV411" s="1213"/>
      <c r="AW411" s="1213"/>
      <c r="AX411" s="1213"/>
      <c r="AY411" s="1213"/>
      <c r="AZ411" s="1213"/>
      <c r="BA411" s="1213"/>
      <c r="BC411" s="1213"/>
      <c r="BE411" s="1213"/>
      <c r="BF411" s="1213"/>
      <c r="BG411" s="1213"/>
    </row>
    <row r="412" spans="18:59" x14ac:dyDescent="0.35">
      <c r="R412" s="1213"/>
      <c r="S412" s="1213"/>
      <c r="W412" s="1213"/>
      <c r="X412" s="1213"/>
      <c r="AE412" s="1213"/>
      <c r="AF412" s="1213"/>
      <c r="AV412" s="1213"/>
      <c r="AW412" s="1213"/>
      <c r="AX412" s="1213"/>
      <c r="AY412" s="1213"/>
      <c r="AZ412" s="1213"/>
      <c r="BA412" s="1213"/>
      <c r="BC412" s="1213"/>
      <c r="BE412" s="1213"/>
      <c r="BF412" s="1213"/>
      <c r="BG412" s="1213"/>
    </row>
    <row r="413" spans="18:59" x14ac:dyDescent="0.35">
      <c r="R413" s="1213"/>
      <c r="S413" s="1213"/>
      <c r="W413" s="1213"/>
      <c r="X413" s="1213"/>
      <c r="AE413" s="1213"/>
      <c r="AF413" s="1213"/>
      <c r="AV413" s="1213"/>
      <c r="AW413" s="1213"/>
      <c r="AX413" s="1213"/>
      <c r="AY413" s="1213"/>
      <c r="AZ413" s="1213"/>
      <c r="BA413" s="1213"/>
      <c r="BC413" s="1213"/>
      <c r="BE413" s="1213"/>
      <c r="BF413" s="1213"/>
      <c r="BG413" s="1213"/>
    </row>
    <row r="414" spans="18:59" x14ac:dyDescent="0.35">
      <c r="R414" s="1213"/>
      <c r="S414" s="1213"/>
      <c r="W414" s="1213"/>
      <c r="X414" s="1213"/>
      <c r="AE414" s="1213"/>
      <c r="AF414" s="1213"/>
      <c r="AV414" s="1213"/>
      <c r="AW414" s="1213"/>
      <c r="AX414" s="1213"/>
      <c r="AY414" s="1213"/>
      <c r="AZ414" s="1213"/>
      <c r="BA414" s="1213"/>
      <c r="BC414" s="1213"/>
      <c r="BE414" s="1213"/>
      <c r="BF414" s="1213"/>
      <c r="BG414" s="1213"/>
    </row>
    <row r="415" spans="18:59" x14ac:dyDescent="0.35">
      <c r="R415" s="1213"/>
      <c r="S415" s="1213"/>
      <c r="W415" s="1213"/>
      <c r="X415" s="1213"/>
      <c r="AE415" s="1213"/>
      <c r="AF415" s="1213"/>
      <c r="AV415" s="1213"/>
      <c r="AW415" s="1213"/>
      <c r="AX415" s="1213"/>
      <c r="AY415" s="1213"/>
      <c r="AZ415" s="1213"/>
      <c r="BA415" s="1213"/>
      <c r="BC415" s="1213"/>
      <c r="BE415" s="1213"/>
      <c r="BF415" s="1213"/>
      <c r="BG415" s="1213"/>
    </row>
    <row r="416" spans="18:59" x14ac:dyDescent="0.35">
      <c r="R416" s="1213"/>
      <c r="S416" s="1213"/>
      <c r="W416" s="1213"/>
      <c r="X416" s="1213"/>
      <c r="AE416" s="1213"/>
      <c r="AF416" s="1213"/>
      <c r="AV416" s="1213"/>
      <c r="AW416" s="1213"/>
      <c r="AX416" s="1213"/>
      <c r="AY416" s="1213"/>
      <c r="AZ416" s="1213"/>
      <c r="BA416" s="1213"/>
      <c r="BC416" s="1213"/>
      <c r="BE416" s="1213"/>
      <c r="BF416" s="1213"/>
      <c r="BG416" s="1213"/>
    </row>
    <row r="417" spans="18:59" x14ac:dyDescent="0.35">
      <c r="R417" s="1213"/>
      <c r="S417" s="1213"/>
      <c r="W417" s="1213"/>
      <c r="X417" s="1213"/>
      <c r="AE417" s="1213"/>
      <c r="AF417" s="1213"/>
      <c r="AV417" s="1213"/>
      <c r="AW417" s="1213"/>
      <c r="AX417" s="1213"/>
      <c r="AY417" s="1213"/>
      <c r="AZ417" s="1213"/>
      <c r="BA417" s="1213"/>
      <c r="BC417" s="1213"/>
      <c r="BE417" s="1213"/>
      <c r="BF417" s="1213"/>
      <c r="BG417" s="1213"/>
    </row>
    <row r="418" spans="18:59" x14ac:dyDescent="0.35">
      <c r="R418" s="1213"/>
      <c r="S418" s="1213"/>
      <c r="W418" s="1213"/>
      <c r="X418" s="1213"/>
      <c r="AE418" s="1213"/>
      <c r="AF418" s="1213"/>
      <c r="AV418" s="1213"/>
      <c r="AW418" s="1213"/>
      <c r="AX418" s="1213"/>
      <c r="AY418" s="1213"/>
      <c r="AZ418" s="1213"/>
      <c r="BA418" s="1213"/>
      <c r="BC418" s="1213"/>
      <c r="BE418" s="1213"/>
      <c r="BF418" s="1213"/>
      <c r="BG418" s="1213"/>
    </row>
    <row r="419" spans="18:59" x14ac:dyDescent="0.35">
      <c r="R419" s="1213"/>
      <c r="S419" s="1213"/>
      <c r="W419" s="1213"/>
      <c r="X419" s="1213"/>
      <c r="AE419" s="1213"/>
      <c r="AF419" s="1213"/>
      <c r="AV419" s="1213"/>
      <c r="AW419" s="1213"/>
      <c r="AX419" s="1213"/>
      <c r="AY419" s="1213"/>
      <c r="AZ419" s="1213"/>
      <c r="BA419" s="1213"/>
      <c r="BC419" s="1213"/>
      <c r="BE419" s="1213"/>
      <c r="BF419" s="1213"/>
      <c r="BG419" s="1213"/>
    </row>
    <row r="420" spans="18:59" x14ac:dyDescent="0.35">
      <c r="R420" s="1213"/>
      <c r="S420" s="1213"/>
      <c r="W420" s="1213"/>
      <c r="X420" s="1213"/>
      <c r="AE420" s="1213"/>
      <c r="AF420" s="1213"/>
      <c r="AV420" s="1213"/>
      <c r="AW420" s="1213"/>
      <c r="AX420" s="1213"/>
      <c r="AY420" s="1213"/>
      <c r="AZ420" s="1213"/>
      <c r="BA420" s="1213"/>
      <c r="BC420" s="1213"/>
      <c r="BE420" s="1213"/>
      <c r="BF420" s="1213"/>
      <c r="BG420" s="1213"/>
    </row>
    <row r="421" spans="18:59" x14ac:dyDescent="0.35">
      <c r="R421" s="1213"/>
      <c r="S421" s="1213"/>
      <c r="W421" s="1213"/>
      <c r="X421" s="1213"/>
      <c r="AE421" s="1213"/>
      <c r="AF421" s="1213"/>
      <c r="AV421" s="1213"/>
      <c r="AW421" s="1213"/>
      <c r="AX421" s="1213"/>
      <c r="AY421" s="1213"/>
      <c r="AZ421" s="1213"/>
      <c r="BA421" s="1213"/>
      <c r="BC421" s="1213"/>
      <c r="BE421" s="1213"/>
      <c r="BF421" s="1213"/>
      <c r="BG421" s="1213"/>
    </row>
    <row r="422" spans="18:59" x14ac:dyDescent="0.35">
      <c r="R422" s="1213"/>
      <c r="S422" s="1213"/>
      <c r="W422" s="1213"/>
      <c r="X422" s="1213"/>
      <c r="AE422" s="1213"/>
      <c r="AF422" s="1213"/>
      <c r="AV422" s="1213"/>
      <c r="AW422" s="1213"/>
      <c r="AX422" s="1213"/>
      <c r="AY422" s="1213"/>
      <c r="AZ422" s="1213"/>
      <c r="BA422" s="1213"/>
      <c r="BC422" s="1213"/>
      <c r="BE422" s="1213"/>
      <c r="BF422" s="1213"/>
      <c r="BG422" s="1213"/>
    </row>
    <row r="423" spans="18:59" x14ac:dyDescent="0.35">
      <c r="R423" s="1213"/>
      <c r="S423" s="1213"/>
      <c r="W423" s="1213"/>
      <c r="X423" s="1213"/>
      <c r="AE423" s="1213"/>
      <c r="AF423" s="1213"/>
      <c r="AV423" s="1213"/>
      <c r="AW423" s="1213"/>
      <c r="AX423" s="1213"/>
      <c r="AY423" s="1213"/>
      <c r="AZ423" s="1213"/>
      <c r="BA423" s="1213"/>
      <c r="BC423" s="1213"/>
      <c r="BE423" s="1213"/>
      <c r="BF423" s="1213"/>
      <c r="BG423" s="1213"/>
    </row>
    <row r="424" spans="18:59" x14ac:dyDescent="0.35">
      <c r="R424" s="1213"/>
      <c r="S424" s="1213"/>
      <c r="W424" s="1213"/>
      <c r="X424" s="1213"/>
      <c r="AE424" s="1213"/>
      <c r="AF424" s="1213"/>
      <c r="AV424" s="1213"/>
      <c r="AW424" s="1213"/>
      <c r="AX424" s="1213"/>
      <c r="AY424" s="1213"/>
      <c r="AZ424" s="1213"/>
      <c r="BA424" s="1213"/>
      <c r="BC424" s="1213"/>
      <c r="BE424" s="1213"/>
      <c r="BF424" s="1213"/>
      <c r="BG424" s="1213"/>
    </row>
    <row r="425" spans="18:59" x14ac:dyDescent="0.35">
      <c r="R425" s="1213"/>
      <c r="S425" s="1213"/>
      <c r="W425" s="1213"/>
      <c r="X425" s="1213"/>
      <c r="AE425" s="1213"/>
      <c r="AF425" s="1213"/>
      <c r="AV425" s="1213"/>
      <c r="AW425" s="1213"/>
      <c r="AX425" s="1213"/>
      <c r="AY425" s="1213"/>
      <c r="AZ425" s="1213"/>
      <c r="BA425" s="1213"/>
      <c r="BC425" s="1213"/>
      <c r="BE425" s="1213"/>
      <c r="BF425" s="1213"/>
      <c r="BG425" s="1213"/>
    </row>
    <row r="426" spans="18:59" x14ac:dyDescent="0.35">
      <c r="R426" s="1213"/>
      <c r="S426" s="1213"/>
      <c r="W426" s="1213"/>
      <c r="X426" s="1213"/>
      <c r="AE426" s="1213"/>
      <c r="AF426" s="1213"/>
      <c r="AV426" s="1213"/>
      <c r="AW426" s="1213"/>
      <c r="AX426" s="1213"/>
      <c r="AY426" s="1213"/>
      <c r="AZ426" s="1213"/>
      <c r="BA426" s="1213"/>
      <c r="BC426" s="1213"/>
      <c r="BE426" s="1213"/>
      <c r="BF426" s="1213"/>
      <c r="BG426" s="1213"/>
    </row>
    <row r="427" spans="18:59" x14ac:dyDescent="0.35">
      <c r="R427" s="1213"/>
      <c r="S427" s="1213"/>
      <c r="W427" s="1213"/>
      <c r="X427" s="1213"/>
      <c r="AE427" s="1213"/>
      <c r="AF427" s="1213"/>
      <c r="AV427" s="1213"/>
      <c r="AW427" s="1213"/>
      <c r="AX427" s="1213"/>
      <c r="AY427" s="1213"/>
      <c r="AZ427" s="1213"/>
      <c r="BA427" s="1213"/>
      <c r="BC427" s="1213"/>
      <c r="BE427" s="1213"/>
      <c r="BF427" s="1213"/>
      <c r="BG427" s="1213"/>
    </row>
    <row r="428" spans="18:59" x14ac:dyDescent="0.35">
      <c r="R428" s="1213"/>
      <c r="S428" s="1213"/>
      <c r="W428" s="1213"/>
      <c r="X428" s="1213"/>
      <c r="AE428" s="1213"/>
      <c r="AF428" s="1213"/>
      <c r="AV428" s="1213"/>
      <c r="AW428" s="1213"/>
      <c r="AX428" s="1213"/>
      <c r="AY428" s="1213"/>
      <c r="AZ428" s="1213"/>
      <c r="BA428" s="1213"/>
      <c r="BC428" s="1213"/>
      <c r="BE428" s="1213"/>
      <c r="BF428" s="1213"/>
      <c r="BG428" s="1213"/>
    </row>
    <row r="429" spans="18:59" x14ac:dyDescent="0.35">
      <c r="R429" s="1213"/>
      <c r="S429" s="1213"/>
      <c r="W429" s="1213"/>
      <c r="X429" s="1213"/>
      <c r="AE429" s="1213"/>
      <c r="AF429" s="1213"/>
      <c r="AV429" s="1213"/>
      <c r="AW429" s="1213"/>
      <c r="AX429" s="1213"/>
      <c r="AY429" s="1213"/>
      <c r="AZ429" s="1213"/>
      <c r="BA429" s="1213"/>
      <c r="BC429" s="1213"/>
      <c r="BE429" s="1213"/>
      <c r="BF429" s="1213"/>
      <c r="BG429" s="1213"/>
    </row>
    <row r="430" spans="18:59" x14ac:dyDescent="0.35">
      <c r="R430" s="1213"/>
      <c r="S430" s="1213"/>
      <c r="W430" s="1213"/>
      <c r="X430" s="1213"/>
      <c r="AE430" s="1213"/>
      <c r="AF430" s="1213"/>
      <c r="AV430" s="1213"/>
      <c r="AW430" s="1213"/>
      <c r="AX430" s="1213"/>
      <c r="AY430" s="1213"/>
      <c r="AZ430" s="1213"/>
      <c r="BA430" s="1213"/>
      <c r="BC430" s="1213"/>
      <c r="BE430" s="1213"/>
      <c r="BF430" s="1213"/>
      <c r="BG430" s="1213"/>
    </row>
    <row r="431" spans="18:59" x14ac:dyDescent="0.35">
      <c r="R431" s="1213"/>
      <c r="S431" s="1213"/>
      <c r="W431" s="1213"/>
      <c r="X431" s="1213"/>
      <c r="AE431" s="1213"/>
      <c r="AF431" s="1213"/>
      <c r="AV431" s="1213"/>
      <c r="AW431" s="1213"/>
      <c r="AX431" s="1213"/>
      <c r="AY431" s="1213"/>
      <c r="AZ431" s="1213"/>
      <c r="BA431" s="1213"/>
      <c r="BC431" s="1213"/>
      <c r="BE431" s="1213"/>
      <c r="BF431" s="1213"/>
      <c r="BG431" s="1213"/>
    </row>
    <row r="432" spans="18:59" x14ac:dyDescent="0.35">
      <c r="R432" s="1213"/>
      <c r="S432" s="1213"/>
      <c r="W432" s="1213"/>
      <c r="X432" s="1213"/>
      <c r="AE432" s="1213"/>
      <c r="AF432" s="1213"/>
      <c r="AV432" s="1213"/>
      <c r="AW432" s="1213"/>
      <c r="AX432" s="1213"/>
      <c r="AY432" s="1213"/>
      <c r="AZ432" s="1213"/>
      <c r="BA432" s="1213"/>
      <c r="BC432" s="1213"/>
      <c r="BE432" s="1213"/>
      <c r="BF432" s="1213"/>
      <c r="BG432" s="1213"/>
    </row>
    <row r="433" spans="18:59" x14ac:dyDescent="0.35">
      <c r="R433" s="1213"/>
      <c r="S433" s="1213"/>
      <c r="W433" s="1213"/>
      <c r="X433" s="1213"/>
      <c r="AE433" s="1213"/>
      <c r="AF433" s="1213"/>
      <c r="AV433" s="1213"/>
      <c r="AW433" s="1213"/>
      <c r="AX433" s="1213"/>
      <c r="AY433" s="1213"/>
      <c r="AZ433" s="1213"/>
      <c r="BA433" s="1213"/>
      <c r="BC433" s="1213"/>
      <c r="BE433" s="1213"/>
      <c r="BF433" s="1213"/>
      <c r="BG433" s="1213"/>
    </row>
    <row r="434" spans="18:59" x14ac:dyDescent="0.35">
      <c r="R434" s="1213"/>
      <c r="S434" s="1213"/>
      <c r="W434" s="1213"/>
      <c r="X434" s="1213"/>
      <c r="AE434" s="1213"/>
      <c r="AF434" s="1213"/>
      <c r="AV434" s="1213"/>
      <c r="AW434" s="1213"/>
      <c r="AX434" s="1213"/>
      <c r="AY434" s="1213"/>
      <c r="AZ434" s="1213"/>
      <c r="BA434" s="1213"/>
      <c r="BC434" s="1213"/>
      <c r="BE434" s="1213"/>
      <c r="BF434" s="1213"/>
      <c r="BG434" s="1213"/>
    </row>
    <row r="435" spans="18:59" x14ac:dyDescent="0.35">
      <c r="R435" s="1213"/>
      <c r="S435" s="1213"/>
      <c r="W435" s="1213"/>
      <c r="X435" s="1213"/>
      <c r="AE435" s="1213"/>
      <c r="AF435" s="1213"/>
      <c r="AV435" s="1213"/>
      <c r="AW435" s="1213"/>
      <c r="AX435" s="1213"/>
      <c r="AY435" s="1213"/>
      <c r="AZ435" s="1213"/>
      <c r="BA435" s="1213"/>
      <c r="BC435" s="1213"/>
      <c r="BE435" s="1213"/>
      <c r="BF435" s="1213"/>
      <c r="BG435" s="1213"/>
    </row>
    <row r="436" spans="18:59" x14ac:dyDescent="0.35">
      <c r="R436" s="1213"/>
      <c r="S436" s="1213"/>
      <c r="W436" s="1213"/>
      <c r="X436" s="1213"/>
      <c r="AE436" s="1213"/>
      <c r="AF436" s="1213"/>
      <c r="AV436" s="1213"/>
      <c r="AW436" s="1213"/>
      <c r="AX436" s="1213"/>
      <c r="AY436" s="1213"/>
      <c r="AZ436" s="1213"/>
      <c r="BA436" s="1213"/>
      <c r="BC436" s="1213"/>
      <c r="BE436" s="1213"/>
      <c r="BF436" s="1213"/>
      <c r="BG436" s="1213"/>
    </row>
    <row r="437" spans="18:59" x14ac:dyDescent="0.35">
      <c r="R437" s="1213"/>
      <c r="S437" s="1213"/>
      <c r="W437" s="1213"/>
      <c r="X437" s="1213"/>
      <c r="AE437" s="1213"/>
      <c r="AF437" s="1213"/>
      <c r="AV437" s="1213"/>
      <c r="AW437" s="1213"/>
      <c r="AX437" s="1213"/>
      <c r="AY437" s="1213"/>
      <c r="AZ437" s="1213"/>
      <c r="BA437" s="1213"/>
      <c r="BC437" s="1213"/>
      <c r="BE437" s="1213"/>
      <c r="BF437" s="1213"/>
      <c r="BG437" s="1213"/>
    </row>
    <row r="438" spans="18:59" x14ac:dyDescent="0.35">
      <c r="R438" s="1213"/>
      <c r="S438" s="1213"/>
      <c r="W438" s="1213"/>
      <c r="X438" s="1213"/>
      <c r="AE438" s="1213"/>
      <c r="AF438" s="1213"/>
      <c r="AV438" s="1213"/>
      <c r="AW438" s="1213"/>
      <c r="AX438" s="1213"/>
      <c r="AY438" s="1213"/>
      <c r="AZ438" s="1213"/>
      <c r="BA438" s="1213"/>
      <c r="BC438" s="1213"/>
      <c r="BE438" s="1213"/>
      <c r="BF438" s="1213"/>
      <c r="BG438" s="1213"/>
    </row>
    <row r="439" spans="18:59" x14ac:dyDescent="0.35">
      <c r="R439" s="1213"/>
      <c r="S439" s="1213"/>
      <c r="W439" s="1213"/>
      <c r="X439" s="1213"/>
      <c r="AE439" s="1213"/>
      <c r="AF439" s="1213"/>
      <c r="AV439" s="1213"/>
      <c r="AW439" s="1213"/>
      <c r="AX439" s="1213"/>
      <c r="AY439" s="1213"/>
      <c r="AZ439" s="1213"/>
      <c r="BA439" s="1213"/>
      <c r="BC439" s="1213"/>
      <c r="BE439" s="1213"/>
      <c r="BF439" s="1213"/>
      <c r="BG439" s="1213"/>
    </row>
    <row r="440" spans="18:59" x14ac:dyDescent="0.35">
      <c r="R440" s="1213"/>
      <c r="S440" s="1213"/>
      <c r="W440" s="1213"/>
      <c r="X440" s="1213"/>
      <c r="AE440" s="1213"/>
      <c r="AF440" s="1213"/>
      <c r="AV440" s="1213"/>
      <c r="AW440" s="1213"/>
      <c r="AX440" s="1213"/>
      <c r="AY440" s="1213"/>
      <c r="AZ440" s="1213"/>
      <c r="BA440" s="1213"/>
      <c r="BC440" s="1213"/>
      <c r="BE440" s="1213"/>
      <c r="BF440" s="1213"/>
      <c r="BG440" s="1213"/>
    </row>
    <row r="441" spans="18:59" x14ac:dyDescent="0.35">
      <c r="R441" s="1213"/>
      <c r="S441" s="1213"/>
      <c r="W441" s="1213"/>
      <c r="X441" s="1213"/>
      <c r="AE441" s="1213"/>
      <c r="AF441" s="1213"/>
      <c r="AV441" s="1213"/>
      <c r="AW441" s="1213"/>
      <c r="AX441" s="1213"/>
      <c r="AY441" s="1213"/>
      <c r="AZ441" s="1213"/>
      <c r="BA441" s="1213"/>
      <c r="BC441" s="1213"/>
      <c r="BE441" s="1213"/>
      <c r="BF441" s="1213"/>
      <c r="BG441" s="1213"/>
    </row>
    <row r="442" spans="18:59" x14ac:dyDescent="0.35">
      <c r="R442" s="1213"/>
      <c r="S442" s="1213"/>
      <c r="W442" s="1213"/>
      <c r="X442" s="1213"/>
      <c r="AE442" s="1213"/>
      <c r="AF442" s="1213"/>
      <c r="AV442" s="1213"/>
      <c r="AW442" s="1213"/>
      <c r="AX442" s="1213"/>
      <c r="AY442" s="1213"/>
      <c r="AZ442" s="1213"/>
      <c r="BA442" s="1213"/>
      <c r="BC442" s="1213"/>
      <c r="BE442" s="1213"/>
      <c r="BF442" s="1213"/>
      <c r="BG442" s="1213"/>
    </row>
    <row r="443" spans="18:59" x14ac:dyDescent="0.35">
      <c r="R443" s="1213"/>
      <c r="S443" s="1213"/>
      <c r="W443" s="1213"/>
      <c r="X443" s="1213"/>
      <c r="AE443" s="1213"/>
      <c r="AF443" s="1213"/>
      <c r="AV443" s="1213"/>
      <c r="AW443" s="1213"/>
      <c r="AX443" s="1213"/>
      <c r="AY443" s="1213"/>
      <c r="AZ443" s="1213"/>
      <c r="BA443" s="1213"/>
      <c r="BC443" s="1213"/>
      <c r="BE443" s="1213"/>
      <c r="BF443" s="1213"/>
      <c r="BG443" s="1213"/>
    </row>
    <row r="444" spans="18:59" x14ac:dyDescent="0.35">
      <c r="R444" s="1213"/>
      <c r="S444" s="1213"/>
      <c r="W444" s="1213"/>
      <c r="X444" s="1213"/>
      <c r="AE444" s="1213"/>
      <c r="AF444" s="1213"/>
      <c r="AV444" s="1213"/>
      <c r="AW444" s="1213"/>
      <c r="AX444" s="1213"/>
      <c r="AY444" s="1213"/>
      <c r="AZ444" s="1213"/>
      <c r="BA444" s="1213"/>
      <c r="BC444" s="1213"/>
      <c r="BE444" s="1213"/>
      <c r="BF444" s="1213"/>
      <c r="BG444" s="1213"/>
    </row>
    <row r="445" spans="18:59" x14ac:dyDescent="0.35">
      <c r="R445" s="1213"/>
      <c r="S445" s="1213"/>
      <c r="W445" s="1213"/>
      <c r="X445" s="1213"/>
      <c r="AE445" s="1213"/>
      <c r="AF445" s="1213"/>
      <c r="AV445" s="1213"/>
      <c r="AW445" s="1213"/>
      <c r="AX445" s="1213"/>
      <c r="AY445" s="1213"/>
      <c r="AZ445" s="1213"/>
      <c r="BA445" s="1213"/>
      <c r="BC445" s="1213"/>
      <c r="BE445" s="1213"/>
      <c r="BF445" s="1213"/>
      <c r="BG445" s="1213"/>
    </row>
    <row r="446" spans="18:59" x14ac:dyDescent="0.35">
      <c r="R446" s="1213"/>
      <c r="S446" s="1213"/>
      <c r="W446" s="1213"/>
      <c r="X446" s="1213"/>
      <c r="AE446" s="1213"/>
      <c r="AF446" s="1213"/>
      <c r="AV446" s="1213"/>
      <c r="AW446" s="1213"/>
      <c r="AX446" s="1213"/>
      <c r="AY446" s="1213"/>
      <c r="AZ446" s="1213"/>
      <c r="BA446" s="1213"/>
      <c r="BC446" s="1213"/>
      <c r="BE446" s="1213"/>
      <c r="BF446" s="1213"/>
      <c r="BG446" s="1213"/>
    </row>
    <row r="447" spans="18:59" x14ac:dyDescent="0.35">
      <c r="R447" s="1213"/>
      <c r="S447" s="1213"/>
      <c r="W447" s="1213"/>
      <c r="X447" s="1213"/>
      <c r="AE447" s="1213"/>
      <c r="AF447" s="1213"/>
      <c r="AV447" s="1213"/>
      <c r="AW447" s="1213"/>
      <c r="AX447" s="1213"/>
      <c r="AY447" s="1213"/>
      <c r="AZ447" s="1213"/>
      <c r="BA447" s="1213"/>
      <c r="BC447" s="1213"/>
      <c r="BE447" s="1213"/>
      <c r="BF447" s="1213"/>
      <c r="BG447" s="1213"/>
    </row>
    <row r="448" spans="18:59" x14ac:dyDescent="0.35">
      <c r="R448" s="1213"/>
      <c r="S448" s="1213"/>
      <c r="W448" s="1213"/>
      <c r="X448" s="1213"/>
      <c r="AE448" s="1213"/>
      <c r="AF448" s="1213"/>
      <c r="AV448" s="1213"/>
      <c r="AW448" s="1213"/>
      <c r="AX448" s="1213"/>
      <c r="AY448" s="1213"/>
      <c r="AZ448" s="1213"/>
      <c r="BA448" s="1213"/>
      <c r="BC448" s="1213"/>
      <c r="BE448" s="1213"/>
      <c r="BF448" s="1213"/>
      <c r="BG448" s="1213"/>
    </row>
    <row r="449" spans="18:59" x14ac:dyDescent="0.35">
      <c r="R449" s="1213"/>
      <c r="S449" s="1213"/>
      <c r="W449" s="1213"/>
      <c r="X449" s="1213"/>
      <c r="AE449" s="1213"/>
      <c r="AF449" s="1213"/>
      <c r="AV449" s="1213"/>
      <c r="AW449" s="1213"/>
      <c r="AX449" s="1213"/>
      <c r="AY449" s="1213"/>
      <c r="AZ449" s="1213"/>
      <c r="BA449" s="1213"/>
      <c r="BC449" s="1213"/>
      <c r="BE449" s="1213"/>
      <c r="BF449" s="1213"/>
      <c r="BG449" s="1213"/>
    </row>
    <row r="450" spans="18:59" x14ac:dyDescent="0.35">
      <c r="R450" s="1213"/>
      <c r="S450" s="1213"/>
      <c r="W450" s="1213"/>
      <c r="X450" s="1213"/>
      <c r="AE450" s="1213"/>
      <c r="AF450" s="1213"/>
      <c r="AV450" s="1213"/>
      <c r="AW450" s="1213"/>
      <c r="AX450" s="1213"/>
      <c r="AY450" s="1213"/>
      <c r="AZ450" s="1213"/>
      <c r="BA450" s="1213"/>
      <c r="BC450" s="1213"/>
      <c r="BE450" s="1213"/>
      <c r="BF450" s="1213"/>
      <c r="BG450" s="1213"/>
    </row>
    <row r="451" spans="18:59" x14ac:dyDescent="0.35">
      <c r="R451" s="1213"/>
      <c r="S451" s="1213"/>
      <c r="W451" s="1213"/>
      <c r="X451" s="1213"/>
      <c r="AE451" s="1213"/>
      <c r="AF451" s="1213"/>
      <c r="AV451" s="1213"/>
      <c r="AW451" s="1213"/>
      <c r="AX451" s="1213"/>
      <c r="AY451" s="1213"/>
      <c r="AZ451" s="1213"/>
      <c r="BA451" s="1213"/>
      <c r="BC451" s="1213"/>
      <c r="BE451" s="1213"/>
      <c r="BF451" s="1213"/>
      <c r="BG451" s="1213"/>
    </row>
    <row r="452" spans="18:59" x14ac:dyDescent="0.35">
      <c r="R452" s="1213"/>
      <c r="S452" s="1213"/>
      <c r="W452" s="1213"/>
      <c r="X452" s="1213"/>
      <c r="AE452" s="1213"/>
      <c r="AF452" s="1213"/>
      <c r="AV452" s="1213"/>
      <c r="AW452" s="1213"/>
      <c r="AX452" s="1213"/>
      <c r="AY452" s="1213"/>
      <c r="AZ452" s="1213"/>
      <c r="BA452" s="1213"/>
      <c r="BC452" s="1213"/>
      <c r="BE452" s="1213"/>
      <c r="BF452" s="1213"/>
      <c r="BG452" s="1213"/>
    </row>
    <row r="453" spans="18:59" x14ac:dyDescent="0.35">
      <c r="R453" s="1213"/>
      <c r="S453" s="1213"/>
      <c r="W453" s="1213"/>
      <c r="X453" s="1213"/>
      <c r="AE453" s="1213"/>
      <c r="AF453" s="1213"/>
      <c r="AV453" s="1213"/>
      <c r="AW453" s="1213"/>
      <c r="AX453" s="1213"/>
      <c r="AY453" s="1213"/>
      <c r="AZ453" s="1213"/>
      <c r="BA453" s="1213"/>
      <c r="BC453" s="1213"/>
      <c r="BE453" s="1213"/>
      <c r="BF453" s="1213"/>
      <c r="BG453" s="1213"/>
    </row>
    <row r="454" spans="18:59" x14ac:dyDescent="0.35">
      <c r="R454" s="1213"/>
      <c r="S454" s="1213"/>
      <c r="W454" s="1213"/>
      <c r="X454" s="1213"/>
      <c r="AE454" s="1213"/>
      <c r="AF454" s="1213"/>
      <c r="AV454" s="1213"/>
      <c r="AW454" s="1213"/>
      <c r="AX454" s="1213"/>
      <c r="AY454" s="1213"/>
      <c r="AZ454" s="1213"/>
      <c r="BA454" s="1213"/>
      <c r="BC454" s="1213"/>
      <c r="BE454" s="1213"/>
      <c r="BF454" s="1213"/>
      <c r="BG454" s="1213"/>
    </row>
    <row r="455" spans="18:59" x14ac:dyDescent="0.35">
      <c r="R455" s="1213"/>
      <c r="S455" s="1213"/>
      <c r="W455" s="1213"/>
      <c r="X455" s="1213"/>
      <c r="AE455" s="1213"/>
      <c r="AF455" s="1213"/>
      <c r="AV455" s="1213"/>
      <c r="AW455" s="1213"/>
      <c r="AX455" s="1213"/>
      <c r="AY455" s="1213"/>
      <c r="AZ455" s="1213"/>
      <c r="BA455" s="1213"/>
      <c r="BC455" s="1213"/>
      <c r="BE455" s="1213"/>
      <c r="BF455" s="1213"/>
      <c r="BG455" s="1213"/>
    </row>
    <row r="456" spans="18:59" x14ac:dyDescent="0.35">
      <c r="R456" s="1213"/>
      <c r="S456" s="1213"/>
      <c r="W456" s="1213"/>
      <c r="X456" s="1213"/>
      <c r="AE456" s="1213"/>
      <c r="AF456" s="1213"/>
      <c r="AV456" s="1213"/>
      <c r="AW456" s="1213"/>
      <c r="AX456" s="1213"/>
      <c r="AY456" s="1213"/>
      <c r="AZ456" s="1213"/>
      <c r="BA456" s="1213"/>
      <c r="BC456" s="1213"/>
      <c r="BE456" s="1213"/>
      <c r="BF456" s="1213"/>
      <c r="BG456" s="1213"/>
    </row>
    <row r="457" spans="18:59" x14ac:dyDescent="0.35">
      <c r="R457" s="1213"/>
      <c r="S457" s="1213"/>
      <c r="W457" s="1213"/>
      <c r="X457" s="1213"/>
      <c r="AE457" s="1213"/>
      <c r="AF457" s="1213"/>
      <c r="AV457" s="1213"/>
      <c r="AW457" s="1213"/>
      <c r="AX457" s="1213"/>
      <c r="AY457" s="1213"/>
      <c r="AZ457" s="1213"/>
      <c r="BA457" s="1213"/>
      <c r="BC457" s="1213"/>
      <c r="BE457" s="1213"/>
      <c r="BF457" s="1213"/>
      <c r="BG457" s="1213"/>
    </row>
    <row r="458" spans="18:59" x14ac:dyDescent="0.35">
      <c r="R458" s="1213"/>
      <c r="S458" s="1213"/>
      <c r="W458" s="1213"/>
      <c r="X458" s="1213"/>
      <c r="AE458" s="1213"/>
      <c r="AF458" s="1213"/>
      <c r="AV458" s="1213"/>
      <c r="AW458" s="1213"/>
      <c r="AX458" s="1213"/>
      <c r="AY458" s="1213"/>
      <c r="AZ458" s="1213"/>
      <c r="BA458" s="1213"/>
      <c r="BC458" s="1213"/>
      <c r="BE458" s="1213"/>
      <c r="BF458" s="1213"/>
      <c r="BG458" s="1213"/>
    </row>
    <row r="459" spans="18:59" x14ac:dyDescent="0.35">
      <c r="R459" s="1213"/>
      <c r="S459" s="1213"/>
      <c r="W459" s="1213"/>
      <c r="X459" s="1213"/>
      <c r="AE459" s="1213"/>
      <c r="AF459" s="1213"/>
      <c r="AV459" s="1213"/>
      <c r="AW459" s="1213"/>
      <c r="AX459" s="1213"/>
      <c r="AY459" s="1213"/>
      <c r="AZ459" s="1213"/>
      <c r="BA459" s="1213"/>
      <c r="BC459" s="1213"/>
      <c r="BE459" s="1213"/>
      <c r="BF459" s="1213"/>
      <c r="BG459" s="1213"/>
    </row>
    <row r="460" spans="18:59" x14ac:dyDescent="0.35">
      <c r="R460" s="1213"/>
      <c r="S460" s="1213"/>
      <c r="W460" s="1213"/>
      <c r="X460" s="1213"/>
      <c r="AE460" s="1213"/>
      <c r="AF460" s="1213"/>
      <c r="AV460" s="1213"/>
      <c r="AW460" s="1213"/>
      <c r="AX460" s="1213"/>
      <c r="AY460" s="1213"/>
      <c r="AZ460" s="1213"/>
      <c r="BA460" s="1213"/>
      <c r="BC460" s="1213"/>
      <c r="BE460" s="1213"/>
      <c r="BF460" s="1213"/>
      <c r="BG460" s="1213"/>
    </row>
    <row r="461" spans="18:59" x14ac:dyDescent="0.35">
      <c r="R461" s="1213"/>
      <c r="S461" s="1213"/>
      <c r="W461" s="1213"/>
      <c r="X461" s="1213"/>
      <c r="AE461" s="1213"/>
      <c r="AF461" s="1213"/>
      <c r="AV461" s="1213"/>
      <c r="AW461" s="1213"/>
      <c r="AX461" s="1213"/>
      <c r="AY461" s="1213"/>
      <c r="AZ461" s="1213"/>
      <c r="BA461" s="1213"/>
      <c r="BC461" s="1213"/>
      <c r="BE461" s="1213"/>
      <c r="BF461" s="1213"/>
      <c r="BG461" s="1213"/>
    </row>
    <row r="462" spans="18:59" x14ac:dyDescent="0.35">
      <c r="R462" s="1213"/>
      <c r="S462" s="1213"/>
      <c r="W462" s="1213"/>
      <c r="X462" s="1213"/>
      <c r="AE462" s="1213"/>
      <c r="AF462" s="1213"/>
      <c r="AV462" s="1213"/>
      <c r="AW462" s="1213"/>
      <c r="AX462" s="1213"/>
      <c r="AY462" s="1213"/>
      <c r="AZ462" s="1213"/>
      <c r="BA462" s="1213"/>
      <c r="BC462" s="1213"/>
      <c r="BE462" s="1213"/>
      <c r="BF462" s="1213"/>
      <c r="BG462" s="1213"/>
    </row>
    <row r="463" spans="18:59" x14ac:dyDescent="0.35">
      <c r="R463" s="1213"/>
      <c r="S463" s="1213"/>
      <c r="W463" s="1213"/>
      <c r="X463" s="1213"/>
      <c r="AE463" s="1213"/>
      <c r="AF463" s="1213"/>
      <c r="AV463" s="1213"/>
      <c r="AW463" s="1213"/>
      <c r="AX463" s="1213"/>
      <c r="AY463" s="1213"/>
      <c r="AZ463" s="1213"/>
      <c r="BA463" s="1213"/>
      <c r="BC463" s="1213"/>
      <c r="BE463" s="1213"/>
      <c r="BF463" s="1213"/>
      <c r="BG463" s="1213"/>
    </row>
    <row r="464" spans="18:59" x14ac:dyDescent="0.35">
      <c r="R464" s="1213"/>
      <c r="S464" s="1213"/>
      <c r="W464" s="1213"/>
      <c r="X464" s="1213"/>
      <c r="AE464" s="1213"/>
      <c r="AF464" s="1213"/>
      <c r="AV464" s="1213"/>
      <c r="AW464" s="1213"/>
      <c r="AX464" s="1213"/>
      <c r="AY464" s="1213"/>
      <c r="AZ464" s="1213"/>
      <c r="BA464" s="1213"/>
      <c r="BC464" s="1213"/>
      <c r="BE464" s="1213"/>
      <c r="BF464" s="1213"/>
      <c r="BG464" s="1213"/>
    </row>
    <row r="465" spans="18:59" x14ac:dyDescent="0.35">
      <c r="R465" s="1213"/>
      <c r="S465" s="1213"/>
      <c r="W465" s="1213"/>
      <c r="X465" s="1213"/>
      <c r="AE465" s="1213"/>
      <c r="AF465" s="1213"/>
      <c r="AV465" s="1213"/>
      <c r="AW465" s="1213"/>
      <c r="AX465" s="1213"/>
      <c r="AY465" s="1213"/>
      <c r="AZ465" s="1213"/>
      <c r="BA465" s="1213"/>
      <c r="BC465" s="1213"/>
      <c r="BE465" s="1213"/>
      <c r="BF465" s="1213"/>
      <c r="BG465" s="1213"/>
    </row>
    <row r="466" spans="18:59" x14ac:dyDescent="0.35">
      <c r="R466" s="1213"/>
      <c r="S466" s="1213"/>
      <c r="W466" s="1213"/>
      <c r="X466" s="1213"/>
      <c r="AE466" s="1213"/>
      <c r="AF466" s="1213"/>
      <c r="AV466" s="1213"/>
      <c r="AW466" s="1213"/>
      <c r="AX466" s="1213"/>
      <c r="AY466" s="1213"/>
      <c r="AZ466" s="1213"/>
      <c r="BA466" s="1213"/>
      <c r="BC466" s="1213"/>
      <c r="BE466" s="1213"/>
      <c r="BF466" s="1213"/>
      <c r="BG466" s="1213"/>
    </row>
    <row r="467" spans="18:59" x14ac:dyDescent="0.35">
      <c r="R467" s="1213"/>
      <c r="S467" s="1213"/>
      <c r="W467" s="1213"/>
      <c r="X467" s="1213"/>
      <c r="AE467" s="1213"/>
      <c r="AF467" s="1213"/>
      <c r="AV467" s="1213"/>
      <c r="AW467" s="1213"/>
      <c r="AX467" s="1213"/>
      <c r="AY467" s="1213"/>
      <c r="AZ467" s="1213"/>
      <c r="BA467" s="1213"/>
      <c r="BC467" s="1213"/>
      <c r="BE467" s="1213"/>
      <c r="BF467" s="1213"/>
      <c r="BG467" s="1213"/>
    </row>
    <row r="468" spans="18:59" x14ac:dyDescent="0.35">
      <c r="R468" s="1213"/>
      <c r="S468" s="1213"/>
      <c r="W468" s="1213"/>
      <c r="X468" s="1213"/>
      <c r="AE468" s="1213"/>
      <c r="AF468" s="1213"/>
      <c r="AV468" s="1213"/>
      <c r="AW468" s="1213"/>
      <c r="AX468" s="1213"/>
      <c r="AY468" s="1213"/>
      <c r="AZ468" s="1213"/>
      <c r="BA468" s="1213"/>
      <c r="BC468" s="1213"/>
      <c r="BE468" s="1213"/>
      <c r="BF468" s="1213"/>
      <c r="BG468" s="1213"/>
    </row>
    <row r="469" spans="18:59" x14ac:dyDescent="0.35">
      <c r="R469" s="1213"/>
      <c r="S469" s="1213"/>
      <c r="W469" s="1213"/>
      <c r="X469" s="1213"/>
      <c r="AE469" s="1213"/>
      <c r="AF469" s="1213"/>
      <c r="AV469" s="1213"/>
      <c r="AW469" s="1213"/>
      <c r="AX469" s="1213"/>
      <c r="AY469" s="1213"/>
      <c r="AZ469" s="1213"/>
      <c r="BA469" s="1213"/>
      <c r="BC469" s="1213"/>
      <c r="BE469" s="1213"/>
      <c r="BF469" s="1213"/>
      <c r="BG469" s="1213"/>
    </row>
    <row r="470" spans="18:59" x14ac:dyDescent="0.35">
      <c r="R470" s="1213"/>
      <c r="S470" s="1213"/>
      <c r="W470" s="1213"/>
      <c r="X470" s="1213"/>
      <c r="AE470" s="1213"/>
      <c r="AF470" s="1213"/>
      <c r="AV470" s="1213"/>
      <c r="AW470" s="1213"/>
      <c r="AX470" s="1213"/>
      <c r="AY470" s="1213"/>
      <c r="AZ470" s="1213"/>
      <c r="BA470" s="1213"/>
      <c r="BC470" s="1213"/>
      <c r="BE470" s="1213"/>
      <c r="BF470" s="1213"/>
      <c r="BG470" s="1213"/>
    </row>
    <row r="471" spans="18:59" x14ac:dyDescent="0.35">
      <c r="R471" s="1213"/>
      <c r="S471" s="1213"/>
      <c r="W471" s="1213"/>
      <c r="X471" s="1213"/>
      <c r="AE471" s="1213"/>
      <c r="AF471" s="1213"/>
      <c r="AV471" s="1213"/>
      <c r="AW471" s="1213"/>
      <c r="AX471" s="1213"/>
      <c r="AY471" s="1213"/>
      <c r="AZ471" s="1213"/>
      <c r="BA471" s="1213"/>
      <c r="BC471" s="1213"/>
      <c r="BE471" s="1213"/>
      <c r="BF471" s="1213"/>
      <c r="BG471" s="1213"/>
    </row>
    <row r="472" spans="18:59" x14ac:dyDescent="0.35">
      <c r="R472" s="1213"/>
      <c r="S472" s="1213"/>
      <c r="W472" s="1213"/>
      <c r="X472" s="1213"/>
      <c r="AE472" s="1213"/>
      <c r="AF472" s="1213"/>
      <c r="AV472" s="1213"/>
      <c r="AW472" s="1213"/>
      <c r="AX472" s="1213"/>
      <c r="AY472" s="1213"/>
      <c r="AZ472" s="1213"/>
      <c r="BA472" s="1213"/>
      <c r="BC472" s="1213"/>
      <c r="BE472" s="1213"/>
      <c r="BF472" s="1213"/>
      <c r="BG472" s="1213"/>
    </row>
    <row r="473" spans="18:59" x14ac:dyDescent="0.35">
      <c r="R473" s="1213"/>
      <c r="S473" s="1213"/>
      <c r="W473" s="1213"/>
      <c r="X473" s="1213"/>
      <c r="AE473" s="1213"/>
      <c r="AF473" s="1213"/>
      <c r="AV473" s="1213"/>
      <c r="AW473" s="1213"/>
      <c r="AX473" s="1213"/>
      <c r="AY473" s="1213"/>
      <c r="AZ473" s="1213"/>
      <c r="BA473" s="1213"/>
      <c r="BC473" s="1213"/>
      <c r="BE473" s="1213"/>
      <c r="BF473" s="1213"/>
      <c r="BG473" s="1213"/>
    </row>
    <row r="474" spans="18:59" x14ac:dyDescent="0.35">
      <c r="R474" s="1213"/>
      <c r="S474" s="1213"/>
      <c r="W474" s="1213"/>
      <c r="X474" s="1213"/>
      <c r="AE474" s="1213"/>
      <c r="AF474" s="1213"/>
      <c r="AV474" s="1213"/>
      <c r="AW474" s="1213"/>
      <c r="AX474" s="1213"/>
      <c r="AY474" s="1213"/>
      <c r="AZ474" s="1213"/>
      <c r="BA474" s="1213"/>
      <c r="BC474" s="1213"/>
      <c r="BE474" s="1213"/>
      <c r="BF474" s="1213"/>
      <c r="BG474" s="1213"/>
    </row>
    <row r="475" spans="18:59" x14ac:dyDescent="0.35">
      <c r="R475" s="1213"/>
      <c r="S475" s="1213"/>
      <c r="W475" s="1213"/>
      <c r="X475" s="1213"/>
      <c r="AE475" s="1213"/>
      <c r="AF475" s="1213"/>
      <c r="AV475" s="1213"/>
      <c r="AW475" s="1213"/>
      <c r="AX475" s="1213"/>
      <c r="AY475" s="1213"/>
      <c r="AZ475" s="1213"/>
      <c r="BA475" s="1213"/>
      <c r="BC475" s="1213"/>
      <c r="BE475" s="1213"/>
      <c r="BF475" s="1213"/>
      <c r="BG475" s="1213"/>
    </row>
    <row r="476" spans="18:59" x14ac:dyDescent="0.35">
      <c r="R476" s="1213"/>
      <c r="S476" s="1213"/>
      <c r="W476" s="1213"/>
      <c r="X476" s="1213"/>
      <c r="AE476" s="1213"/>
      <c r="AF476" s="1213"/>
      <c r="AV476" s="1213"/>
      <c r="AW476" s="1213"/>
      <c r="AX476" s="1213"/>
      <c r="AY476" s="1213"/>
      <c r="AZ476" s="1213"/>
      <c r="BA476" s="1213"/>
      <c r="BC476" s="1213"/>
      <c r="BE476" s="1213"/>
      <c r="BF476" s="1213"/>
      <c r="BG476" s="1213"/>
    </row>
    <row r="477" spans="18:59" x14ac:dyDescent="0.35">
      <c r="R477" s="1213"/>
      <c r="S477" s="1213"/>
      <c r="W477" s="1213"/>
      <c r="X477" s="1213"/>
      <c r="AE477" s="1213"/>
      <c r="AF477" s="1213"/>
      <c r="AV477" s="1213"/>
      <c r="AW477" s="1213"/>
      <c r="AX477" s="1213"/>
      <c r="AY477" s="1213"/>
      <c r="AZ477" s="1213"/>
      <c r="BA477" s="1213"/>
      <c r="BC477" s="1213"/>
      <c r="BE477" s="1213"/>
      <c r="BF477" s="1213"/>
      <c r="BG477" s="1213"/>
    </row>
    <row r="478" spans="18:59" x14ac:dyDescent="0.35">
      <c r="R478" s="1213"/>
      <c r="S478" s="1213"/>
      <c r="W478" s="1213"/>
      <c r="X478" s="1213"/>
      <c r="AE478" s="1213"/>
      <c r="AF478" s="1213"/>
      <c r="AV478" s="1213"/>
      <c r="AW478" s="1213"/>
      <c r="AX478" s="1213"/>
      <c r="AY478" s="1213"/>
      <c r="AZ478" s="1213"/>
      <c r="BA478" s="1213"/>
      <c r="BC478" s="1213"/>
      <c r="BE478" s="1213"/>
      <c r="BF478" s="1213"/>
      <c r="BG478" s="1213"/>
    </row>
    <row r="479" spans="18:59" x14ac:dyDescent="0.35">
      <c r="R479" s="1213"/>
      <c r="S479" s="1213"/>
      <c r="W479" s="1213"/>
      <c r="X479" s="1213"/>
      <c r="AE479" s="1213"/>
      <c r="AF479" s="1213"/>
      <c r="AV479" s="1213"/>
      <c r="AW479" s="1213"/>
      <c r="AX479" s="1213"/>
      <c r="AY479" s="1213"/>
      <c r="AZ479" s="1213"/>
      <c r="BA479" s="1213"/>
      <c r="BC479" s="1213"/>
      <c r="BE479" s="1213"/>
      <c r="BF479" s="1213"/>
      <c r="BG479" s="1213"/>
    </row>
    <row r="480" spans="18:59" x14ac:dyDescent="0.35">
      <c r="R480" s="1213"/>
      <c r="S480" s="1213"/>
      <c r="W480" s="1213"/>
      <c r="X480" s="1213"/>
      <c r="AE480" s="1213"/>
      <c r="AF480" s="1213"/>
      <c r="AV480" s="1213"/>
      <c r="AW480" s="1213"/>
      <c r="AX480" s="1213"/>
      <c r="AY480" s="1213"/>
      <c r="AZ480" s="1213"/>
      <c r="BA480" s="1213"/>
      <c r="BC480" s="1213"/>
      <c r="BE480" s="1213"/>
      <c r="BF480" s="1213"/>
      <c r="BG480" s="1213"/>
    </row>
    <row r="481" spans="18:59" x14ac:dyDescent="0.35">
      <c r="R481" s="1213"/>
      <c r="S481" s="1213"/>
      <c r="W481" s="1213"/>
      <c r="X481" s="1213"/>
      <c r="AE481" s="1213"/>
      <c r="AF481" s="1213"/>
      <c r="AV481" s="1213"/>
      <c r="AW481" s="1213"/>
      <c r="AX481" s="1213"/>
      <c r="AY481" s="1213"/>
      <c r="AZ481" s="1213"/>
      <c r="BA481" s="1213"/>
      <c r="BC481" s="1213"/>
      <c r="BE481" s="1213"/>
      <c r="BF481" s="1213"/>
      <c r="BG481" s="1213"/>
    </row>
    <row r="482" spans="18:59" x14ac:dyDescent="0.35">
      <c r="R482" s="1213"/>
      <c r="S482" s="1213"/>
      <c r="W482" s="1213"/>
      <c r="X482" s="1213"/>
      <c r="AE482" s="1213"/>
      <c r="AF482" s="1213"/>
      <c r="AV482" s="1213"/>
      <c r="AW482" s="1213"/>
      <c r="AX482" s="1213"/>
      <c r="AY482" s="1213"/>
      <c r="AZ482" s="1213"/>
      <c r="BA482" s="1213"/>
      <c r="BC482" s="1213"/>
      <c r="BE482" s="1213"/>
      <c r="BF482" s="1213"/>
      <c r="BG482" s="1213"/>
    </row>
    <row r="483" spans="18:59" x14ac:dyDescent="0.35">
      <c r="R483" s="1213"/>
      <c r="S483" s="1213"/>
      <c r="W483" s="1213"/>
      <c r="X483" s="1213"/>
      <c r="AE483" s="1213"/>
      <c r="AF483" s="1213"/>
      <c r="AV483" s="1213"/>
      <c r="AW483" s="1213"/>
      <c r="AX483" s="1213"/>
      <c r="AY483" s="1213"/>
      <c r="AZ483" s="1213"/>
      <c r="BA483" s="1213"/>
      <c r="BC483" s="1213"/>
      <c r="BE483" s="1213"/>
      <c r="BF483" s="1213"/>
      <c r="BG483" s="1213"/>
    </row>
    <row r="484" spans="18:59" x14ac:dyDescent="0.35">
      <c r="R484" s="1213"/>
      <c r="S484" s="1213"/>
      <c r="W484" s="1213"/>
      <c r="X484" s="1213"/>
      <c r="AE484" s="1213"/>
      <c r="AF484" s="1213"/>
      <c r="AV484" s="1213"/>
      <c r="AW484" s="1213"/>
      <c r="AX484" s="1213"/>
      <c r="AY484" s="1213"/>
      <c r="AZ484" s="1213"/>
      <c r="BA484" s="1213"/>
      <c r="BC484" s="1213"/>
      <c r="BE484" s="1213"/>
      <c r="BF484" s="1213"/>
      <c r="BG484" s="1213"/>
    </row>
    <row r="485" spans="18:59" x14ac:dyDescent="0.35">
      <c r="R485" s="1213"/>
      <c r="S485" s="1213"/>
      <c r="W485" s="1213"/>
      <c r="X485" s="1213"/>
      <c r="AE485" s="1213"/>
      <c r="AF485" s="1213"/>
      <c r="AV485" s="1213"/>
      <c r="AW485" s="1213"/>
      <c r="AX485" s="1213"/>
      <c r="AY485" s="1213"/>
      <c r="AZ485" s="1213"/>
      <c r="BA485" s="1213"/>
      <c r="BC485" s="1213"/>
      <c r="BE485" s="1213"/>
      <c r="BF485" s="1213"/>
      <c r="BG485" s="1213"/>
    </row>
    <row r="486" spans="18:59" x14ac:dyDescent="0.35">
      <c r="R486" s="1213"/>
      <c r="S486" s="1213"/>
      <c r="W486" s="1213"/>
      <c r="X486" s="1213"/>
      <c r="AE486" s="1213"/>
      <c r="AF486" s="1213"/>
      <c r="AV486" s="1213"/>
      <c r="AW486" s="1213"/>
      <c r="AX486" s="1213"/>
      <c r="AY486" s="1213"/>
      <c r="AZ486" s="1213"/>
      <c r="BA486" s="1213"/>
      <c r="BC486" s="1213"/>
      <c r="BE486" s="1213"/>
      <c r="BF486" s="1213"/>
      <c r="BG486" s="1213"/>
    </row>
    <row r="487" spans="18:59" x14ac:dyDescent="0.35">
      <c r="R487" s="1213"/>
      <c r="S487" s="1213"/>
      <c r="W487" s="1213"/>
      <c r="X487" s="1213"/>
      <c r="AE487" s="1213"/>
      <c r="AF487" s="1213"/>
      <c r="AV487" s="1213"/>
      <c r="AW487" s="1213"/>
      <c r="AX487" s="1213"/>
      <c r="AY487" s="1213"/>
      <c r="AZ487" s="1213"/>
      <c r="BA487" s="1213"/>
      <c r="BC487" s="1213"/>
      <c r="BE487" s="1213"/>
      <c r="BF487" s="1213"/>
      <c r="BG487" s="1213"/>
    </row>
    <row r="488" spans="18:59" x14ac:dyDescent="0.35">
      <c r="R488" s="1213"/>
      <c r="S488" s="1213"/>
      <c r="W488" s="1213"/>
      <c r="X488" s="1213"/>
      <c r="AE488" s="1213"/>
      <c r="AF488" s="1213"/>
      <c r="AV488" s="1213"/>
      <c r="AW488" s="1213"/>
      <c r="AX488" s="1213"/>
      <c r="AY488" s="1213"/>
      <c r="AZ488" s="1213"/>
      <c r="BA488" s="1213"/>
      <c r="BC488" s="1213"/>
      <c r="BE488" s="1213"/>
      <c r="BF488" s="1213"/>
      <c r="BG488" s="1213"/>
    </row>
    <row r="489" spans="18:59" x14ac:dyDescent="0.35">
      <c r="R489" s="1213"/>
      <c r="S489" s="1213"/>
      <c r="W489" s="1213"/>
      <c r="X489" s="1213"/>
      <c r="AE489" s="1213"/>
      <c r="AF489" s="1213"/>
      <c r="AV489" s="1213"/>
      <c r="AW489" s="1213"/>
      <c r="AX489" s="1213"/>
      <c r="AY489" s="1213"/>
      <c r="AZ489" s="1213"/>
      <c r="BA489" s="1213"/>
      <c r="BC489" s="1213"/>
      <c r="BE489" s="1213"/>
      <c r="BF489" s="1213"/>
      <c r="BG489" s="1213"/>
    </row>
    <row r="490" spans="18:59" x14ac:dyDescent="0.35">
      <c r="R490" s="1213"/>
      <c r="S490" s="1213"/>
      <c r="W490" s="1213"/>
      <c r="X490" s="1213"/>
      <c r="AE490" s="1213"/>
      <c r="AF490" s="1213"/>
      <c r="AV490" s="1213"/>
      <c r="AW490" s="1213"/>
      <c r="AX490" s="1213"/>
      <c r="AY490" s="1213"/>
      <c r="AZ490" s="1213"/>
      <c r="BA490" s="1213"/>
      <c r="BC490" s="1213"/>
      <c r="BE490" s="1213"/>
      <c r="BF490" s="1213"/>
      <c r="BG490" s="1213"/>
    </row>
    <row r="491" spans="18:59" x14ac:dyDescent="0.35">
      <c r="R491" s="1213"/>
      <c r="S491" s="1213"/>
      <c r="W491" s="1213"/>
      <c r="X491" s="1213"/>
      <c r="AE491" s="1213"/>
      <c r="AF491" s="1213"/>
      <c r="AV491" s="1213"/>
      <c r="AW491" s="1213"/>
      <c r="AX491" s="1213"/>
      <c r="AY491" s="1213"/>
      <c r="AZ491" s="1213"/>
      <c r="BA491" s="1213"/>
      <c r="BC491" s="1213"/>
      <c r="BE491" s="1213"/>
      <c r="BF491" s="1213"/>
      <c r="BG491" s="1213"/>
    </row>
    <row r="492" spans="18:59" x14ac:dyDescent="0.35">
      <c r="R492" s="1213"/>
      <c r="S492" s="1213"/>
      <c r="W492" s="1213"/>
      <c r="X492" s="1213"/>
      <c r="AE492" s="1213"/>
      <c r="AF492" s="1213"/>
      <c r="AV492" s="1213"/>
      <c r="AW492" s="1213"/>
      <c r="AX492" s="1213"/>
      <c r="AY492" s="1213"/>
      <c r="AZ492" s="1213"/>
      <c r="BA492" s="1213"/>
      <c r="BC492" s="1213"/>
      <c r="BE492" s="1213"/>
      <c r="BF492" s="1213"/>
      <c r="BG492" s="1213"/>
    </row>
    <row r="493" spans="18:59" x14ac:dyDescent="0.35">
      <c r="R493" s="1213"/>
      <c r="S493" s="1213"/>
      <c r="W493" s="1213"/>
      <c r="X493" s="1213"/>
      <c r="AE493" s="1213"/>
      <c r="AF493" s="1213"/>
      <c r="AV493" s="1213"/>
      <c r="AW493" s="1213"/>
      <c r="AX493" s="1213"/>
      <c r="AY493" s="1213"/>
      <c r="AZ493" s="1213"/>
      <c r="BA493" s="1213"/>
      <c r="BC493" s="1213"/>
      <c r="BE493" s="1213"/>
      <c r="BF493" s="1213"/>
      <c r="BG493" s="1213"/>
    </row>
    <row r="494" spans="18:59" x14ac:dyDescent="0.35">
      <c r="R494" s="1213"/>
      <c r="S494" s="1213"/>
      <c r="W494" s="1213"/>
      <c r="X494" s="1213"/>
      <c r="AE494" s="1213"/>
      <c r="AF494" s="1213"/>
      <c r="AV494" s="1213"/>
      <c r="AW494" s="1213"/>
      <c r="AX494" s="1213"/>
      <c r="AY494" s="1213"/>
      <c r="AZ494" s="1213"/>
      <c r="BA494" s="1213"/>
      <c r="BC494" s="1213"/>
      <c r="BE494" s="1213"/>
      <c r="BF494" s="1213"/>
      <c r="BG494" s="1213"/>
    </row>
    <row r="495" spans="18:59" x14ac:dyDescent="0.35">
      <c r="R495" s="1213"/>
      <c r="S495" s="1213"/>
      <c r="W495" s="1213"/>
      <c r="X495" s="1213"/>
      <c r="AE495" s="1213"/>
      <c r="AF495" s="1213"/>
      <c r="AV495" s="1213"/>
      <c r="AW495" s="1213"/>
      <c r="AX495" s="1213"/>
      <c r="AY495" s="1213"/>
      <c r="AZ495" s="1213"/>
      <c r="BA495" s="1213"/>
      <c r="BC495" s="1213"/>
      <c r="BE495" s="1213"/>
      <c r="BF495" s="1213"/>
      <c r="BG495" s="1213"/>
    </row>
    <row r="496" spans="18:59" x14ac:dyDescent="0.35">
      <c r="R496" s="1213"/>
      <c r="S496" s="1213"/>
      <c r="W496" s="1213"/>
      <c r="X496" s="1213"/>
      <c r="AE496" s="1213"/>
      <c r="AF496" s="1213"/>
      <c r="AV496" s="1213"/>
      <c r="AW496" s="1213"/>
      <c r="AX496" s="1213"/>
      <c r="AY496" s="1213"/>
      <c r="AZ496" s="1213"/>
      <c r="BA496" s="1213"/>
      <c r="BC496" s="1213"/>
      <c r="BE496" s="1213"/>
      <c r="BF496" s="1213"/>
      <c r="BG496" s="1213"/>
    </row>
    <row r="497" spans="18:59" x14ac:dyDescent="0.35">
      <c r="R497" s="1213"/>
      <c r="S497" s="1213"/>
      <c r="W497" s="1213"/>
      <c r="X497" s="1213"/>
      <c r="AE497" s="1213"/>
      <c r="AF497" s="1213"/>
      <c r="AV497" s="1213"/>
      <c r="AW497" s="1213"/>
      <c r="AX497" s="1213"/>
      <c r="AY497" s="1213"/>
      <c r="AZ497" s="1213"/>
      <c r="BA497" s="1213"/>
      <c r="BC497" s="1213"/>
      <c r="BE497" s="1213"/>
      <c r="BF497" s="1213"/>
      <c r="BG497" s="1213"/>
    </row>
    <row r="498" spans="18:59" x14ac:dyDescent="0.35">
      <c r="R498" s="1213"/>
      <c r="S498" s="1213"/>
      <c r="W498" s="1213"/>
      <c r="X498" s="1213"/>
      <c r="AE498" s="1213"/>
      <c r="AF498" s="1213"/>
      <c r="AV498" s="1213"/>
      <c r="AW498" s="1213"/>
      <c r="AX498" s="1213"/>
      <c r="AY498" s="1213"/>
      <c r="AZ498" s="1213"/>
      <c r="BA498" s="1213"/>
      <c r="BC498" s="1213"/>
      <c r="BE498" s="1213"/>
      <c r="BF498" s="1213"/>
      <c r="BG498" s="1213"/>
    </row>
    <row r="499" spans="18:59" x14ac:dyDescent="0.35">
      <c r="R499" s="1213"/>
      <c r="S499" s="1213"/>
      <c r="W499" s="1213"/>
      <c r="X499" s="1213"/>
      <c r="AE499" s="1213"/>
      <c r="AF499" s="1213"/>
      <c r="AV499" s="1213"/>
      <c r="AW499" s="1213"/>
      <c r="AX499" s="1213"/>
      <c r="AY499" s="1213"/>
      <c r="AZ499" s="1213"/>
      <c r="BA499" s="1213"/>
      <c r="BC499" s="1213"/>
      <c r="BE499" s="1213"/>
      <c r="BF499" s="1213"/>
      <c r="BG499" s="1213"/>
    </row>
    <row r="500" spans="18:59" x14ac:dyDescent="0.35">
      <c r="R500" s="1213"/>
      <c r="S500" s="1213"/>
      <c r="W500" s="1213"/>
      <c r="X500" s="1213"/>
      <c r="AE500" s="1213"/>
      <c r="AF500" s="1213"/>
      <c r="AV500" s="1213"/>
      <c r="AW500" s="1213"/>
      <c r="AX500" s="1213"/>
      <c r="AY500" s="1213"/>
      <c r="AZ500" s="1213"/>
      <c r="BA500" s="1213"/>
      <c r="BC500" s="1213"/>
      <c r="BE500" s="1213"/>
      <c r="BF500" s="1213"/>
      <c r="BG500" s="1213"/>
    </row>
    <row r="501" spans="18:59" x14ac:dyDescent="0.35">
      <c r="R501" s="1213"/>
      <c r="S501" s="1213"/>
      <c r="W501" s="1213"/>
      <c r="X501" s="1213"/>
      <c r="AE501" s="1213"/>
      <c r="AF501" s="1213"/>
      <c r="AV501" s="1213"/>
      <c r="AW501" s="1213"/>
      <c r="AX501" s="1213"/>
      <c r="AY501" s="1213"/>
      <c r="AZ501" s="1213"/>
      <c r="BA501" s="1213"/>
      <c r="BC501" s="1213"/>
      <c r="BE501" s="1213"/>
      <c r="BF501" s="1213"/>
      <c r="BG501" s="1213"/>
    </row>
    <row r="502" spans="18:59" x14ac:dyDescent="0.35">
      <c r="R502" s="1213"/>
      <c r="S502" s="1213"/>
      <c r="W502" s="1213"/>
      <c r="X502" s="1213"/>
      <c r="AE502" s="1213"/>
      <c r="AF502" s="1213"/>
      <c r="AV502" s="1213"/>
      <c r="AW502" s="1213"/>
      <c r="AX502" s="1213"/>
      <c r="AY502" s="1213"/>
      <c r="AZ502" s="1213"/>
      <c r="BA502" s="1213"/>
      <c r="BC502" s="1213"/>
      <c r="BE502" s="1213"/>
      <c r="BF502" s="1213"/>
      <c r="BG502" s="1213"/>
    </row>
  </sheetData>
  <mergeCells count="6">
    <mergeCell ref="I1:K1"/>
    <mergeCell ref="Y2:AD2"/>
    <mergeCell ref="AG2:AI2"/>
    <mergeCell ref="AU2:BA2"/>
    <mergeCell ref="AJ2:AS2"/>
    <mergeCell ref="P2:S2"/>
  </mergeCells>
  <pageMargins left="0.7" right="0.7" top="0.75" bottom="0.75" header="0.3" footer="0.3"/>
  <pageSetup orientation="portrait"/>
  <drawing r:id="rId1"/>
  <legacy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5" tint="0.59999389629810485"/>
  </sheetPr>
  <dimension ref="A1:W19"/>
  <sheetViews>
    <sheetView zoomScale="94" workbookViewId="0">
      <selection activeCell="C8" sqref="C8"/>
    </sheetView>
  </sheetViews>
  <sheetFormatPr defaultColWidth="10.90625" defaultRowHeight="14.5" x14ac:dyDescent="0.35"/>
  <cols>
    <col min="1" max="1" width="23.1796875" customWidth="1"/>
  </cols>
  <sheetData>
    <row r="1" spans="1:22" x14ac:dyDescent="0.35">
      <c r="A1" s="1218" t="s">
        <v>724</v>
      </c>
      <c r="B1" s="1218"/>
      <c r="C1" s="1218"/>
      <c r="D1" s="1218"/>
    </row>
    <row r="2" spans="1:22" x14ac:dyDescent="0.35">
      <c r="A2" t="s">
        <v>725</v>
      </c>
      <c r="B2" s="214">
        <v>2021</v>
      </c>
      <c r="C2" s="214">
        <v>2021</v>
      </c>
      <c r="D2" s="214">
        <v>2021</v>
      </c>
      <c r="E2" s="214">
        <v>2022</v>
      </c>
      <c r="F2" s="214">
        <v>2022</v>
      </c>
      <c r="G2" s="214">
        <v>2022</v>
      </c>
      <c r="H2" s="214">
        <v>2022</v>
      </c>
      <c r="I2" s="214">
        <v>2023</v>
      </c>
      <c r="J2" s="214">
        <v>2023</v>
      </c>
      <c r="K2" s="214">
        <v>2023</v>
      </c>
      <c r="L2" s="214">
        <v>2023</v>
      </c>
      <c r="M2" s="214">
        <v>2024</v>
      </c>
      <c r="N2" s="214">
        <v>2024</v>
      </c>
      <c r="O2" s="214">
        <v>2024</v>
      </c>
      <c r="P2" s="214">
        <v>2024</v>
      </c>
      <c r="Q2" s="214">
        <v>2025</v>
      </c>
      <c r="R2" s="214">
        <v>2025</v>
      </c>
      <c r="S2" s="214">
        <v>2025</v>
      </c>
      <c r="T2" s="214">
        <v>2025</v>
      </c>
      <c r="U2" s="214">
        <v>2026</v>
      </c>
    </row>
    <row r="3" spans="1:22" x14ac:dyDescent="0.35">
      <c r="A3" s="1216" t="s">
        <v>726</v>
      </c>
      <c r="B3" s="726" t="s">
        <v>727</v>
      </c>
      <c r="C3" s="726" t="s">
        <v>728</v>
      </c>
      <c r="D3" s="726" t="s">
        <v>729</v>
      </c>
      <c r="E3" s="726" t="s">
        <v>730</v>
      </c>
      <c r="F3" s="726" t="s">
        <v>731</v>
      </c>
      <c r="G3" s="726" t="s">
        <v>732</v>
      </c>
      <c r="H3" s="726" t="s">
        <v>733</v>
      </c>
      <c r="I3" s="726" t="s">
        <v>734</v>
      </c>
      <c r="J3" s="726" t="s">
        <v>735</v>
      </c>
      <c r="K3" s="726" t="s">
        <v>736</v>
      </c>
      <c r="L3" s="726" t="s">
        <v>737</v>
      </c>
      <c r="M3" s="726" t="s">
        <v>738</v>
      </c>
      <c r="N3" s="726" t="s">
        <v>739</v>
      </c>
      <c r="O3" s="726" t="s">
        <v>740</v>
      </c>
      <c r="P3" s="726" t="s">
        <v>741</v>
      </c>
      <c r="Q3" s="726" t="s">
        <v>742</v>
      </c>
      <c r="R3" s="726" t="s">
        <v>743</v>
      </c>
      <c r="S3" s="726" t="s">
        <v>744</v>
      </c>
      <c r="T3" s="726" t="s">
        <v>745</v>
      </c>
      <c r="U3" s="726" t="s">
        <v>746</v>
      </c>
    </row>
    <row r="4" spans="1:22" x14ac:dyDescent="0.35">
      <c r="A4" s="1216" t="s">
        <v>747</v>
      </c>
      <c r="B4" s="726"/>
      <c r="C4" s="726"/>
      <c r="D4" s="726">
        <v>0</v>
      </c>
      <c r="E4" s="726">
        <v>0</v>
      </c>
      <c r="F4" s="726">
        <v>0.5</v>
      </c>
      <c r="G4" s="726">
        <v>0.5</v>
      </c>
      <c r="H4" s="726">
        <v>0</v>
      </c>
      <c r="I4" s="726">
        <v>0</v>
      </c>
      <c r="J4" s="726">
        <v>0</v>
      </c>
      <c r="K4" s="726">
        <v>0</v>
      </c>
      <c r="L4" s="726">
        <v>0</v>
      </c>
      <c r="M4" s="726">
        <v>0</v>
      </c>
      <c r="N4" s="726">
        <v>0</v>
      </c>
      <c r="O4" s="726">
        <v>0</v>
      </c>
      <c r="P4" s="726">
        <v>0</v>
      </c>
      <c r="Q4" s="726">
        <v>0</v>
      </c>
      <c r="R4" s="726">
        <v>0</v>
      </c>
      <c r="S4" s="726">
        <v>0</v>
      </c>
      <c r="T4" s="726">
        <v>0</v>
      </c>
      <c r="U4" s="726">
        <v>0</v>
      </c>
    </row>
    <row r="5" spans="1:22" x14ac:dyDescent="0.35">
      <c r="A5" s="1216" t="s">
        <v>748</v>
      </c>
      <c r="B5" s="726">
        <v>0.04</v>
      </c>
      <c r="C5" s="726">
        <v>0.48</v>
      </c>
      <c r="D5" s="726">
        <v>0.48</v>
      </c>
      <c r="E5" s="726">
        <v>0</v>
      </c>
      <c r="F5" s="726">
        <v>0</v>
      </c>
      <c r="G5" s="726">
        <v>0</v>
      </c>
      <c r="H5" s="726">
        <v>0</v>
      </c>
      <c r="I5" s="726">
        <v>0</v>
      </c>
      <c r="J5" s="726">
        <v>0</v>
      </c>
      <c r="K5" s="726">
        <v>0</v>
      </c>
      <c r="L5" s="726">
        <v>0</v>
      </c>
      <c r="M5" s="726">
        <v>0</v>
      </c>
      <c r="N5" s="726">
        <v>0</v>
      </c>
      <c r="O5" s="726">
        <v>0</v>
      </c>
      <c r="P5" s="726">
        <v>0</v>
      </c>
      <c r="Q5" s="726">
        <v>0</v>
      </c>
      <c r="R5" s="726">
        <v>0</v>
      </c>
      <c r="S5" s="726">
        <v>0</v>
      </c>
      <c r="T5" s="726">
        <v>0</v>
      </c>
      <c r="U5" s="726">
        <v>0</v>
      </c>
    </row>
    <row r="6" spans="1:22" x14ac:dyDescent="0.35">
      <c r="A6" s="1216" t="s">
        <v>749</v>
      </c>
      <c r="B6" s="726">
        <f>B8</f>
        <v>0</v>
      </c>
      <c r="C6" s="726">
        <f>C8</f>
        <v>0.43</v>
      </c>
      <c r="D6" s="726">
        <f t="shared" ref="D6:U6" si="0">D8</f>
        <v>0.56999999999999995</v>
      </c>
      <c r="E6" s="726">
        <f t="shared" si="0"/>
        <v>0.25</v>
      </c>
      <c r="F6" s="726">
        <f t="shared" si="0"/>
        <v>0.25</v>
      </c>
      <c r="G6" s="726">
        <f t="shared" si="0"/>
        <v>0.25</v>
      </c>
      <c r="H6" s="726">
        <f t="shared" si="0"/>
        <v>0.25</v>
      </c>
      <c r="I6" s="726">
        <f t="shared" si="0"/>
        <v>0.25</v>
      </c>
      <c r="J6" s="726">
        <f t="shared" si="0"/>
        <v>0.25</v>
      </c>
      <c r="K6" s="726">
        <f t="shared" si="0"/>
        <v>0.25</v>
      </c>
      <c r="L6" s="726">
        <f t="shared" si="0"/>
        <v>0.25</v>
      </c>
      <c r="M6" s="726">
        <f t="shared" si="0"/>
        <v>0.25</v>
      </c>
      <c r="N6" s="726">
        <f t="shared" si="0"/>
        <v>0.25</v>
      </c>
      <c r="O6" s="726">
        <f t="shared" si="0"/>
        <v>0.25</v>
      </c>
      <c r="P6" s="726">
        <f t="shared" si="0"/>
        <v>0.25</v>
      </c>
      <c r="Q6" s="726">
        <f t="shared" si="0"/>
        <v>0.25</v>
      </c>
      <c r="R6" s="726">
        <f t="shared" si="0"/>
        <v>0.25</v>
      </c>
      <c r="S6" s="726">
        <f t="shared" si="0"/>
        <v>0.25</v>
      </c>
      <c r="T6" s="726">
        <f t="shared" si="0"/>
        <v>0.25</v>
      </c>
      <c r="U6" s="726">
        <f t="shared" si="0"/>
        <v>0.25</v>
      </c>
    </row>
    <row r="7" spans="1:22" x14ac:dyDescent="0.35">
      <c r="A7" s="1216" t="s">
        <v>750</v>
      </c>
      <c r="B7" s="726">
        <v>0</v>
      </c>
      <c r="C7" s="726">
        <v>0</v>
      </c>
      <c r="D7" s="726">
        <v>1</v>
      </c>
      <c r="E7" s="726">
        <v>0.25</v>
      </c>
      <c r="F7" s="726">
        <v>0.25</v>
      </c>
      <c r="G7" s="726">
        <v>0.25</v>
      </c>
      <c r="H7" s="726">
        <v>0.25</v>
      </c>
      <c r="I7" s="726">
        <v>0.25</v>
      </c>
      <c r="J7" s="726">
        <v>0.25</v>
      </c>
      <c r="K7" s="726">
        <v>0.25</v>
      </c>
      <c r="L7" s="726">
        <v>0.25</v>
      </c>
      <c r="M7" s="726">
        <v>0.25</v>
      </c>
      <c r="N7" s="726">
        <v>0.25</v>
      </c>
      <c r="O7" s="726">
        <v>0.25</v>
      </c>
      <c r="P7" s="726">
        <v>0.25</v>
      </c>
      <c r="Q7" s="726">
        <v>0.25</v>
      </c>
      <c r="R7" s="726">
        <v>0.25</v>
      </c>
      <c r="S7" s="726">
        <v>0.25</v>
      </c>
      <c r="T7" s="726">
        <v>0.25</v>
      </c>
      <c r="U7" s="726">
        <v>0.25</v>
      </c>
    </row>
    <row r="8" spans="1:22" x14ac:dyDescent="0.35">
      <c r="A8" s="1216" t="s">
        <v>751</v>
      </c>
      <c r="B8" s="726">
        <v>0</v>
      </c>
      <c r="C8" s="726">
        <v>0.43</v>
      </c>
      <c r="D8" s="726">
        <v>0.56999999999999995</v>
      </c>
      <c r="E8" s="726">
        <v>0.25</v>
      </c>
      <c r="F8" s="726">
        <v>0.25</v>
      </c>
      <c r="G8" s="726">
        <v>0.25</v>
      </c>
      <c r="H8" s="726">
        <v>0.25</v>
      </c>
      <c r="I8" s="726">
        <v>0.25</v>
      </c>
      <c r="J8" s="726">
        <v>0.25</v>
      </c>
      <c r="K8" s="726">
        <v>0.25</v>
      </c>
      <c r="L8" s="726">
        <v>0.25</v>
      </c>
      <c r="M8" s="726">
        <v>0.25</v>
      </c>
      <c r="N8" s="726">
        <v>0.25</v>
      </c>
      <c r="O8" s="726">
        <v>0.25</v>
      </c>
      <c r="P8" s="726">
        <v>0.25</v>
      </c>
      <c r="Q8" s="726">
        <v>0.25</v>
      </c>
      <c r="R8" s="726">
        <v>0.25</v>
      </c>
      <c r="S8" s="726">
        <v>0.25</v>
      </c>
      <c r="T8" s="726">
        <v>0.25</v>
      </c>
      <c r="U8" s="726">
        <v>0.25</v>
      </c>
    </row>
    <row r="9" spans="1:22" ht="27" customHeight="1" x14ac:dyDescent="0.35">
      <c r="A9" s="1216" t="s">
        <v>752</v>
      </c>
      <c r="B9" s="726">
        <v>0</v>
      </c>
      <c r="C9" s="726">
        <f>0.18</f>
        <v>0.18</v>
      </c>
      <c r="D9" s="726">
        <f>1-C9</f>
        <v>0.82000000000000006</v>
      </c>
      <c r="E9" s="726">
        <v>0.25</v>
      </c>
      <c r="F9" s="726">
        <v>0.25</v>
      </c>
      <c r="G9" s="726">
        <v>0.25</v>
      </c>
      <c r="H9" s="726">
        <v>0.25</v>
      </c>
      <c r="I9" s="726">
        <v>0.25</v>
      </c>
      <c r="J9" s="726">
        <v>0.25</v>
      </c>
      <c r="K9" s="726">
        <v>0.25</v>
      </c>
      <c r="L9" s="726">
        <v>0.25</v>
      </c>
      <c r="M9" s="726">
        <v>0.25</v>
      </c>
      <c r="N9" s="726">
        <v>0.25</v>
      </c>
      <c r="O9" s="726">
        <v>0.25</v>
      </c>
      <c r="P9" s="726">
        <v>0.25</v>
      </c>
      <c r="Q9" s="726">
        <v>0.25</v>
      </c>
      <c r="R9" s="726">
        <v>0.25</v>
      </c>
      <c r="S9" s="726">
        <v>0.25</v>
      </c>
      <c r="T9" s="726">
        <v>0.25</v>
      </c>
      <c r="U9" s="726">
        <v>0.25</v>
      </c>
    </row>
    <row r="10" spans="1:22" x14ac:dyDescent="0.35">
      <c r="A10" s="1216" t="s">
        <v>753</v>
      </c>
      <c r="B10" s="726">
        <v>0</v>
      </c>
      <c r="C10" s="726">
        <v>0.5</v>
      </c>
      <c r="D10" s="726">
        <v>0.5</v>
      </c>
      <c r="E10" s="726">
        <v>0.25</v>
      </c>
      <c r="F10" s="726">
        <v>0.25</v>
      </c>
      <c r="G10" s="726">
        <v>0.25</v>
      </c>
      <c r="H10" s="726">
        <v>0.25</v>
      </c>
      <c r="I10" s="726">
        <v>0.25</v>
      </c>
      <c r="J10" s="726">
        <v>0.25</v>
      </c>
      <c r="K10" s="726">
        <v>0.25</v>
      </c>
      <c r="L10" s="726">
        <v>0.25</v>
      </c>
      <c r="M10" s="726">
        <v>0.25</v>
      </c>
      <c r="N10" s="726">
        <v>0.25</v>
      </c>
      <c r="O10" s="726">
        <v>0.25</v>
      </c>
      <c r="P10" s="726">
        <v>0.25</v>
      </c>
      <c r="Q10" s="726">
        <v>0.25</v>
      </c>
      <c r="R10" s="726">
        <v>0.25</v>
      </c>
      <c r="S10" s="726">
        <v>0.25</v>
      </c>
      <c r="T10" s="726">
        <v>0.25</v>
      </c>
      <c r="U10" s="726">
        <v>0.25</v>
      </c>
    </row>
    <row r="11" spans="1:22" x14ac:dyDescent="0.35">
      <c r="A11" s="1216" t="s">
        <v>754</v>
      </c>
      <c r="B11" s="726">
        <v>0</v>
      </c>
      <c r="C11" s="726">
        <v>0.5</v>
      </c>
      <c r="D11" s="726">
        <v>0.5</v>
      </c>
      <c r="E11" s="726">
        <v>0.25</v>
      </c>
      <c r="F11" s="726">
        <v>0.25</v>
      </c>
      <c r="G11" s="726">
        <v>0.25</v>
      </c>
      <c r="H11" s="726">
        <v>0.25</v>
      </c>
      <c r="I11" s="726">
        <v>0.25</v>
      </c>
      <c r="J11" s="726">
        <v>0.25</v>
      </c>
      <c r="K11" s="726">
        <v>0.25</v>
      </c>
      <c r="L11" s="726">
        <v>0.25</v>
      </c>
      <c r="M11" s="726">
        <v>0.25</v>
      </c>
      <c r="N11" s="726">
        <v>0.25</v>
      </c>
      <c r="O11" s="726">
        <v>0.25</v>
      </c>
      <c r="P11" s="726">
        <v>0.25</v>
      </c>
      <c r="Q11" s="726">
        <v>0.25</v>
      </c>
      <c r="R11" s="726">
        <v>0.25</v>
      </c>
      <c r="S11" s="726">
        <v>0.25</v>
      </c>
      <c r="T11" s="726">
        <v>0.25</v>
      </c>
      <c r="U11" s="726">
        <v>0.25</v>
      </c>
    </row>
    <row r="12" spans="1:22" ht="14.25" customHeight="1" x14ac:dyDescent="0.35">
      <c r="A12" s="1216" t="s">
        <v>755</v>
      </c>
      <c r="B12" s="726">
        <v>1</v>
      </c>
      <c r="C12" s="726"/>
      <c r="D12" s="726"/>
      <c r="E12" s="726"/>
      <c r="F12" s="726"/>
      <c r="G12" s="726"/>
      <c r="H12" s="726"/>
      <c r="I12" s="726"/>
      <c r="J12" s="726"/>
      <c r="K12" s="726"/>
      <c r="L12" s="726"/>
      <c r="M12" s="726"/>
      <c r="N12" s="726"/>
      <c r="O12" s="726"/>
      <c r="P12" s="726"/>
      <c r="Q12" s="726"/>
      <c r="R12" s="726"/>
      <c r="S12" s="726"/>
      <c r="T12" s="726"/>
      <c r="U12" s="726"/>
    </row>
    <row r="13" spans="1:22" x14ac:dyDescent="0.35">
      <c r="A13" s="1216" t="s">
        <v>756</v>
      </c>
      <c r="B13" s="726">
        <v>0</v>
      </c>
      <c r="C13" s="726">
        <v>0.4</v>
      </c>
      <c r="D13" s="726">
        <v>0.6</v>
      </c>
      <c r="E13" s="726">
        <v>0.4</v>
      </c>
      <c r="F13" s="726">
        <v>0.3</v>
      </c>
      <c r="G13" s="726">
        <v>0.2</v>
      </c>
      <c r="H13" s="726">
        <v>0.1</v>
      </c>
      <c r="I13" s="726">
        <v>0.25</v>
      </c>
      <c r="J13" s="726">
        <v>0.25</v>
      </c>
      <c r="K13" s="726">
        <v>0.25</v>
      </c>
      <c r="L13" s="726">
        <v>0.25</v>
      </c>
      <c r="M13" s="726">
        <v>0.25</v>
      </c>
      <c r="N13" s="726">
        <v>0.25</v>
      </c>
      <c r="O13" s="726">
        <v>0.25</v>
      </c>
      <c r="P13" s="726">
        <v>0.25</v>
      </c>
      <c r="Q13" s="726">
        <v>0.25</v>
      </c>
      <c r="R13" s="726">
        <v>0.25</v>
      </c>
      <c r="S13" s="726">
        <v>0.25</v>
      </c>
      <c r="T13" s="726">
        <v>0.25</v>
      </c>
      <c r="U13" s="726">
        <v>0.25</v>
      </c>
    </row>
    <row r="14" spans="1:22" x14ac:dyDescent="0.35">
      <c r="A14" s="1216"/>
      <c r="B14" s="726"/>
      <c r="C14" s="726"/>
      <c r="D14" s="726"/>
      <c r="E14" s="726"/>
      <c r="F14" s="726"/>
      <c r="G14" s="726"/>
      <c r="H14" s="726"/>
      <c r="I14" s="726"/>
      <c r="J14" s="726"/>
      <c r="K14" s="726"/>
      <c r="L14" s="726"/>
      <c r="M14" s="726"/>
      <c r="N14" s="726"/>
      <c r="O14" s="726"/>
      <c r="P14" s="726"/>
      <c r="Q14" s="726"/>
      <c r="R14" s="726"/>
      <c r="S14" s="726"/>
      <c r="T14" s="726"/>
      <c r="U14" s="726"/>
    </row>
    <row r="15" spans="1:22" ht="27" customHeight="1" x14ac:dyDescent="0.35">
      <c r="A15" s="1217" t="s">
        <v>757</v>
      </c>
      <c r="B15" s="726">
        <v>1</v>
      </c>
      <c r="C15" s="726">
        <v>2</v>
      </c>
      <c r="D15" s="726">
        <v>3</v>
      </c>
      <c r="E15" s="726">
        <v>4</v>
      </c>
      <c r="F15" s="726">
        <v>5</v>
      </c>
      <c r="G15" s="726">
        <v>6</v>
      </c>
      <c r="H15" s="726">
        <v>7</v>
      </c>
      <c r="I15" s="726">
        <v>8</v>
      </c>
      <c r="J15" s="726">
        <v>9</v>
      </c>
      <c r="K15" s="726">
        <v>10</v>
      </c>
      <c r="L15" s="726">
        <v>11</v>
      </c>
      <c r="M15" s="726">
        <v>12</v>
      </c>
      <c r="N15" s="726">
        <v>13</v>
      </c>
      <c r="O15" s="726">
        <v>14</v>
      </c>
      <c r="P15" s="726">
        <v>15</v>
      </c>
      <c r="Q15" s="726">
        <v>16</v>
      </c>
      <c r="R15" s="726">
        <v>17</v>
      </c>
      <c r="S15" s="726">
        <v>18</v>
      </c>
      <c r="T15" s="726">
        <v>19</v>
      </c>
      <c r="U15" s="726">
        <v>20</v>
      </c>
    </row>
    <row r="16" spans="1:22" x14ac:dyDescent="0.35">
      <c r="A16" s="1216" t="s">
        <v>758</v>
      </c>
      <c r="B16" s="726">
        <v>7.0000000000000007E-2</v>
      </c>
      <c r="C16" s="726">
        <v>7.0000000000000007E-2</v>
      </c>
      <c r="D16" s="726">
        <v>4.9000000000000002E-2</v>
      </c>
      <c r="E16" s="726">
        <v>4.9000000000000002E-2</v>
      </c>
      <c r="F16" s="726">
        <v>4.9000000000000002E-2</v>
      </c>
      <c r="G16" s="726">
        <v>4.9000000000000002E-2</v>
      </c>
      <c r="H16" s="726">
        <v>4.9000000000000002E-2</v>
      </c>
      <c r="I16" s="726">
        <v>4.9000000000000002E-2</v>
      </c>
      <c r="J16" s="726">
        <v>4.9000000000000002E-2</v>
      </c>
      <c r="K16" s="726">
        <v>4.9000000000000002E-2</v>
      </c>
      <c r="L16" s="726">
        <v>4.9000000000000002E-2</v>
      </c>
      <c r="M16" s="726">
        <v>4.9000000000000002E-2</v>
      </c>
      <c r="N16" s="726">
        <f t="shared" ref="N16:T16" si="1">0.0475</f>
        <v>4.7500000000000001E-2</v>
      </c>
      <c r="O16" s="726">
        <f t="shared" si="1"/>
        <v>4.7500000000000001E-2</v>
      </c>
      <c r="P16" s="726">
        <f t="shared" si="1"/>
        <v>4.7500000000000001E-2</v>
      </c>
      <c r="Q16" s="726">
        <f t="shared" si="1"/>
        <v>4.7500000000000001E-2</v>
      </c>
      <c r="R16" s="726">
        <f t="shared" si="1"/>
        <v>4.7500000000000001E-2</v>
      </c>
      <c r="S16" s="726">
        <f t="shared" si="1"/>
        <v>4.7500000000000001E-2</v>
      </c>
      <c r="T16" s="726">
        <f t="shared" si="1"/>
        <v>4.7500000000000001E-2</v>
      </c>
      <c r="U16" s="726">
        <f>0.0375</f>
        <v>3.7499999999999999E-2</v>
      </c>
      <c r="V16" s="726">
        <f>SUM(B16:U16)</f>
        <v>0.99999999999999989</v>
      </c>
    </row>
    <row r="17" spans="1:23" ht="27" customHeight="1" x14ac:dyDescent="0.35">
      <c r="A17" s="1216" t="s">
        <v>759</v>
      </c>
      <c r="B17">
        <v>0</v>
      </c>
      <c r="C17">
        <v>0</v>
      </c>
      <c r="D17">
        <v>3.5000000000000003E-2</v>
      </c>
      <c r="E17">
        <v>4.65E-2</v>
      </c>
      <c r="F17">
        <v>0.06</v>
      </c>
      <c r="G17">
        <v>6.5000000000000002E-2</v>
      </c>
      <c r="H17">
        <v>0.05</v>
      </c>
      <c r="I17">
        <v>0.05</v>
      </c>
      <c r="J17">
        <v>0.06</v>
      </c>
      <c r="K17">
        <v>0.06</v>
      </c>
      <c r="L17">
        <v>7.0000000000000007E-2</v>
      </c>
      <c r="M17">
        <v>7.0000000000000007E-2</v>
      </c>
      <c r="N17">
        <v>0.06</v>
      </c>
      <c r="O17">
        <v>0.06</v>
      </c>
      <c r="P17">
        <v>5.3499999999999999E-2</v>
      </c>
      <c r="Q17">
        <f t="shared" ref="Q17:T17" si="2">Q16</f>
        <v>4.7500000000000001E-2</v>
      </c>
      <c r="R17">
        <f t="shared" si="2"/>
        <v>4.7500000000000001E-2</v>
      </c>
      <c r="S17">
        <f t="shared" si="2"/>
        <v>4.7500000000000001E-2</v>
      </c>
      <c r="T17">
        <f t="shared" si="2"/>
        <v>4.7500000000000001E-2</v>
      </c>
      <c r="U17">
        <v>0.01</v>
      </c>
      <c r="V17" s="726">
        <f>SUM(B17:U17)</f>
        <v>0.94000000000000006</v>
      </c>
      <c r="W17" t="s">
        <v>760</v>
      </c>
    </row>
    <row r="19" spans="1:23" x14ac:dyDescent="0.35">
      <c r="B19" s="833" t="e">
        <f>'Federal and State Purchases'!#REF!</f>
        <v>#REF!</v>
      </c>
      <c r="C19" s="833" t="e">
        <f>'Federal and State Purchases'!#REF!</f>
        <v>#REF!</v>
      </c>
    </row>
  </sheetData>
  <pageMargins left="0.7" right="0.7" top="0.75" bottom="0.75" header="0.3" footer="0.3"/>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5" tint="0.59999389629810485"/>
  </sheetPr>
  <dimension ref="A1:X99"/>
  <sheetViews>
    <sheetView zoomScale="99" zoomScaleNormal="80" workbookViewId="0">
      <pane xSplit="2" ySplit="2" topLeftCell="F3" activePane="bottomRight" state="frozen"/>
      <selection pane="topRight" activeCell="C1" sqref="C1"/>
      <selection pane="bottomLeft" activeCell="A3" sqref="A3"/>
      <selection pane="bottomRight" activeCell="H5" sqref="H5"/>
    </sheetView>
  </sheetViews>
  <sheetFormatPr defaultColWidth="10.90625" defaultRowHeight="14.5" x14ac:dyDescent="0.35"/>
  <cols>
    <col min="1" max="1" width="15.453125" customWidth="1"/>
    <col min="2" max="2" width="32.453125" customWidth="1"/>
  </cols>
  <sheetData>
    <row r="1" spans="1:23" x14ac:dyDescent="0.35">
      <c r="A1" s="734" t="s">
        <v>761</v>
      </c>
      <c r="B1" s="734" t="s">
        <v>671</v>
      </c>
      <c r="C1" s="1220">
        <v>2021</v>
      </c>
      <c r="D1" s="1220">
        <f>C1</f>
        <v>2021</v>
      </c>
      <c r="E1" s="1220">
        <f>D1</f>
        <v>2021</v>
      </c>
      <c r="F1" s="1220">
        <v>2022</v>
      </c>
      <c r="G1" s="1220">
        <v>2022</v>
      </c>
      <c r="H1" s="1220">
        <v>2022</v>
      </c>
      <c r="I1" s="1220">
        <v>2022</v>
      </c>
      <c r="J1" s="1220">
        <v>2023</v>
      </c>
      <c r="K1" s="1220">
        <v>2023</v>
      </c>
      <c r="L1" s="1220">
        <v>2023</v>
      </c>
      <c r="M1" s="1220">
        <v>2023</v>
      </c>
      <c r="N1" s="1220">
        <v>2024</v>
      </c>
      <c r="O1" s="1220">
        <v>2024</v>
      </c>
      <c r="P1" s="1220">
        <v>2024</v>
      </c>
      <c r="Q1" s="1220">
        <v>2024</v>
      </c>
      <c r="R1" s="1220">
        <v>2025</v>
      </c>
      <c r="S1" s="1220">
        <v>2025</v>
      </c>
      <c r="T1" s="1220">
        <v>2025</v>
      </c>
      <c r="U1" s="1220">
        <v>2025</v>
      </c>
      <c r="V1" s="1220">
        <v>2026</v>
      </c>
    </row>
    <row r="2" spans="1:23" x14ac:dyDescent="0.35">
      <c r="B2" s="734" t="s">
        <v>762</v>
      </c>
      <c r="C2" s="214" t="s">
        <v>249</v>
      </c>
      <c r="D2" s="214" t="s">
        <v>250</v>
      </c>
      <c r="E2" s="214" t="s">
        <v>180</v>
      </c>
      <c r="F2" s="214" t="s">
        <v>181</v>
      </c>
      <c r="G2" s="214" t="s">
        <v>182</v>
      </c>
      <c r="H2" s="214" t="s">
        <v>183</v>
      </c>
      <c r="I2" s="214" t="s">
        <v>184</v>
      </c>
      <c r="J2" s="214" t="s">
        <v>185</v>
      </c>
      <c r="K2" s="214" t="s">
        <v>186</v>
      </c>
      <c r="L2" s="214" t="s">
        <v>187</v>
      </c>
      <c r="M2" s="214" t="s">
        <v>188</v>
      </c>
      <c r="N2" s="214" t="s">
        <v>189</v>
      </c>
      <c r="O2" s="214" t="s">
        <v>190</v>
      </c>
      <c r="P2" s="214" t="s">
        <v>191</v>
      </c>
      <c r="Q2" s="214" t="s">
        <v>175</v>
      </c>
      <c r="R2" s="214" t="s">
        <v>176</v>
      </c>
      <c r="S2" s="214" t="s">
        <v>177</v>
      </c>
      <c r="T2" s="214" t="s">
        <v>763</v>
      </c>
      <c r="U2" s="214" t="s">
        <v>764</v>
      </c>
      <c r="V2" s="214" t="s">
        <v>765</v>
      </c>
    </row>
    <row r="3" spans="1:23" x14ac:dyDescent="0.35">
      <c r="A3" s="734">
        <v>3</v>
      </c>
      <c r="B3" s="734" t="s">
        <v>526</v>
      </c>
      <c r="C3" s="1221">
        <f>4*'ARP Timing'!B6*VLOOKUP(C$1,'ARP Score'!$A$5:$M14,$A3)</f>
        <v>0</v>
      </c>
      <c r="D3" s="1221">
        <f>4*'ARP Timing'!C6*VLOOKUP(D$1,'ARP Score'!$A$5:$M14,$A3)</f>
        <v>336.60399999999998</v>
      </c>
      <c r="E3" s="1221">
        <f>4*'ARP Timing'!D6*VLOOKUP(E$1,'ARP Score'!$A$5:$M14,$A3)</f>
        <v>446.19599999999991</v>
      </c>
      <c r="F3" s="1221">
        <f>4*'ARP Timing'!E6*VLOOKUP(F$1,'ARP Score'!$A$5:$M14,$A3)</f>
        <v>10.1</v>
      </c>
      <c r="G3" s="1221">
        <f>4*'ARP Timing'!F6*VLOOKUP(G$1,'ARP Score'!$A$5:$M14,$A3)</f>
        <v>10.1</v>
      </c>
      <c r="H3" s="1221">
        <f>4*'ARP Timing'!G6*VLOOKUP(H$1,'ARP Score'!$A$5:$M14,$A3)</f>
        <v>10.1</v>
      </c>
      <c r="I3" s="1221">
        <f>4*'ARP Timing'!H6*VLOOKUP(I$1,'ARP Score'!$A$5:$M14,$A3)</f>
        <v>10.1</v>
      </c>
      <c r="J3" s="1221">
        <f>4*'ARP Timing'!I6*VLOOKUP(J$1,'ARP Score'!$A$5:$M14,$A3)</f>
        <v>0</v>
      </c>
      <c r="K3" s="1221">
        <f>4*'ARP Timing'!J6*VLOOKUP(K$1,'ARP Score'!$A$5:$M14,$A3)</f>
        <v>0</v>
      </c>
      <c r="L3" s="1221">
        <f>4*'ARP Timing'!K6*VLOOKUP(L$1,'ARP Score'!$A$5:$M14,$A3)</f>
        <v>0</v>
      </c>
      <c r="M3" s="1221">
        <f>4*'ARP Timing'!L6*VLOOKUP(M$1,'ARP Score'!$A$5:$M14,$A3)</f>
        <v>0</v>
      </c>
      <c r="N3" s="1221">
        <f>4*'ARP Timing'!M6*VLOOKUP(N$1,'ARP Score'!$A$5:$M14,$A3)</f>
        <v>0</v>
      </c>
      <c r="O3" s="1221">
        <f>4*'ARP Timing'!N6*VLOOKUP(O$1,'ARP Score'!$A$5:$M14,$A3)</f>
        <v>0</v>
      </c>
      <c r="P3" s="1221">
        <f>4*'ARP Timing'!O6*VLOOKUP(P$1,'ARP Score'!$A$5:$M14,$A3)</f>
        <v>0</v>
      </c>
      <c r="Q3" s="1221">
        <f>4*'ARP Timing'!P6*VLOOKUP(Q$1,'ARP Score'!$A$5:$M14,$A3)</f>
        <v>0</v>
      </c>
      <c r="R3" s="1221">
        <f>4*'ARP Timing'!Q6*VLOOKUP(R$1,'ARP Score'!$A$5:$M14,$A3)</f>
        <v>0</v>
      </c>
      <c r="S3" s="1221">
        <f>4*'ARP Timing'!R6*VLOOKUP(S$1,'ARP Score'!$A$5:$M14,$A3)</f>
        <v>0</v>
      </c>
      <c r="T3" s="1221">
        <f>4*'ARP Timing'!S6*VLOOKUP(T$1,'ARP Score'!$A$5:$M14,$A3)</f>
        <v>0</v>
      </c>
      <c r="U3" s="1221">
        <f>4*'ARP Timing'!T6*VLOOKUP(U$1,'ARP Score'!$A$5:$M14,$A3)</f>
        <v>0</v>
      </c>
      <c r="V3" s="1221">
        <f>4*'ARP Timing'!U6*VLOOKUP(V$1,'ARP Score'!$A$5:$M14,$A3)</f>
        <v>0</v>
      </c>
      <c r="W3" s="1221">
        <f>SUM(C3:U3)/4</f>
        <v>205.8</v>
      </c>
    </row>
    <row r="4" spans="1:23" x14ac:dyDescent="0.35">
      <c r="A4" s="734">
        <v>5</v>
      </c>
      <c r="B4" s="33" t="s">
        <v>673</v>
      </c>
      <c r="C4" s="1221">
        <f>4*'ARP Timing'!B7*VLOOKUP(C$1,'ARP Score'!$A$5:$M15,$A4)</f>
        <v>0</v>
      </c>
      <c r="D4" s="1221">
        <f>4*'ARP Timing'!C7*VLOOKUP(D$1,'ARP Score'!$A$5:$M15,$A4)</f>
        <v>0</v>
      </c>
      <c r="E4" s="1221">
        <f>4*'ARP Timing'!D7*VLOOKUP(E$1,'ARP Score'!$A$5:$M15,$A4)</f>
        <v>3.1040000000000418</v>
      </c>
      <c r="F4" s="1221">
        <f>4*'ARP Timing'!E7*VLOOKUP(F$1,'ARP Score'!$A$5:$M15,$A4)</f>
        <v>19.719000000000005</v>
      </c>
      <c r="G4" s="1221">
        <f>4*'ARP Timing'!F7*VLOOKUP(G$1,'ARP Score'!$A$5:$M15,$A4)</f>
        <v>19.719000000000005</v>
      </c>
      <c r="H4" s="1221">
        <f>4*'ARP Timing'!G7*VLOOKUP(H$1,'ARP Score'!$A$5:$M15,$A4)</f>
        <v>19.719000000000005</v>
      </c>
      <c r="I4" s="1221">
        <f>4*'ARP Timing'!H7*VLOOKUP(I$1,'ARP Score'!$A$5:$M15,$A4)</f>
        <v>19.719000000000005</v>
      </c>
      <c r="J4" s="1221">
        <f>4*'ARP Timing'!I7*VLOOKUP(J$1,'ARP Score'!$A$5:$M15,$A4)</f>
        <v>1.4159999999999999</v>
      </c>
      <c r="K4" s="1221">
        <f>4*'ARP Timing'!J7*VLOOKUP(K$1,'ARP Score'!$A$5:$M15,$A4)</f>
        <v>1.4159999999999999</v>
      </c>
      <c r="L4" s="1221">
        <f>4*'ARP Timing'!K7*VLOOKUP(L$1,'ARP Score'!$A$5:$M15,$A4)</f>
        <v>1.4159999999999999</v>
      </c>
      <c r="M4" s="1221">
        <f>4*'ARP Timing'!L7*VLOOKUP(M$1,'ARP Score'!$A$5:$M15,$A4)</f>
        <v>1.4159999999999999</v>
      </c>
      <c r="N4" s="1221">
        <f>4*'ARP Timing'!M7*VLOOKUP(N$1,'ARP Score'!$A$5:$M15,$A4)</f>
        <v>1.4790000000000001</v>
      </c>
      <c r="O4" s="1221">
        <f>4*'ARP Timing'!N7*VLOOKUP(O$1,'ARP Score'!$A$5:$M15,$A4)</f>
        <v>1.4790000000000001</v>
      </c>
      <c r="P4" s="1221">
        <f>4*'ARP Timing'!O7*VLOOKUP(P$1,'ARP Score'!$A$5:$M15,$A4)</f>
        <v>1.4790000000000001</v>
      </c>
      <c r="Q4" s="1221">
        <f>4*'ARP Timing'!P7*VLOOKUP(Q$1,'ARP Score'!$A$5:$M15,$A4)</f>
        <v>1.4790000000000001</v>
      </c>
      <c r="R4" s="1221">
        <f>4*'ARP Timing'!Q7*VLOOKUP(R$1,'ARP Score'!$A$5:$M15,$A4)</f>
        <v>1.63</v>
      </c>
      <c r="S4" s="1221">
        <f>4*'ARP Timing'!R7*VLOOKUP(S$1,'ARP Score'!$A$5:$M15,$A4)</f>
        <v>1.63</v>
      </c>
      <c r="T4" s="1221">
        <f>4*'ARP Timing'!S7*VLOOKUP(T$1,'ARP Score'!$A$5:$M15,$A4)</f>
        <v>1.63</v>
      </c>
      <c r="U4" s="1221">
        <f>4*'ARP Timing'!T7*VLOOKUP(U$1,'ARP Score'!$A$5:$M15,$A4)</f>
        <v>1.63</v>
      </c>
      <c r="V4" s="1221">
        <f>4*'ARP Timing'!U7*VLOOKUP(V$1,'ARP Score'!$A$5:$M15,$A4)</f>
        <v>1.671</v>
      </c>
      <c r="W4" s="1221">
        <f>SUM(C4:U4)/4</f>
        <v>25.020000000000007</v>
      </c>
    </row>
    <row r="5" spans="1:23" x14ac:dyDescent="0.35">
      <c r="A5" s="734">
        <v>6</v>
      </c>
      <c r="B5" s="33" t="s">
        <v>674</v>
      </c>
      <c r="C5" s="1221">
        <f>4*'ARP Timing'!B8*VLOOKUP(C$1,'ARP Score'!$A$5:$M16,$A5)</f>
        <v>0</v>
      </c>
      <c r="D5" s="1221">
        <f>4*'ARP Timing'!C8*VLOOKUP(D$1,'ARP Score'!$A$5:$M16,$A5)</f>
        <v>33.921840000000024</v>
      </c>
      <c r="E5" s="1221">
        <f>4*'ARP Timing'!D8*VLOOKUP(E$1,'ARP Score'!$A$5:$M16,$A5)</f>
        <v>44.966160000000031</v>
      </c>
      <c r="F5" s="1221">
        <f>4*'ARP Timing'!E8*VLOOKUP(F$1,'ARP Score'!$A$5:$M16,$A5)</f>
        <v>52.756999999999998</v>
      </c>
      <c r="G5" s="1221">
        <f>4*'ARP Timing'!F8*VLOOKUP(G$1,'ARP Score'!$A$5:$M16,$A5)</f>
        <v>52.756999999999998</v>
      </c>
      <c r="H5" s="1221">
        <f>4*'ARP Timing'!G8*VLOOKUP(H$1,'ARP Score'!$A$5:$M16,$A5)</f>
        <v>52.756999999999998</v>
      </c>
      <c r="I5" s="1221">
        <f>4*'ARP Timing'!H8*VLOOKUP(I$1,'ARP Score'!$A$5:$M16,$A5)</f>
        <v>52.756999999999998</v>
      </c>
      <c r="J5" s="1221">
        <f>4*'ARP Timing'!I8*VLOOKUP(J$1,'ARP Score'!$A$5:$M16,$A5)</f>
        <v>12</v>
      </c>
      <c r="K5" s="1221">
        <f>4*'ARP Timing'!J8*VLOOKUP(K$1,'ARP Score'!$A$5:$M16,$A5)</f>
        <v>12</v>
      </c>
      <c r="L5" s="1221">
        <f>4*'ARP Timing'!K8*VLOOKUP(L$1,'ARP Score'!$A$5:$M16,$A5)</f>
        <v>12</v>
      </c>
      <c r="M5" s="1221">
        <f>4*'ARP Timing'!L8*VLOOKUP(M$1,'ARP Score'!$A$5:$M16,$A5)</f>
        <v>12</v>
      </c>
      <c r="N5" s="1221">
        <f>4*'ARP Timing'!M8*VLOOKUP(N$1,'ARP Score'!$A$5:$M16,$A5)</f>
        <v>4.2219999999999995</v>
      </c>
      <c r="O5" s="1221">
        <f>4*'ARP Timing'!N8*VLOOKUP(O$1,'ARP Score'!$A$5:$M16,$A5)</f>
        <v>4.2219999999999995</v>
      </c>
      <c r="P5" s="1221">
        <f>4*'ARP Timing'!O8*VLOOKUP(P$1,'ARP Score'!$A$5:$M16,$A5)</f>
        <v>4.2219999999999995</v>
      </c>
      <c r="Q5" s="1221">
        <f>4*'ARP Timing'!P8*VLOOKUP(Q$1,'ARP Score'!$A$5:$M16,$A5)</f>
        <v>4.2219999999999995</v>
      </c>
      <c r="R5" s="1221">
        <f>4*'ARP Timing'!Q8*VLOOKUP(R$1,'ARP Score'!$A$5:$M16,$A5)</f>
        <v>2.3719999999999999</v>
      </c>
      <c r="S5" s="1221">
        <f>4*'ARP Timing'!R8*VLOOKUP(S$1,'ARP Score'!$A$5:$M16,$A5)</f>
        <v>2.3719999999999999</v>
      </c>
      <c r="T5" s="1221">
        <f>4*'ARP Timing'!S8*VLOOKUP(T$1,'ARP Score'!$A$5:$M16,$A5)</f>
        <v>2.3719999999999999</v>
      </c>
      <c r="U5" s="1221">
        <f>4*'ARP Timing'!T8*VLOOKUP(U$1,'ARP Score'!$A$5:$M16,$A5)</f>
        <v>2.3719999999999999</v>
      </c>
      <c r="V5" s="1221">
        <f>4*'ARP Timing'!U8*VLOOKUP(V$1,'ARP Score'!$A$5:$M16,$A5)</f>
        <v>0.49</v>
      </c>
      <c r="W5" s="1221">
        <f t="shared" ref="W5:W15" si="0">SUM(C5:U5)/4</f>
        <v>91.073000000000008</v>
      </c>
    </row>
    <row r="6" spans="1:23" x14ac:dyDescent="0.35">
      <c r="A6" s="734">
        <v>7</v>
      </c>
      <c r="B6" s="33" t="s">
        <v>766</v>
      </c>
      <c r="C6" s="1221">
        <f>4*'ARP Timing'!B9*VLOOKUP(C$1,'ARP Score'!$A$5:$M17,$A6)</f>
        <v>0</v>
      </c>
      <c r="D6" s="1221">
        <f>4*'ARP Timing'!C9*VLOOKUP(D$1,'ARP Score'!$A$5:$M17,$A6)</f>
        <v>58.782959999999989</v>
      </c>
      <c r="E6" s="1221">
        <f>4*'ARP Timing'!D9*VLOOKUP(E$1,'ARP Score'!$A$5:$M17,$A6)</f>
        <v>267.78904</v>
      </c>
      <c r="F6" s="1221">
        <f>4*'ARP Timing'!E9*VLOOKUP(F$1,'ARP Score'!$A$5:$M17,$A6)</f>
        <v>110.24799999999999</v>
      </c>
      <c r="G6" s="1221">
        <f>4*'ARP Timing'!F9*VLOOKUP(G$1,'ARP Score'!$A$5:$M17,$A6)</f>
        <v>110.24799999999999</v>
      </c>
      <c r="H6" s="1221">
        <f>4*'ARP Timing'!G9*VLOOKUP(H$1,'ARP Score'!$A$5:$M17,$A6)</f>
        <v>110.24799999999999</v>
      </c>
      <c r="I6" s="1221">
        <f>4*'ARP Timing'!H9*VLOOKUP(I$1,'ARP Score'!$A$5:$M17,$A6)</f>
        <v>110.24799999999999</v>
      </c>
      <c r="J6" s="1221">
        <f>4*'ARP Timing'!I9*VLOOKUP(J$1,'ARP Score'!$A$5:$M17,$A6)</f>
        <v>12.726000000000001</v>
      </c>
      <c r="K6" s="1221">
        <f>4*'ARP Timing'!J9*VLOOKUP(K$1,'ARP Score'!$A$5:$M17,$A6)</f>
        <v>12.726000000000001</v>
      </c>
      <c r="L6" s="1221">
        <f>4*'ARP Timing'!K9*VLOOKUP(L$1,'ARP Score'!$A$5:$M17,$A6)</f>
        <v>12.726000000000001</v>
      </c>
      <c r="M6" s="1221">
        <f>4*'ARP Timing'!L9*VLOOKUP(M$1,'ARP Score'!$A$5:$M17,$A6)</f>
        <v>12.726000000000001</v>
      </c>
      <c r="N6" s="1221">
        <f>4*'ARP Timing'!M9*VLOOKUP(N$1,'ARP Score'!$A$5:$M17,$A6)</f>
        <v>1.365</v>
      </c>
      <c r="O6" s="1221">
        <f>4*'ARP Timing'!N9*VLOOKUP(O$1,'ARP Score'!$A$5:$M17,$A6)</f>
        <v>1.365</v>
      </c>
      <c r="P6" s="1221">
        <f>4*'ARP Timing'!O9*VLOOKUP(P$1,'ARP Score'!$A$5:$M17,$A6)</f>
        <v>1.365</v>
      </c>
      <c r="Q6" s="1221">
        <f>4*'ARP Timing'!P9*VLOOKUP(Q$1,'ARP Score'!$A$5:$M17,$A6)</f>
        <v>1.365</v>
      </c>
      <c r="R6" s="1221">
        <f>4*'ARP Timing'!Q9*VLOOKUP(R$1,'ARP Score'!$A$5:$M17,$A6)</f>
        <v>-0.90100000000000025</v>
      </c>
      <c r="S6" s="1221">
        <f>4*'ARP Timing'!R9*VLOOKUP(S$1,'ARP Score'!$A$5:$M17,$A6)</f>
        <v>-0.90100000000000025</v>
      </c>
      <c r="T6" s="1221">
        <f>4*'ARP Timing'!S9*VLOOKUP(T$1,'ARP Score'!$A$5:$M17,$A6)</f>
        <v>-0.90100000000000025</v>
      </c>
      <c r="U6" s="1221">
        <f>4*'ARP Timing'!T9*VLOOKUP(U$1,'ARP Score'!$A$5:$M17,$A6)</f>
        <v>-0.90100000000000025</v>
      </c>
      <c r="V6" s="1221">
        <f>4*'ARP Timing'!U9*VLOOKUP(V$1,'ARP Score'!$A$5:$M17,$A6)</f>
        <v>-2.1500000000000004</v>
      </c>
      <c r="W6" s="1221">
        <f t="shared" si="0"/>
        <v>205.08100000000007</v>
      </c>
    </row>
    <row r="7" spans="1:23" x14ac:dyDescent="0.35">
      <c r="A7" s="734">
        <v>8</v>
      </c>
      <c r="B7" s="33" t="s">
        <v>131</v>
      </c>
      <c r="C7" s="1221">
        <f>4*'ARP Timing'!B10*VLOOKUP(C$1,'ARP Score'!$A$5:$M18,$A7)</f>
        <v>0</v>
      </c>
      <c r="D7" s="1221">
        <f>4*'ARP Timing'!C10*VLOOKUP(D$1,'ARP Score'!$A$5:$M18,$A7)</f>
        <v>15.596</v>
      </c>
      <c r="E7" s="1221">
        <f>4*'ARP Timing'!D10*VLOOKUP(E$1,'ARP Score'!$A$5:$M18,$A7)</f>
        <v>15.596</v>
      </c>
      <c r="F7" s="1221">
        <f>4*'ARP Timing'!E10*VLOOKUP(F$1,'ARP Score'!$A$5:$M18,$A7)</f>
        <v>7.9489999999999998</v>
      </c>
      <c r="G7" s="1221">
        <f>4*'ARP Timing'!F10*VLOOKUP(G$1,'ARP Score'!$A$5:$M18,$A7)</f>
        <v>7.9489999999999998</v>
      </c>
      <c r="H7" s="1221">
        <f>4*'ARP Timing'!G10*VLOOKUP(H$1,'ARP Score'!$A$5:$M18,$A7)</f>
        <v>7.9489999999999998</v>
      </c>
      <c r="I7" s="1221">
        <f>4*'ARP Timing'!H10*VLOOKUP(I$1,'ARP Score'!$A$5:$M18,$A7)</f>
        <v>7.9489999999999998</v>
      </c>
      <c r="J7" s="1221">
        <f>4*'ARP Timing'!I10*VLOOKUP(J$1,'ARP Score'!$A$5:$M18,$A7)</f>
        <v>4.7519999999999998</v>
      </c>
      <c r="K7" s="1221">
        <f>4*'ARP Timing'!J10*VLOOKUP(K$1,'ARP Score'!$A$5:$M18,$A7)</f>
        <v>4.7519999999999998</v>
      </c>
      <c r="L7" s="1221">
        <f>4*'ARP Timing'!K10*VLOOKUP(L$1,'ARP Score'!$A$5:$M18,$A7)</f>
        <v>4.7519999999999998</v>
      </c>
      <c r="M7" s="1221">
        <f>4*'ARP Timing'!L10*VLOOKUP(M$1,'ARP Score'!$A$5:$M18,$A7)</f>
        <v>4.7519999999999998</v>
      </c>
      <c r="N7" s="1221">
        <f>4*'ARP Timing'!M10*VLOOKUP(N$1,'ARP Score'!$A$5:$M18,$A7)</f>
        <v>4.637999999999999</v>
      </c>
      <c r="O7" s="1221">
        <f>4*'ARP Timing'!N10*VLOOKUP(O$1,'ARP Score'!$A$5:$M18,$A7)</f>
        <v>4.637999999999999</v>
      </c>
      <c r="P7" s="1221">
        <f>4*'ARP Timing'!O10*VLOOKUP(P$1,'ARP Score'!$A$5:$M18,$A7)</f>
        <v>4.637999999999999</v>
      </c>
      <c r="Q7" s="1221">
        <f>4*'ARP Timing'!P10*VLOOKUP(Q$1,'ARP Score'!$A$5:$M18,$A7)</f>
        <v>4.637999999999999</v>
      </c>
      <c r="R7" s="1221">
        <f>4*'ARP Timing'!Q10*VLOOKUP(R$1,'ARP Score'!$A$5:$M18,$A7)</f>
        <v>1.8800000000000001</v>
      </c>
      <c r="S7" s="1221">
        <f>4*'ARP Timing'!R10*VLOOKUP(S$1,'ARP Score'!$A$5:$M18,$A7)</f>
        <v>1.8800000000000001</v>
      </c>
      <c r="T7" s="1221">
        <f>4*'ARP Timing'!S10*VLOOKUP(T$1,'ARP Score'!$A$5:$M18,$A7)</f>
        <v>1.8800000000000001</v>
      </c>
      <c r="U7" s="1221">
        <f>4*'ARP Timing'!T10*VLOOKUP(U$1,'ARP Score'!$A$5:$M18,$A7)</f>
        <v>1.8800000000000001</v>
      </c>
      <c r="V7" s="1221">
        <f>4*'ARP Timing'!U10*VLOOKUP(V$1,'ARP Score'!$A$5:$M18,$A7)</f>
        <v>1.446</v>
      </c>
      <c r="W7" s="1221">
        <f t="shared" si="0"/>
        <v>27.016999999999996</v>
      </c>
    </row>
    <row r="8" spans="1:23" x14ac:dyDescent="0.35">
      <c r="A8" s="734">
        <v>9</v>
      </c>
      <c r="B8" s="1222" t="s">
        <v>347</v>
      </c>
      <c r="C8" s="1221">
        <f>4*'ARP Timing'!B$11*VLOOKUP(C$1,'ARP Score'!$A$5:$M19,$A8)</f>
        <v>0</v>
      </c>
      <c r="D8" s="1221">
        <f>0.6*SUM('ARP Score'!B5:B7)*4</f>
        <v>989.16719999999987</v>
      </c>
      <c r="E8" s="1220">
        <v>0</v>
      </c>
      <c r="F8" s="1221">
        <v>0</v>
      </c>
      <c r="G8" s="1221">
        <v>0</v>
      </c>
      <c r="H8" s="1221">
        <f>D8*0.4/0.6</f>
        <v>659.44479999999999</v>
      </c>
      <c r="I8" s="1221">
        <v>0</v>
      </c>
      <c r="J8" s="734">
        <v>0</v>
      </c>
      <c r="K8" s="1221">
        <v>0</v>
      </c>
      <c r="L8" s="1221">
        <v>0</v>
      </c>
      <c r="M8" s="1221">
        <v>0</v>
      </c>
      <c r="N8" s="1221">
        <v>0</v>
      </c>
      <c r="O8" s="1221">
        <v>0</v>
      </c>
      <c r="P8" s="1221">
        <v>0</v>
      </c>
      <c r="Q8" s="1221">
        <v>0</v>
      </c>
      <c r="R8" s="1221">
        <v>0</v>
      </c>
      <c r="S8" s="1221">
        <v>0</v>
      </c>
      <c r="T8" s="1221">
        <v>0</v>
      </c>
      <c r="U8" s="1221">
        <v>0</v>
      </c>
      <c r="V8" s="1221">
        <v>0</v>
      </c>
      <c r="W8" s="1221">
        <f t="shared" si="0"/>
        <v>412.15299999999996</v>
      </c>
    </row>
    <row r="9" spans="1:23" x14ac:dyDescent="0.35">
      <c r="A9" s="734">
        <v>10</v>
      </c>
      <c r="B9" s="1222" t="s">
        <v>150</v>
      </c>
      <c r="C9" s="1221">
        <f>4*'ARP Timing'!B$11*VLOOKUP(C$1,'ARP Score'!$A$5:$M20,$A9)</f>
        <v>0</v>
      </c>
      <c r="D9" s="1221">
        <f>4*'ARP Timing'!C$11*VLOOKUP(D$1,'ARP Score'!$A$5:$M20,$A9)</f>
        <v>24.693999999999999</v>
      </c>
      <c r="E9" s="1221">
        <f>4*'ARP Timing'!D$11*VLOOKUP(E$1,'ARP Score'!$A$5:$M20,$A9)</f>
        <v>24.693999999999999</v>
      </c>
      <c r="F9" s="1221">
        <f>4*'ARP Timing'!E$11*VLOOKUP(F$1,'ARP Score'!$A$5:$M20,$A9)</f>
        <v>46.79</v>
      </c>
      <c r="G9" s="1221">
        <f>4*'ARP Timing'!F$11*VLOOKUP(G$1,'ARP Score'!$A$5:$M20,$A9)</f>
        <v>46.79</v>
      </c>
      <c r="H9" s="1221">
        <f>4*'ARP Timing'!G$11*VLOOKUP(H$1,'ARP Score'!$A$5:$M20,$A9)</f>
        <v>46.79</v>
      </c>
      <c r="I9" s="1221">
        <f>4*'ARP Timing'!H$11*VLOOKUP(I$1,'ARP Score'!$A$5:$M20,$A9)</f>
        <v>46.79</v>
      </c>
      <c r="J9" s="1221">
        <f>4*'ARP Timing'!I$11*VLOOKUP(J$1,'ARP Score'!$A$5:$M20,$A9)</f>
        <v>38.595999999999997</v>
      </c>
      <c r="K9" s="1221">
        <f>4*'ARP Timing'!J$11*VLOOKUP(K$1,'ARP Score'!$A$5:$M20,$A9)</f>
        <v>38.595999999999997</v>
      </c>
      <c r="L9" s="1221">
        <f>4*'ARP Timing'!K$11*VLOOKUP(L$1,'ARP Score'!$A$5:$M20,$A9)</f>
        <v>38.595999999999997</v>
      </c>
      <c r="M9" s="1221">
        <f>4*'ARP Timing'!L$11*VLOOKUP(M$1,'ARP Score'!$A$5:$M20,$A9)</f>
        <v>38.595999999999997</v>
      </c>
      <c r="N9" s="1221">
        <f>4*'ARP Timing'!M$11*VLOOKUP(N$1,'ARP Score'!$A$5:$M20,$A9)</f>
        <v>31.911000000000001</v>
      </c>
      <c r="O9" s="1221">
        <f>4*'ARP Timing'!N$11*VLOOKUP(O$1,'ARP Score'!$A$5:$M20,$A9)</f>
        <v>31.911000000000001</v>
      </c>
      <c r="P9" s="1221">
        <f>4*'ARP Timing'!O$11*VLOOKUP(P$1,'ARP Score'!$A$5:$M20,$A9)</f>
        <v>31.911000000000001</v>
      </c>
      <c r="Q9" s="1221">
        <f>4*'ARP Timing'!P$11*VLOOKUP(Q$1,'ARP Score'!$A$5:$M20,$A9)</f>
        <v>31.911000000000001</v>
      </c>
      <c r="R9" s="1221">
        <f>4*'ARP Timing'!Q$11*VLOOKUP(R$1,'ARP Score'!$A$5:$M20,$A9)</f>
        <v>23.099</v>
      </c>
      <c r="S9" s="1221">
        <f>4*'ARP Timing'!R$11*VLOOKUP(S$1,'ARP Score'!$A$5:$M20,$A9)</f>
        <v>23.099</v>
      </c>
      <c r="T9" s="1221">
        <f>4*'ARP Timing'!S$11*VLOOKUP(T$1,'ARP Score'!$A$5:$M20,$A9)</f>
        <v>23.099</v>
      </c>
      <c r="U9" s="1221">
        <f>4*'ARP Timing'!T$11*VLOOKUP(U$1,'ARP Score'!$A$5:$M20,$A9)</f>
        <v>23.099</v>
      </c>
      <c r="V9" s="1221">
        <f>4*'ARP Timing'!U$11*VLOOKUP(V$1,'ARP Score'!$A$5:$M20,$A9)</f>
        <v>10.766999999999999</v>
      </c>
      <c r="W9" s="1221">
        <f t="shared" si="0"/>
        <v>152.74300000000005</v>
      </c>
    </row>
    <row r="10" spans="1:23" x14ac:dyDescent="0.35">
      <c r="A10" s="1226">
        <v>11</v>
      </c>
      <c r="B10" s="1222" t="s">
        <v>363</v>
      </c>
      <c r="C10" s="1221">
        <f>4*'ARP Timing'!B$11*VLOOKUP(C$1,'ARP Score'!$A$5:$M22,$A10)</f>
        <v>0</v>
      </c>
      <c r="D10" s="1221">
        <f>4*'ARP Timing'!C$11*VLOOKUP(D$1,'ARP Score'!$A$5:$M22,$A10)</f>
        <v>59.256</v>
      </c>
      <c r="E10" s="1221">
        <f>4*'ARP Timing'!D$11*VLOOKUP(E$1,'ARP Score'!$A$5:$M22,$A10)</f>
        <v>59.256</v>
      </c>
      <c r="F10" s="1221">
        <f>4*'ARP Timing'!E$11*VLOOKUP(F$1,'ARP Score'!$A$5:$M22,$A10)</f>
        <v>35.671000000000006</v>
      </c>
      <c r="G10" s="1221">
        <f>4*'ARP Timing'!F$11*VLOOKUP(G$1,'ARP Score'!$A$5:$M22,$A10)</f>
        <v>35.671000000000006</v>
      </c>
      <c r="H10" s="1221">
        <f>4*'ARP Timing'!G$11*VLOOKUP(H$1,'ARP Score'!$A$5:$M22,$A10)</f>
        <v>35.671000000000006</v>
      </c>
      <c r="I10" s="1221">
        <f>4*'ARP Timing'!H$11*VLOOKUP(I$1,'ARP Score'!$A$5:$M22,$A10)</f>
        <v>35.671000000000006</v>
      </c>
      <c r="J10" s="1221">
        <f>4*'ARP Timing'!I$11*VLOOKUP(J$1,'ARP Score'!$A$5:$M22,$A10)</f>
        <v>24.216000000000001</v>
      </c>
      <c r="K10" s="1221">
        <f>4*'ARP Timing'!J$11*VLOOKUP(K$1,'ARP Score'!$A$5:$M22,$A10)</f>
        <v>24.216000000000001</v>
      </c>
      <c r="L10" s="1221">
        <f>4*'ARP Timing'!K$11*VLOOKUP(L$1,'ARP Score'!$A$5:$M22,$A10)</f>
        <v>24.216000000000001</v>
      </c>
      <c r="M10" s="1221">
        <f>4*'ARP Timing'!L$11*VLOOKUP(M$1,'ARP Score'!$A$5:$M22,$A10)</f>
        <v>24.216000000000001</v>
      </c>
      <c r="N10" s="1221">
        <f>4*'ARP Timing'!M$11*VLOOKUP(N$1,'ARP Score'!$A$5:$M22,$A10)</f>
        <v>9.6430000000000007</v>
      </c>
      <c r="O10" s="1221">
        <f>4*'ARP Timing'!N$11*VLOOKUP(O$1,'ARP Score'!$A$5:$M22,$A10)</f>
        <v>9.6430000000000007</v>
      </c>
      <c r="P10" s="1221">
        <f>4*'ARP Timing'!O$11*VLOOKUP(P$1,'ARP Score'!$A$5:$M22,$A10)</f>
        <v>9.6430000000000007</v>
      </c>
      <c r="Q10" s="1221">
        <f>4*'ARP Timing'!P$11*VLOOKUP(Q$1,'ARP Score'!$A$5:$M22,$A10)</f>
        <v>9.6430000000000007</v>
      </c>
      <c r="R10" s="1221">
        <f>4*'ARP Timing'!Q$11*VLOOKUP(R$1,'ARP Score'!$A$5:$M22,$A10)</f>
        <v>4.5789999999999997</v>
      </c>
      <c r="S10" s="1221">
        <f>4*'ARP Timing'!R$11*VLOOKUP(S$1,'ARP Score'!$A$5:$M22,$A10)</f>
        <v>4.5789999999999997</v>
      </c>
      <c r="T10" s="1221">
        <f>4*'ARP Timing'!S$11*VLOOKUP(T$1,'ARP Score'!$A$5:$M22,$A10)</f>
        <v>4.5789999999999997</v>
      </c>
      <c r="U10" s="1221">
        <f>4*'ARP Timing'!T$11*VLOOKUP(U$1,'ARP Score'!$A$5:$M22,$A10)</f>
        <v>4.5789999999999997</v>
      </c>
      <c r="V10" s="1221">
        <f>4*'ARP Timing'!U$11*VLOOKUP(V$1,'ARP Score'!$A$5:$M22,$A10)</f>
        <v>2.9130000000000003</v>
      </c>
      <c r="W10" s="1221">
        <f t="shared" si="0"/>
        <v>103.73700000000002</v>
      </c>
    </row>
    <row r="11" spans="1:23" x14ac:dyDescent="0.35">
      <c r="A11" s="734">
        <v>12</v>
      </c>
      <c r="B11" s="14" t="s">
        <v>159</v>
      </c>
      <c r="C11" s="1221">
        <f>4*'ARP Timing'!B12*VLOOKUP(C$1,'ARP Score'!$A$5:$M20,$A11)</f>
        <v>103</v>
      </c>
      <c r="D11" s="1221">
        <f>4*'ARP Timing'!C12*VLOOKUP(D$1,'ARP Score'!$A$5:$M20,$A11)</f>
        <v>0</v>
      </c>
      <c r="E11" s="1221">
        <f>4*'ARP Timing'!D12*VLOOKUP(E$1,'ARP Score'!$A$5:$M20,$A11)</f>
        <v>0</v>
      </c>
      <c r="F11" s="1221">
        <f>4*'ARP Timing'!E12*VLOOKUP(F$1,'ARP Score'!$A$5:$M20,$A11)</f>
        <v>0</v>
      </c>
      <c r="G11" s="1221">
        <f>4*'ARP Timing'!F12*VLOOKUP(G$1,'ARP Score'!$A$5:$M20,$A11)</f>
        <v>0</v>
      </c>
      <c r="H11" s="1221">
        <f>4*'ARP Timing'!G12*VLOOKUP(H$1,'ARP Score'!$A$5:$M20,$A11)</f>
        <v>0</v>
      </c>
      <c r="I11" s="1221">
        <f>4*'ARP Timing'!H12*VLOOKUP(I$1,'ARP Score'!$A$5:$M20,$A11)</f>
        <v>0</v>
      </c>
      <c r="J11" s="1221">
        <f>4*'ARP Timing'!I12*VLOOKUP(J$1,'ARP Score'!$A$5:$M20,$A11)</f>
        <v>0</v>
      </c>
      <c r="K11" s="1221">
        <f>4*'ARP Timing'!J12*VLOOKUP(K$1,'ARP Score'!$A$5:$M20,$A11)</f>
        <v>0</v>
      </c>
      <c r="L11" s="1221">
        <f>4*'ARP Timing'!K12*VLOOKUP(L$1,'ARP Score'!$A$5:$M20,$A11)</f>
        <v>0</v>
      </c>
      <c r="M11" s="1221">
        <f>4*'ARP Timing'!L12*VLOOKUP(M$1,'ARP Score'!$A$5:$M20,$A11)</f>
        <v>0</v>
      </c>
      <c r="N11" s="1221">
        <f>4*'ARP Timing'!M12*VLOOKUP(N$1,'ARP Score'!$A$5:$M20,$A11)</f>
        <v>0</v>
      </c>
      <c r="O11" s="1221">
        <f>4*'ARP Timing'!N12*VLOOKUP(O$1,'ARP Score'!$A$5:$M20,$A11)</f>
        <v>0</v>
      </c>
      <c r="P11" s="1221">
        <f>4*'ARP Timing'!O12*VLOOKUP(P$1,'ARP Score'!$A$5:$M20,$A11)</f>
        <v>0</v>
      </c>
      <c r="Q11" s="1221">
        <f>4*'ARP Timing'!P12*VLOOKUP(Q$1,'ARP Score'!$A$5:$M20,$A11)</f>
        <v>0</v>
      </c>
      <c r="R11" s="1221">
        <f>4*'ARP Timing'!Q12*VLOOKUP(R$1,'ARP Score'!$A$5:$M20,$A11)</f>
        <v>0</v>
      </c>
      <c r="S11" s="1221">
        <f>4*'ARP Timing'!R12*VLOOKUP(S$1,'ARP Score'!$A$5:$M20,$A11)</f>
        <v>0</v>
      </c>
      <c r="T11" s="1221">
        <f>4*'ARP Timing'!S12*VLOOKUP(T$1,'ARP Score'!$A$5:$M20,$A11)</f>
        <v>0</v>
      </c>
      <c r="U11" s="1221">
        <f>4*'ARP Timing'!T12*VLOOKUP(U$1,'ARP Score'!$A$5:$M20,$A11)</f>
        <v>0</v>
      </c>
      <c r="V11" s="1221">
        <f>4*'ARP Timing'!U12*VLOOKUP(V$1,'ARP Score'!$A$5:$M20,$A11)</f>
        <v>0</v>
      </c>
      <c r="W11" s="1221">
        <f t="shared" si="0"/>
        <v>25.75</v>
      </c>
    </row>
    <row r="12" spans="1:23" x14ac:dyDescent="0.35">
      <c r="A12" s="734">
        <v>13</v>
      </c>
      <c r="B12" s="33" t="s">
        <v>109</v>
      </c>
      <c r="C12" s="1221">
        <f>4*'ARP Timing'!B13*VLOOKUP(C$1,'ARP Score'!$A$5:$M21,$A12)</f>
        <v>0</v>
      </c>
      <c r="D12" s="1221">
        <f>4*'ARP Timing'!C13*VLOOKUP(D$1,'ARP Score'!$A$5:$M21,$A12)</f>
        <v>51.102400000000003</v>
      </c>
      <c r="E12" s="1221">
        <f>4*'ARP Timing'!D13*VLOOKUP(E$1,'ARP Score'!$A$5:$M21,$A12)</f>
        <v>76.653599999999997</v>
      </c>
      <c r="F12" s="1221">
        <f>4*'ARP Timing'!E13*VLOOKUP(F$1,'ARP Score'!$A$5:$M21,$A12)</f>
        <v>90.260800000000003</v>
      </c>
      <c r="G12" s="1221">
        <f>4*'ARP Timing'!F13*VLOOKUP(G$1,'ARP Score'!$A$5:$M21,$A12)</f>
        <v>67.695599999999999</v>
      </c>
      <c r="H12" s="1221">
        <f>4*'ARP Timing'!G13*VLOOKUP(H$1,'ARP Score'!$A$5:$M21,$A12)</f>
        <v>45.130400000000002</v>
      </c>
      <c r="I12" s="1221">
        <f>4*'ARP Timing'!H13*VLOOKUP(I$1,'ARP Score'!$A$5:$M21,$A12)</f>
        <v>22.565200000000001</v>
      </c>
      <c r="J12" s="1221">
        <f>4*'ARP Timing'!I13*VLOOKUP(J$1,'ARP Score'!$A$5:$M21,$A12)</f>
        <v>15.652999999999999</v>
      </c>
      <c r="K12" s="1221">
        <f>4*'ARP Timing'!J13*VLOOKUP(K$1,'ARP Score'!$A$5:$M21,$A12)</f>
        <v>15.652999999999999</v>
      </c>
      <c r="L12" s="1221">
        <f>4*'ARP Timing'!K13*VLOOKUP(L$1,'ARP Score'!$A$5:$M21,$A12)</f>
        <v>15.652999999999999</v>
      </c>
      <c r="M12" s="1221">
        <f>4*'ARP Timing'!L13*VLOOKUP(M$1,'ARP Score'!$A$5:$M21,$A12)</f>
        <v>15.652999999999999</v>
      </c>
      <c r="N12" s="1221">
        <f>4*'ARP Timing'!M13*VLOOKUP(N$1,'ARP Score'!$A$5:$M21,$A12)</f>
        <v>3.9320000000000004</v>
      </c>
      <c r="O12" s="1221">
        <f>4*'ARP Timing'!N13*VLOOKUP(O$1,'ARP Score'!$A$5:$M21,$A12)</f>
        <v>3.9320000000000004</v>
      </c>
      <c r="P12" s="1221">
        <f>4*'ARP Timing'!O13*VLOOKUP(P$1,'ARP Score'!$A$5:$M21,$A12)</f>
        <v>3.9320000000000004</v>
      </c>
      <c r="Q12" s="1221">
        <f>4*'ARP Timing'!P13*VLOOKUP(Q$1,'ARP Score'!$A$5:$M21,$A12)</f>
        <v>3.9320000000000004</v>
      </c>
      <c r="R12" s="1221">
        <f>4*'ARP Timing'!Q13*VLOOKUP(R$1,'ARP Score'!$A$5:$M21,$A12)</f>
        <v>-0.74299999999999988</v>
      </c>
      <c r="S12" s="1221">
        <f>4*'ARP Timing'!R13*VLOOKUP(S$1,'ARP Score'!$A$5:$M21,$A12)</f>
        <v>-0.74299999999999988</v>
      </c>
      <c r="T12" s="1221">
        <f>4*'ARP Timing'!S13*VLOOKUP(T$1,'ARP Score'!$A$5:$M21,$A12)</f>
        <v>-0.74299999999999988</v>
      </c>
      <c r="U12" s="1221">
        <f>4*'ARP Timing'!T13*VLOOKUP(U$1,'ARP Score'!$A$5:$M21,$A12)</f>
        <v>-0.74299999999999988</v>
      </c>
      <c r="V12" s="1221">
        <f>4*'ARP Timing'!U13*VLOOKUP(V$1,'ARP Score'!$A$5:$M21,$A12)</f>
        <v>-21.606000000000002</v>
      </c>
      <c r="W12" s="1221">
        <f t="shared" si="0"/>
        <v>107.19400000000005</v>
      </c>
    </row>
    <row r="13" spans="1:23" x14ac:dyDescent="0.35">
      <c r="A13" s="734">
        <v>15</v>
      </c>
      <c r="B13" s="734" t="s">
        <v>767</v>
      </c>
      <c r="C13" s="1221">
        <f>0.3*'ARP Score'!$N5*4*'ARP Timing'!B6</f>
        <v>0</v>
      </c>
      <c r="D13" s="1221">
        <f>0.3*'ARP Score'!$N5*4*'ARP Timing'!C6</f>
        <v>1.7544</v>
      </c>
      <c r="E13" s="1221">
        <f>0.3*'ARP Score'!$N5*4*'ARP Timing'!D6</f>
        <v>2.3255999999999997</v>
      </c>
      <c r="F13" s="1221">
        <f>0.3*'ARP Score'!$N6*4*'ARP Timing'!E6</f>
        <v>1.5299999999999998</v>
      </c>
      <c r="G13" s="1221">
        <f>0.3*'ARP Score'!$N6*4*'ARP Timing'!F6</f>
        <v>1.5299999999999998</v>
      </c>
      <c r="H13" s="1221">
        <f>0.3*'ARP Score'!$N6*4*'ARP Timing'!G6</f>
        <v>1.5299999999999998</v>
      </c>
      <c r="I13" s="1221">
        <f>0.3*'ARP Score'!$N6*4*'ARP Timing'!H6</f>
        <v>1.5299999999999998</v>
      </c>
      <c r="J13" s="1221">
        <f>0.3*'ARP Score'!$N7*4*'ARP Timing'!I6</f>
        <v>0</v>
      </c>
      <c r="K13" s="1221">
        <f>0.3*'ARP Score'!$N7*4*'ARP Timing'!J6</f>
        <v>0</v>
      </c>
      <c r="L13" s="1221">
        <f>0.3*'ARP Score'!$N7*4*'ARP Timing'!K6</f>
        <v>0</v>
      </c>
      <c r="M13" s="1221">
        <f>0.3*'ARP Score'!$N7*4*'ARP Timing'!L6</f>
        <v>0</v>
      </c>
      <c r="N13" s="1221">
        <f>0.3*'ARP Score'!$N7*4*'ARP Timing'!M6</f>
        <v>0</v>
      </c>
      <c r="O13" s="1221">
        <f>0.3*'ARP Score'!$N7*4*'ARP Timing'!N6</f>
        <v>0</v>
      </c>
      <c r="P13" s="1221">
        <f>0.3*'ARP Score'!$N7*4*'ARP Timing'!O6</f>
        <v>0</v>
      </c>
      <c r="Q13" s="1221">
        <f>0.3*'ARP Score'!$N7*4*'ARP Timing'!P6</f>
        <v>0</v>
      </c>
      <c r="R13" s="1221">
        <f>0.3*'ARP Score'!$N7*4*'ARP Timing'!Q6</f>
        <v>0</v>
      </c>
      <c r="S13" s="1221">
        <f>0.3*'ARP Score'!$N7*4*'ARP Timing'!R6</f>
        <v>0</v>
      </c>
      <c r="T13" s="1221">
        <f>0.3*'ARP Score'!$N7*4*'ARP Timing'!S6</f>
        <v>0</v>
      </c>
      <c r="U13" s="1221">
        <f>0.3*'ARP Score'!$N7*4*'ARP Timing'!T6</f>
        <v>0</v>
      </c>
      <c r="V13" s="1221">
        <f>0.3*'ARP Score'!$N7*4*'ARP Timing'!U6</f>
        <v>0</v>
      </c>
      <c r="W13" s="1221">
        <f t="shared" si="0"/>
        <v>2.5499999999999994</v>
      </c>
    </row>
    <row r="14" spans="1:23" x14ac:dyDescent="0.35">
      <c r="A14" s="734">
        <v>14</v>
      </c>
      <c r="B14" s="734" t="s">
        <v>768</v>
      </c>
      <c r="C14" s="1221">
        <f>C13/0.3*0.2</f>
        <v>0</v>
      </c>
      <c r="D14" s="1221">
        <f t="shared" ref="D14:F14" si="1">D13/0.3*0.2</f>
        <v>1.1696</v>
      </c>
      <c r="E14" s="1221">
        <f t="shared" si="1"/>
        <v>1.5503999999999998</v>
      </c>
      <c r="F14" s="1221">
        <f t="shared" si="1"/>
        <v>1.02</v>
      </c>
      <c r="G14" s="1221">
        <f t="shared" ref="G14" si="2">G13/0.3*0.2</f>
        <v>1.02</v>
      </c>
      <c r="H14" s="1221">
        <f t="shared" ref="H14" si="3">H13/0.3*0.2</f>
        <v>1.02</v>
      </c>
      <c r="I14" s="1221">
        <f t="shared" ref="I14" si="4">I13/0.3*0.2</f>
        <v>1.02</v>
      </c>
      <c r="J14" s="1221">
        <f t="shared" ref="J14" si="5">J13/0.3*0.2</f>
        <v>0</v>
      </c>
      <c r="K14" s="1221">
        <f t="shared" ref="K14" si="6">K13/0.3*0.2</f>
        <v>0</v>
      </c>
      <c r="L14" s="1221">
        <f t="shared" ref="L14" si="7">L13/0.3*0.2</f>
        <v>0</v>
      </c>
      <c r="M14" s="1221">
        <f t="shared" ref="M14" si="8">M13/0.3*0.2</f>
        <v>0</v>
      </c>
      <c r="N14" s="1221">
        <f t="shared" ref="N14" si="9">N13/0.3*0.2</f>
        <v>0</v>
      </c>
      <c r="O14" s="1221">
        <f t="shared" ref="O14" si="10">O13/0.3*0.2</f>
        <v>0</v>
      </c>
      <c r="P14" s="1221">
        <f t="shared" ref="P14" si="11">P13/0.3*0.2</f>
        <v>0</v>
      </c>
      <c r="Q14" s="1221">
        <f t="shared" ref="Q14" si="12">Q13/0.3*0.2</f>
        <v>0</v>
      </c>
      <c r="R14" s="1221">
        <f t="shared" ref="R14" si="13">R13/0.3*0.2</f>
        <v>0</v>
      </c>
      <c r="S14" s="1221">
        <f t="shared" ref="S14" si="14">S13/0.3*0.2</f>
        <v>0</v>
      </c>
      <c r="T14" s="1221">
        <f t="shared" ref="T14" si="15">T13/0.3*0.2</f>
        <v>0</v>
      </c>
      <c r="U14" s="1221">
        <f t="shared" ref="U14" si="16">U13/0.3*0.2</f>
        <v>0</v>
      </c>
      <c r="V14" s="1221">
        <f t="shared" ref="V14" si="17">V13/0.3*0.2</f>
        <v>0</v>
      </c>
      <c r="W14" s="1221">
        <f t="shared" si="0"/>
        <v>1.6999999999999997</v>
      </c>
    </row>
    <row r="15" spans="1:23" x14ac:dyDescent="0.35">
      <c r="A15" s="734">
        <v>14</v>
      </c>
      <c r="B15" s="734" t="s">
        <v>469</v>
      </c>
      <c r="C15" s="1221">
        <f>C14/0.2*0.5</f>
        <v>0</v>
      </c>
      <c r="D15" s="1221">
        <f t="shared" ref="D15:F15" si="18">D14/0.2*0.5</f>
        <v>2.9239999999999999</v>
      </c>
      <c r="E15" s="1221">
        <f t="shared" si="18"/>
        <v>3.8759999999999994</v>
      </c>
      <c r="F15" s="1221">
        <f t="shared" si="18"/>
        <v>2.5499999999999998</v>
      </c>
      <c r="G15" s="1221">
        <f t="shared" ref="G15" si="19">G14/0.2*0.5</f>
        <v>2.5499999999999998</v>
      </c>
      <c r="H15" s="1221">
        <f t="shared" ref="H15" si="20">H14/0.2*0.5</f>
        <v>2.5499999999999998</v>
      </c>
      <c r="I15" s="1221">
        <f t="shared" ref="I15" si="21">I14/0.2*0.5</f>
        <v>2.5499999999999998</v>
      </c>
      <c r="J15" s="1221">
        <f t="shared" ref="J15" si="22">J14/0.2*0.5</f>
        <v>0</v>
      </c>
      <c r="K15" s="1221">
        <f t="shared" ref="K15" si="23">K14/0.2*0.5</f>
        <v>0</v>
      </c>
      <c r="L15" s="1221">
        <f t="shared" ref="L15" si="24">L14/0.2*0.5</f>
        <v>0</v>
      </c>
      <c r="M15" s="1221">
        <f t="shared" ref="M15" si="25">M14/0.2*0.5</f>
        <v>0</v>
      </c>
      <c r="N15" s="1221">
        <f t="shared" ref="N15" si="26">N14/0.2*0.5</f>
        <v>0</v>
      </c>
      <c r="O15" s="1221">
        <f t="shared" ref="O15" si="27">O14/0.2*0.5</f>
        <v>0</v>
      </c>
      <c r="P15" s="1221">
        <f t="shared" ref="P15" si="28">P14/0.2*0.5</f>
        <v>0</v>
      </c>
      <c r="Q15" s="1221">
        <f t="shared" ref="Q15" si="29">Q14/0.2*0.5</f>
        <v>0</v>
      </c>
      <c r="R15" s="1221">
        <f t="shared" ref="R15" si="30">R14/0.2*0.5</f>
        <v>0</v>
      </c>
      <c r="S15" s="1221">
        <f t="shared" ref="S15" si="31">S14/0.2*0.5</f>
        <v>0</v>
      </c>
      <c r="T15" s="1221">
        <f t="shared" ref="T15" si="32">T14/0.2*0.5</f>
        <v>0</v>
      </c>
      <c r="U15" s="1221">
        <f t="shared" ref="U15" si="33">U14/0.2*0.5</f>
        <v>0</v>
      </c>
      <c r="V15" s="1221">
        <f t="shared" ref="V15" si="34">V14/0.2*0.5</f>
        <v>0</v>
      </c>
      <c r="W15" s="1221">
        <f t="shared" si="0"/>
        <v>4.25</v>
      </c>
    </row>
    <row r="16" spans="1:23" x14ac:dyDescent="0.35">
      <c r="C16" s="1221"/>
      <c r="D16" s="1221"/>
      <c r="E16" s="1221"/>
      <c r="F16" s="1221"/>
      <c r="G16" s="1221"/>
      <c r="H16" s="1221"/>
      <c r="I16" s="1221"/>
      <c r="J16" s="1221"/>
      <c r="K16" s="1221"/>
      <c r="L16" s="1221"/>
      <c r="M16" s="1221"/>
      <c r="N16" s="1221"/>
      <c r="O16" s="1221"/>
      <c r="P16" s="1221"/>
      <c r="Q16" s="1221"/>
      <c r="R16" s="1221"/>
      <c r="S16" s="1221"/>
      <c r="T16" s="1221"/>
      <c r="U16" s="1221"/>
      <c r="V16" s="1221"/>
      <c r="W16" s="1221"/>
    </row>
    <row r="17" spans="1:23" x14ac:dyDescent="0.35">
      <c r="A17" s="734" t="s">
        <v>769</v>
      </c>
      <c r="C17" s="1221"/>
      <c r="D17" s="1221"/>
      <c r="E17" s="1221"/>
      <c r="F17" s="1221"/>
      <c r="G17" s="1221"/>
      <c r="H17" s="1221"/>
      <c r="I17" s="1221"/>
      <c r="J17" s="1221"/>
      <c r="K17" s="1221"/>
      <c r="L17" s="1221"/>
      <c r="M17" s="1221"/>
      <c r="N17" s="1221"/>
      <c r="O17" s="1221"/>
      <c r="P17" s="1221"/>
      <c r="Q17" s="1221"/>
      <c r="R17" s="1221"/>
      <c r="S17" s="1221"/>
      <c r="T17" s="1221"/>
      <c r="U17" s="1221"/>
      <c r="V17" s="1221"/>
      <c r="W17" s="1221"/>
    </row>
    <row r="18" spans="1:23" x14ac:dyDescent="0.35">
      <c r="B18" s="535" t="s">
        <v>143</v>
      </c>
      <c r="C18" s="1221">
        <f>'ARP Score'!$BG5/'ARP Score'!$G5*C6</f>
        <v>0</v>
      </c>
      <c r="D18" s="1221">
        <f>'ARP Score'!$BG5/'ARP Score'!$G5*D6</f>
        <v>2.2132800000000001</v>
      </c>
      <c r="E18" s="1221">
        <f>'ARP Score'!$BG5/'ARP Score'!$G5*E6</f>
        <v>10.082720000000002</v>
      </c>
      <c r="F18" s="1221">
        <f>'ARP Score'!$BG6/'ARP Score'!$G6*F6</f>
        <v>7.1439999999999992</v>
      </c>
      <c r="G18" s="1221">
        <f>'ARP Score'!$BG6/'ARP Score'!$G6*G6</f>
        <v>7.1439999999999992</v>
      </c>
      <c r="H18" s="1221">
        <f>'ARP Score'!$BG6/'ARP Score'!$G6*H6</f>
        <v>7.1439999999999992</v>
      </c>
      <c r="I18" s="1221">
        <f>'ARP Score'!$BG6/'ARP Score'!$G6*I6</f>
        <v>7.1439999999999992</v>
      </c>
      <c r="J18" s="1221">
        <f>'ARP Score'!$BG7/'ARP Score'!$G7*J6</f>
        <v>0</v>
      </c>
      <c r="K18" s="1221">
        <f>'ARP Score'!$BG7/'ARP Score'!$G7*K6</f>
        <v>0</v>
      </c>
      <c r="L18" s="1221">
        <f>'ARP Score'!$BG7/'ARP Score'!$G7*L6</f>
        <v>0</v>
      </c>
      <c r="M18" s="1221">
        <f>'ARP Score'!$BG7/'ARP Score'!$G7*M6</f>
        <v>0</v>
      </c>
      <c r="N18" s="1221"/>
      <c r="O18" s="1221"/>
      <c r="P18" s="1221"/>
      <c r="Q18" s="1221"/>
      <c r="R18" s="1221"/>
      <c r="S18" s="1221"/>
      <c r="T18" s="1221"/>
      <c r="U18" s="1221"/>
      <c r="V18" s="1221"/>
      <c r="W18" s="1221"/>
    </row>
    <row r="19" spans="1:23" x14ac:dyDescent="0.35">
      <c r="B19" s="535" t="s">
        <v>770</v>
      </c>
      <c r="C19" s="1221">
        <f>'ARP Score'!$BI5/'ARP Score'!$G5*C6</f>
        <v>0</v>
      </c>
      <c r="D19" s="1221">
        <f>'ARP Score'!$BI5/'ARP Score'!$G5*D6</f>
        <v>15.128640000000001</v>
      </c>
      <c r="E19" s="1221">
        <f>'ARP Score'!$BI5/'ARP Score'!$G5*E6</f>
        <v>68.919360000000012</v>
      </c>
      <c r="F19" s="1221">
        <f>'ARP Score'!$BI6/'ARP Score'!$G6*F6</f>
        <v>5.6120000000000001</v>
      </c>
      <c r="G19" s="1221">
        <f>'ARP Score'!$BI6/'ARP Score'!$G6*G6</f>
        <v>5.6120000000000001</v>
      </c>
      <c r="H19" s="1221">
        <f>'ARP Score'!$BI6/'ARP Score'!$G6*H6</f>
        <v>5.6120000000000001</v>
      </c>
      <c r="I19" s="1221">
        <f>'ARP Score'!$BI6/'ARP Score'!$G6*I6</f>
        <v>5.6120000000000001</v>
      </c>
      <c r="J19" s="1221">
        <f>'ARP Score'!$B7/'ARP Score'!$G7*J6</f>
        <v>0.48599999999999993</v>
      </c>
      <c r="K19" s="1221">
        <f>'ARP Score'!$B7/'ARP Score'!$G7*K6</f>
        <v>0.48599999999999993</v>
      </c>
      <c r="L19" s="1221">
        <f>'ARP Score'!$B7/'ARP Score'!$G7*L6</f>
        <v>0.48599999999999993</v>
      </c>
      <c r="M19" s="1221">
        <f>'ARP Score'!$B7/'ARP Score'!$G7*M6</f>
        <v>0.48599999999999993</v>
      </c>
      <c r="N19" s="1221">
        <f>'ARP Score'!$B8/'ARP Score'!$G8*N6</f>
        <v>0</v>
      </c>
      <c r="O19" s="1221"/>
      <c r="P19" s="1221"/>
      <c r="Q19" s="1221"/>
      <c r="R19" s="1221"/>
      <c r="S19" s="1221"/>
      <c r="T19" s="1221"/>
      <c r="U19" s="1221"/>
      <c r="V19" s="1221"/>
      <c r="W19" s="1221"/>
    </row>
    <row r="20" spans="1:23" x14ac:dyDescent="0.35">
      <c r="B20" s="535" t="s">
        <v>148</v>
      </c>
      <c r="C20" s="1221">
        <f>'ARP Score'!$BF5/'ARP Score'!$G5*C6</f>
        <v>0</v>
      </c>
      <c r="D20" s="1221">
        <f>'ARP Score'!$BF5/'ARP Score'!$G5*D6</f>
        <v>3.2479199999999997</v>
      </c>
      <c r="E20" s="1221">
        <f>'ARP Score'!$BF5/'ARP Score'!$G5*E6</f>
        <v>14.796080000000002</v>
      </c>
      <c r="F20" s="1221">
        <f>'ARP Score'!$BF6/'ARP Score'!$G6*F6</f>
        <v>1.7329999999999999</v>
      </c>
      <c r="G20" s="1221">
        <f>'ARP Score'!$BF6/'ARP Score'!$G6*G6</f>
        <v>1.7329999999999999</v>
      </c>
      <c r="H20" s="1221">
        <f>'ARP Score'!$BF6/'ARP Score'!$G6*H6</f>
        <v>1.7329999999999999</v>
      </c>
      <c r="I20" s="1221">
        <f>'ARP Score'!$BF6/'ARP Score'!$G6*I6</f>
        <v>1.7329999999999999</v>
      </c>
      <c r="J20" s="1221">
        <f>'ARP Score'!$BF7/'ARP Score'!$G7*J6</f>
        <v>0</v>
      </c>
      <c r="K20" s="1221">
        <f>'ARP Score'!$BF7/'ARP Score'!$G7*K6</f>
        <v>0</v>
      </c>
      <c r="L20" s="1221">
        <f>'ARP Score'!$BF7/'ARP Score'!$G7*L6</f>
        <v>0</v>
      </c>
      <c r="M20" s="1221">
        <f>'ARP Score'!$BF7/'ARP Score'!$G7*M6</f>
        <v>0</v>
      </c>
      <c r="N20" s="1221"/>
      <c r="O20" s="1221"/>
      <c r="P20" s="1221"/>
      <c r="Q20" s="1221"/>
      <c r="R20" s="1221"/>
      <c r="S20" s="1221"/>
      <c r="T20" s="1221"/>
      <c r="U20" s="1221"/>
      <c r="V20" s="1221"/>
      <c r="W20" s="1221"/>
    </row>
    <row r="21" spans="1:23" x14ac:dyDescent="0.35">
      <c r="B21" s="1227" t="s">
        <v>412</v>
      </c>
      <c r="C21" s="1221">
        <f>15/40*(C6*'ARP Score'!$BD5/'ARP Score'!$G5)</f>
        <v>0</v>
      </c>
      <c r="D21" s="1221">
        <f>15/40*(D6*('ARP Score'!$BD5+'ARP Score'!$BE5)/'ARP Score'!$G5)</f>
        <v>13.2921</v>
      </c>
      <c r="E21" s="1221">
        <f>15/40*(E6*('ARP Score'!$BD5+'ARP Score'!$BE5)/'ARP Score'!$G5)</f>
        <v>60.552900000000008</v>
      </c>
      <c r="F21" s="1221">
        <f>15/40*(F6*('ARP Score'!$BD6+'ARP Score'!$BE6)/'ARP Score'!$G6)</f>
        <v>1.0687500000000001</v>
      </c>
      <c r="G21" s="1221">
        <f>15/40*(G6*('ARP Score'!$BD6+'ARP Score'!$BE6)/'ARP Score'!$G6)</f>
        <v>1.0687500000000001</v>
      </c>
      <c r="H21" s="1221">
        <f>15/40*(H6*('ARP Score'!$BD6+'ARP Score'!$BE6)/'ARP Score'!$G6)</f>
        <v>1.0687500000000001</v>
      </c>
      <c r="I21" s="1221">
        <f>15/40*(I6*('ARP Score'!$BD6+'ARP Score'!$BE6)/'ARP Score'!$G6)</f>
        <v>1.0687500000000001</v>
      </c>
      <c r="J21" s="1221">
        <f>15/40*(J6*('ARP Score'!$BD7+'ARP Score'!$BE7)/'ARP Score'!$G7)</f>
        <v>0.78750000000000009</v>
      </c>
      <c r="K21" s="1221">
        <f>15/40*(K6*('ARP Score'!$BD7+'ARP Score'!$BE7)/'ARP Score'!$G7)</f>
        <v>0.78750000000000009</v>
      </c>
      <c r="L21" s="1221">
        <f>15/40*(L6*('ARP Score'!$BD7+'ARP Score'!$BE7)/'ARP Score'!$G7)</f>
        <v>0.78750000000000009</v>
      </c>
      <c r="M21" s="1221">
        <f>15/40*(M6*('ARP Score'!$BD7+'ARP Score'!$BE7)/'ARP Score'!$G7)</f>
        <v>0.78750000000000009</v>
      </c>
      <c r="N21" s="1221"/>
      <c r="O21" s="1221"/>
      <c r="P21" s="1221"/>
      <c r="Q21" s="1221"/>
      <c r="R21" s="1221"/>
      <c r="S21" s="1221"/>
      <c r="T21" s="1221"/>
      <c r="U21" s="1221"/>
      <c r="V21" s="1221"/>
      <c r="W21" s="1221"/>
    </row>
    <row r="22" spans="1:23" x14ac:dyDescent="0.35">
      <c r="B22" s="1227" t="s">
        <v>771</v>
      </c>
      <c r="C22" s="1221"/>
      <c r="D22" s="1221">
        <f>D21/15*25</f>
        <v>22.153499999999998</v>
      </c>
      <c r="E22" s="1221">
        <f>E21/15*25</f>
        <v>100.92150000000002</v>
      </c>
      <c r="F22" s="1221">
        <f>F21/15*25</f>
        <v>1.7812500000000002</v>
      </c>
      <c r="G22" s="1221">
        <f>G21/15*25</f>
        <v>1.7812500000000002</v>
      </c>
      <c r="H22" s="1221">
        <f t="shared" ref="H22:J22" si="35">H21/15*25</f>
        <v>1.7812500000000002</v>
      </c>
      <c r="I22" s="1221">
        <f t="shared" si="35"/>
        <v>1.7812500000000002</v>
      </c>
      <c r="J22" s="1221">
        <f t="shared" si="35"/>
        <v>1.3125000000000002</v>
      </c>
      <c r="K22" s="1221">
        <f t="shared" ref="K22" si="36">K21/15*25</f>
        <v>1.3125000000000002</v>
      </c>
      <c r="L22" s="1221">
        <f t="shared" ref="L22" si="37">L21/15*25</f>
        <v>1.3125000000000002</v>
      </c>
      <c r="M22" s="1221">
        <f t="shared" ref="M22" si="38">M21/15*25</f>
        <v>1.3125000000000002</v>
      </c>
      <c r="N22" s="1221"/>
      <c r="O22" s="1221"/>
      <c r="P22" s="1221"/>
      <c r="Q22" s="1221"/>
      <c r="R22" s="1221"/>
      <c r="S22" s="1221"/>
      <c r="T22" s="1221"/>
      <c r="U22" s="1221"/>
      <c r="V22" s="1221"/>
      <c r="W22" s="1221"/>
    </row>
    <row r="23" spans="1:23" x14ac:dyDescent="0.35">
      <c r="B23" s="535" t="s">
        <v>424</v>
      </c>
      <c r="C23" s="1221">
        <f>'ARP Score'!$BB5/'ARP Score'!$G5*C6</f>
        <v>0</v>
      </c>
      <c r="D23" s="1221">
        <f>'ARP Score'!$BB5/'ARP Score'!$G5*D6</f>
        <v>2.9519999999999995</v>
      </c>
      <c r="E23" s="1221">
        <f>'ARP Score'!$BB5/'ARP Score'!$G5*E6</f>
        <v>13.448</v>
      </c>
      <c r="F23" s="1221">
        <f>'ARP Score'!$BB6/'ARP Score'!$G6*F6</f>
        <v>11.3</v>
      </c>
      <c r="G23" s="1221">
        <f>'ARP Score'!$BB6/'ARP Score'!$G6*G6</f>
        <v>11.3</v>
      </c>
      <c r="H23" s="1221">
        <f>'ARP Score'!$BB6/'ARP Score'!$G6*H6</f>
        <v>11.3</v>
      </c>
      <c r="I23" s="1221">
        <f>'ARP Score'!$BB6/'ARP Score'!$G6*I6</f>
        <v>11.3</v>
      </c>
      <c r="J23" s="1221">
        <f>'ARP Score'!$BB7/'ARP Score'!$G7*J6</f>
        <v>8.4</v>
      </c>
      <c r="K23" s="1221">
        <f>'ARP Score'!$BB7/'ARP Score'!$G7*K6</f>
        <v>8.4</v>
      </c>
      <c r="L23" s="1221">
        <f>'ARP Score'!$BB7/'ARP Score'!$G7*L6</f>
        <v>8.4</v>
      </c>
      <c r="M23" s="1221">
        <f>'ARP Score'!$BB7/'ARP Score'!$G7*M6</f>
        <v>8.4</v>
      </c>
      <c r="N23" s="1221">
        <f>'ARP Score'!$BB8/'ARP Score'!$G8*N6</f>
        <v>0.2</v>
      </c>
      <c r="O23" s="1221">
        <f>'ARP Score'!$BB8/'ARP Score'!$G8*O6</f>
        <v>0.2</v>
      </c>
      <c r="P23" s="1221">
        <f>'ARP Score'!$BB8/'ARP Score'!$G8*P6</f>
        <v>0.2</v>
      </c>
      <c r="Q23" s="1221">
        <f>'ARP Score'!$BB8/'ARP Score'!$G8*Q6</f>
        <v>0.2</v>
      </c>
      <c r="R23" s="1221"/>
      <c r="S23" s="1221"/>
      <c r="T23" s="1221"/>
      <c r="U23" s="1221"/>
      <c r="V23" s="1221"/>
      <c r="W23" s="1221"/>
    </row>
    <row r="24" spans="1:23" x14ac:dyDescent="0.35">
      <c r="B24" s="535" t="s">
        <v>425</v>
      </c>
      <c r="C24" s="1221">
        <f>'ARP Score'!$BH5/'ARP Score'!$G5*C6</f>
        <v>0</v>
      </c>
      <c r="D24" s="1221">
        <f>'ARP Score'!$BH5/'ARP Score'!$G5*D6</f>
        <v>-0.20447999999999997</v>
      </c>
      <c r="E24" s="1221">
        <f>'ARP Score'!$BH5/'ARP Score'!$G5*E6</f>
        <v>-0.93152000000000001</v>
      </c>
      <c r="F24" s="1221">
        <f>'ARP Score'!$BH6/'ARP Score'!$G6*F6</f>
        <v>81.608999999999995</v>
      </c>
      <c r="G24" s="1221">
        <f>'ARP Score'!$BH6/'ARP Score'!$G6*G6</f>
        <v>81.608999999999995</v>
      </c>
      <c r="H24" s="1221">
        <f>'ARP Score'!$BH6/'ARP Score'!$G6*H6</f>
        <v>81.608999999999995</v>
      </c>
      <c r="I24" s="1221">
        <f>'ARP Score'!$BH6/'ARP Score'!$G6*I6</f>
        <v>81.608999999999995</v>
      </c>
      <c r="J24" s="1221">
        <f>'ARP Score'!$BH7/'ARP Score'!$G7*J6</f>
        <v>1.3759999999999999</v>
      </c>
      <c r="K24" s="1221">
        <f>'ARP Score'!$BH7/'ARP Score'!$G7*K6</f>
        <v>1.3759999999999999</v>
      </c>
      <c r="L24" s="1221">
        <f>'ARP Score'!$BH7/'ARP Score'!$G7*L6</f>
        <v>1.3759999999999999</v>
      </c>
      <c r="M24" s="1221">
        <f>'ARP Score'!$BH7/'ARP Score'!$G7*M6</f>
        <v>1.3759999999999999</v>
      </c>
      <c r="N24" s="1221">
        <f>'ARP Score'!$BH8/'ARP Score'!$G8*N6</f>
        <v>-0.87500000000000011</v>
      </c>
      <c r="O24" s="1221">
        <f>'ARP Score'!$BH8/'ARP Score'!$G8*O6</f>
        <v>-0.87500000000000011</v>
      </c>
      <c r="P24" s="1221">
        <f>'ARP Score'!$BH8/'ARP Score'!$G8*P6</f>
        <v>-0.87500000000000011</v>
      </c>
      <c r="Q24" s="1221">
        <f>'ARP Score'!$BH8/'ARP Score'!$G8*Q6</f>
        <v>-0.87500000000000011</v>
      </c>
      <c r="R24" s="1221"/>
      <c r="S24" s="1221"/>
      <c r="T24" s="1221"/>
      <c r="U24" s="1221"/>
      <c r="V24" s="1221"/>
      <c r="W24" s="1221"/>
    </row>
    <row r="25" spans="1:23" x14ac:dyDescent="0.35">
      <c r="B25" s="535" t="s">
        <v>311</v>
      </c>
      <c r="C25" s="1221">
        <f>SUM(C18:C24)</f>
        <v>0</v>
      </c>
      <c r="D25" s="1221">
        <f t="shared" ref="D25:Q25" si="39">SUM(D18:D24)</f>
        <v>58.782959999999996</v>
      </c>
      <c r="E25" s="1221">
        <f t="shared" si="39"/>
        <v>267.78904000000006</v>
      </c>
      <c r="F25" s="1221">
        <f t="shared" si="39"/>
        <v>110.24799999999999</v>
      </c>
      <c r="G25" s="1221">
        <f t="shared" si="39"/>
        <v>110.24799999999999</v>
      </c>
      <c r="H25" s="1221">
        <f t="shared" si="39"/>
        <v>110.24799999999999</v>
      </c>
      <c r="I25" s="1221">
        <f t="shared" si="39"/>
        <v>110.24799999999999</v>
      </c>
      <c r="J25" s="1221">
        <f t="shared" si="39"/>
        <v>12.362</v>
      </c>
      <c r="K25" s="1221">
        <f t="shared" si="39"/>
        <v>12.362</v>
      </c>
      <c r="L25" s="1221">
        <f t="shared" si="39"/>
        <v>12.362</v>
      </c>
      <c r="M25" s="1221">
        <f t="shared" si="39"/>
        <v>12.362</v>
      </c>
      <c r="N25" s="1221">
        <f t="shared" si="39"/>
        <v>-0.67500000000000004</v>
      </c>
      <c r="O25" s="1221">
        <f t="shared" si="39"/>
        <v>-0.67500000000000004</v>
      </c>
      <c r="P25" s="1221">
        <f t="shared" si="39"/>
        <v>-0.67500000000000004</v>
      </c>
      <c r="Q25" s="1221">
        <f t="shared" si="39"/>
        <v>-0.67500000000000004</v>
      </c>
      <c r="R25" s="1221"/>
      <c r="S25" s="1221"/>
      <c r="T25" s="1221"/>
      <c r="U25" s="1221"/>
      <c r="V25" s="1221"/>
      <c r="W25" s="1221"/>
    </row>
    <row r="26" spans="1:23" x14ac:dyDescent="0.35">
      <c r="D26" s="1219">
        <f>D6-D25</f>
        <v>0</v>
      </c>
      <c r="E26" s="1219">
        <f t="shared" ref="E26:M26" si="40">E6-E25</f>
        <v>0</v>
      </c>
      <c r="F26" s="1219">
        <f t="shared" si="40"/>
        <v>0</v>
      </c>
      <c r="G26" s="1219">
        <f t="shared" si="40"/>
        <v>0</v>
      </c>
      <c r="H26" s="1219">
        <f t="shared" si="40"/>
        <v>0</v>
      </c>
      <c r="I26" s="1219">
        <f t="shared" si="40"/>
        <v>0</v>
      </c>
      <c r="J26" s="1219">
        <f t="shared" si="40"/>
        <v>0.36400000000000077</v>
      </c>
      <c r="K26" s="1219">
        <f t="shared" si="40"/>
        <v>0.36400000000000077</v>
      </c>
      <c r="L26" s="1219">
        <f t="shared" si="40"/>
        <v>0.36400000000000077</v>
      </c>
      <c r="M26" s="1219">
        <f t="shared" si="40"/>
        <v>0.36400000000000077</v>
      </c>
    </row>
    <row r="27" spans="1:23" x14ac:dyDescent="0.35">
      <c r="B27" s="734" t="s">
        <v>772</v>
      </c>
      <c r="D27" s="214" t="s">
        <v>250</v>
      </c>
      <c r="E27" s="214" t="s">
        <v>180</v>
      </c>
      <c r="F27" s="214" t="s">
        <v>181</v>
      </c>
      <c r="G27" s="214" t="s">
        <v>182</v>
      </c>
      <c r="H27" s="214" t="s">
        <v>183</v>
      </c>
      <c r="I27" s="214" t="s">
        <v>184</v>
      </c>
      <c r="J27" s="214" t="s">
        <v>185</v>
      </c>
      <c r="K27" s="214" t="s">
        <v>186</v>
      </c>
      <c r="L27" s="214" t="s">
        <v>187</v>
      </c>
      <c r="M27" s="214" t="s">
        <v>188</v>
      </c>
      <c r="N27" s="214" t="s">
        <v>189</v>
      </c>
      <c r="O27" s="214" t="s">
        <v>190</v>
      </c>
      <c r="P27" s="214" t="s">
        <v>191</v>
      </c>
      <c r="Q27" s="214" t="s">
        <v>175</v>
      </c>
      <c r="R27" s="214" t="s">
        <v>176</v>
      </c>
      <c r="S27" s="214" t="s">
        <v>177</v>
      </c>
      <c r="T27" s="214" t="s">
        <v>763</v>
      </c>
      <c r="U27" s="214" t="s">
        <v>764</v>
      </c>
      <c r="V27" s="214" t="s">
        <v>765</v>
      </c>
    </row>
    <row r="28" spans="1:23" x14ac:dyDescent="0.35">
      <c r="B28" s="33"/>
      <c r="C28" s="1219" t="s">
        <v>311</v>
      </c>
      <c r="D28" s="1223">
        <f>SUM(D29:D43)</f>
        <v>5.8765000000000009</v>
      </c>
      <c r="E28" s="1223">
        <f t="shared" ref="E28:V28" si="41">SUM(E29:E43)</f>
        <v>11.753000000000002</v>
      </c>
      <c r="F28" s="1223">
        <f t="shared" si="41"/>
        <v>15.762320000000003</v>
      </c>
      <c r="G28" s="1223">
        <f t="shared" si="41"/>
        <v>19.771640000000005</v>
      </c>
      <c r="H28" s="1223">
        <f t="shared" si="41"/>
        <v>23.812229000000006</v>
      </c>
      <c r="I28" s="1223">
        <f t="shared" si="41"/>
        <v>27.852818000000006</v>
      </c>
      <c r="J28" s="1223">
        <f t="shared" si="41"/>
        <v>30.517977000000005</v>
      </c>
      <c r="K28" s="1223">
        <f t="shared" si="41"/>
        <v>33.183136000000005</v>
      </c>
      <c r="L28" s="1223">
        <f t="shared" si="41"/>
        <v>36.260924000000003</v>
      </c>
      <c r="M28" s="1223">
        <f t="shared" si="41"/>
        <v>39.338711999999994</v>
      </c>
      <c r="N28" s="1223">
        <f t="shared" si="41"/>
        <v>40.928439999999995</v>
      </c>
      <c r="O28" s="1223">
        <f t="shared" si="41"/>
        <v>42.518167999999996</v>
      </c>
      <c r="P28" s="1223">
        <f t="shared" si="41"/>
        <v>44.428388999999996</v>
      </c>
      <c r="Q28" s="1223">
        <f t="shared" si="41"/>
        <v>46.338610000000003</v>
      </c>
      <c r="R28" s="1223">
        <f t="shared" si="41"/>
        <v>47.279744500000007</v>
      </c>
      <c r="S28" s="1223">
        <f t="shared" si="41"/>
        <v>46.283419000000009</v>
      </c>
      <c r="T28" s="1223">
        <f t="shared" si="41"/>
        <v>45.578489500000011</v>
      </c>
      <c r="U28" s="1223">
        <f t="shared" si="41"/>
        <v>45.454798000000011</v>
      </c>
      <c r="V28" s="1223">
        <f t="shared" si="41"/>
        <v>45.360580000000013</v>
      </c>
    </row>
    <row r="29" spans="1:23" x14ac:dyDescent="0.35">
      <c r="A29" s="734">
        <v>2021</v>
      </c>
      <c r="B29" s="33" t="s">
        <v>773</v>
      </c>
      <c r="C29" s="1219"/>
      <c r="D29" s="734">
        <f>($D$9+$D$10)*'ARP Timing'!B$16</f>
        <v>5.8765000000000009</v>
      </c>
      <c r="E29" s="734">
        <f>($D$9+$D$10)*'ARP Timing'!C$16</f>
        <v>5.8765000000000009</v>
      </c>
      <c r="F29" s="734">
        <f>($D$9+$D$10)*'ARP Timing'!D$16</f>
        <v>4.11355</v>
      </c>
      <c r="G29" s="734">
        <f>($D$9+$D$10)*'ARP Timing'!E$16</f>
        <v>4.11355</v>
      </c>
      <c r="H29" s="734">
        <f>($D$9+$D$10)*'ARP Timing'!F$16</f>
        <v>4.11355</v>
      </c>
      <c r="I29" s="734">
        <f>($D$9+$D$10)*'ARP Timing'!G$16</f>
        <v>4.11355</v>
      </c>
      <c r="J29" s="734">
        <f>($D$9+$D$10)*'ARP Timing'!H$16</f>
        <v>4.11355</v>
      </c>
      <c r="K29" s="734">
        <f>($D$9+$D$10)*'ARP Timing'!I$16</f>
        <v>4.11355</v>
      </c>
      <c r="L29" s="734">
        <f>($D$9+$D$10)*'ARP Timing'!J$16</f>
        <v>4.11355</v>
      </c>
      <c r="M29" s="734">
        <f>($D$9+$D$10)*'ARP Timing'!K$16</f>
        <v>4.11355</v>
      </c>
      <c r="N29" s="734">
        <f>($D$9+$D$10)*'ARP Timing'!L$16</f>
        <v>4.11355</v>
      </c>
      <c r="O29" s="734">
        <f>($D$9+$D$10)*'ARP Timing'!M$16</f>
        <v>4.11355</v>
      </c>
      <c r="P29" s="734">
        <f>($D$9+$D$10)*'ARP Timing'!N$16</f>
        <v>3.987625</v>
      </c>
      <c r="Q29" s="734">
        <f>($D$9+$D$10)*'ARP Timing'!O$16</f>
        <v>3.987625</v>
      </c>
      <c r="R29" s="734">
        <f>($D$9+$D$10)*'ARP Timing'!P$16</f>
        <v>3.987625</v>
      </c>
      <c r="S29" s="734">
        <f>($D$9+$D$10)*'ARP Timing'!Q$16</f>
        <v>3.987625</v>
      </c>
      <c r="T29" s="734">
        <f>($D$9+$D$10)*'ARP Timing'!R$16</f>
        <v>3.987625</v>
      </c>
      <c r="U29" s="734">
        <f>($D$9+$D$10)*'ARP Timing'!S$16</f>
        <v>3.987625</v>
      </c>
      <c r="V29" s="734">
        <f>($D$9+$D$10)*'ARP Timing'!T$16</f>
        <v>3.987625</v>
      </c>
    </row>
    <row r="30" spans="1:23" x14ac:dyDescent="0.35">
      <c r="B30" s="33" t="s">
        <v>330</v>
      </c>
      <c r="C30" s="1219"/>
      <c r="E30" s="734">
        <f>($E$9+$E$10)*'ARP Timing'!B$16</f>
        <v>5.8765000000000009</v>
      </c>
      <c r="F30" s="734">
        <f>($E$9+$E$10)*'ARP Timing'!C$16</f>
        <v>5.8765000000000009</v>
      </c>
      <c r="G30" s="734">
        <f>($E$9+$E$10)*'ARP Timing'!D$16</f>
        <v>4.11355</v>
      </c>
      <c r="H30" s="734">
        <f>($E$9+$E$10)*'ARP Timing'!E$16</f>
        <v>4.11355</v>
      </c>
      <c r="I30" s="734">
        <f>($E$9+$E$10)*'ARP Timing'!F$16</f>
        <v>4.11355</v>
      </c>
      <c r="J30" s="734">
        <f>($E$9+$E$10)*'ARP Timing'!G$16</f>
        <v>4.11355</v>
      </c>
      <c r="K30" s="734">
        <f>($E$9+$E$10)*'ARP Timing'!H$16</f>
        <v>4.11355</v>
      </c>
      <c r="L30" s="734">
        <f>($E$9+$E$10)*'ARP Timing'!I$16</f>
        <v>4.11355</v>
      </c>
      <c r="M30" s="734">
        <f>($E$9+$E$10)*'ARP Timing'!J$16</f>
        <v>4.11355</v>
      </c>
      <c r="N30" s="734">
        <f>($E$9+$E$10)*'ARP Timing'!K$16</f>
        <v>4.11355</v>
      </c>
      <c r="O30" s="734">
        <f>($E$9+$E$10)*'ARP Timing'!L$16</f>
        <v>4.11355</v>
      </c>
      <c r="P30" s="734">
        <f>($E$9+$E$10)*'ARP Timing'!M$16</f>
        <v>4.11355</v>
      </c>
      <c r="Q30" s="734">
        <f>($E$9+$E$10)*'ARP Timing'!N$16</f>
        <v>3.987625</v>
      </c>
      <c r="R30" s="734">
        <f>($E$9+$E$10)*'ARP Timing'!O$16</f>
        <v>3.987625</v>
      </c>
      <c r="S30" s="734">
        <f>($E$9+$E$10)*'ARP Timing'!P$16</f>
        <v>3.987625</v>
      </c>
      <c r="T30" s="734">
        <f>($E$9+$E$10)*'ARP Timing'!Q$16</f>
        <v>3.987625</v>
      </c>
      <c r="U30" s="734">
        <f>($E$9+$E$10)*'ARP Timing'!R$16</f>
        <v>3.987625</v>
      </c>
      <c r="V30" s="734">
        <f>($E$9+$E$10)*'ARP Timing'!S$16</f>
        <v>3.987625</v>
      </c>
    </row>
    <row r="31" spans="1:23" x14ac:dyDescent="0.35">
      <c r="B31" s="33" t="s">
        <v>774</v>
      </c>
      <c r="C31" s="1219"/>
      <c r="F31" s="734">
        <f>($F$9+$F$10)*'ARP Timing'!B$16</f>
        <v>5.7722700000000016</v>
      </c>
      <c r="G31" s="734">
        <f>($F$9+$F$10)*'ARP Timing'!C$16</f>
        <v>5.7722700000000016</v>
      </c>
      <c r="H31" s="734">
        <f>($F$9+$F$10)*'ARP Timing'!D$16</f>
        <v>4.0405890000000007</v>
      </c>
      <c r="I31" s="734">
        <f>($F$9+$F$10)*'ARP Timing'!E$16</f>
        <v>4.0405890000000007</v>
      </c>
      <c r="J31" s="734">
        <f>($F$9+$F$10)*'ARP Timing'!F$16</f>
        <v>4.0405890000000007</v>
      </c>
      <c r="K31" s="734">
        <f>($F$9+$F$10)*'ARP Timing'!G$16</f>
        <v>4.0405890000000007</v>
      </c>
      <c r="L31" s="734">
        <f>($F$9+$F$10)*'ARP Timing'!H$16</f>
        <v>4.0405890000000007</v>
      </c>
      <c r="M31" s="734">
        <f>($F$9+$F$10)*'ARP Timing'!I$16</f>
        <v>4.0405890000000007</v>
      </c>
      <c r="N31" s="734">
        <f>($F$9+$F$10)*'ARP Timing'!J$16</f>
        <v>4.0405890000000007</v>
      </c>
      <c r="O31" s="734">
        <f>($F$9+$F$10)*'ARP Timing'!K$16</f>
        <v>4.0405890000000007</v>
      </c>
      <c r="P31" s="734">
        <f>($F$9+$F$10)*'ARP Timing'!L$16</f>
        <v>4.0405890000000007</v>
      </c>
      <c r="Q31" s="734">
        <f>($F$9+$F$10)*'ARP Timing'!M$16</f>
        <v>4.0405890000000007</v>
      </c>
      <c r="R31" s="734">
        <f>($F$9+$F$10)*'ARP Timing'!N$16</f>
        <v>3.9168975000000006</v>
      </c>
      <c r="S31" s="734">
        <f>($F$9+$F$10)*'ARP Timing'!O$16</f>
        <v>3.9168975000000006</v>
      </c>
      <c r="T31" s="734">
        <f>($F$9+$F$10)*'ARP Timing'!P$16</f>
        <v>3.9168975000000006</v>
      </c>
      <c r="U31" s="734">
        <f>($F$9+$F$10)*'ARP Timing'!Q$16</f>
        <v>3.9168975000000006</v>
      </c>
      <c r="V31" s="734">
        <f>($F$9+$F$10)*'ARP Timing'!R$16</f>
        <v>3.9168975000000006</v>
      </c>
    </row>
    <row r="32" spans="1:23" x14ac:dyDescent="0.35">
      <c r="A32" s="734">
        <v>2022</v>
      </c>
      <c r="B32" s="33" t="s">
        <v>240</v>
      </c>
      <c r="C32" s="1219"/>
      <c r="G32" s="734">
        <f>($G$9+$G$10)*'ARP Timing'!B$16</f>
        <v>5.7722700000000016</v>
      </c>
      <c r="H32" s="734">
        <f>($G$9+$G$10)*'ARP Timing'!C$16</f>
        <v>5.7722700000000016</v>
      </c>
      <c r="I32" s="734">
        <f>($G$9+$G$10)*'ARP Timing'!D$16</f>
        <v>4.0405890000000007</v>
      </c>
      <c r="J32" s="734">
        <f>($G$9+$G$10)*'ARP Timing'!E$16</f>
        <v>4.0405890000000007</v>
      </c>
      <c r="K32" s="734">
        <f>($G$9+$G$10)*'ARP Timing'!F$16</f>
        <v>4.0405890000000007</v>
      </c>
      <c r="L32" s="734">
        <f>($G$9+$G$10)*'ARP Timing'!G$16</f>
        <v>4.0405890000000007</v>
      </c>
      <c r="M32" s="734">
        <f>($G$9+$G$10)*'ARP Timing'!H$16</f>
        <v>4.0405890000000007</v>
      </c>
      <c r="N32" s="734">
        <f>($G$9+$G$10)*'ARP Timing'!I$16</f>
        <v>4.0405890000000007</v>
      </c>
      <c r="O32" s="734">
        <f>($G$9+$G$10)*'ARP Timing'!J$16</f>
        <v>4.0405890000000007</v>
      </c>
      <c r="P32" s="734">
        <f>($G$9+$G$10)*'ARP Timing'!K$16</f>
        <v>4.0405890000000007</v>
      </c>
      <c r="Q32" s="734">
        <f>($G$9+$G$10)*'ARP Timing'!L$16</f>
        <v>4.0405890000000007</v>
      </c>
      <c r="R32" s="734">
        <f>($G$9+$G$10)*'ARP Timing'!M$16</f>
        <v>4.0405890000000007</v>
      </c>
      <c r="S32" s="734">
        <f>($G$9+$G$10)*'ARP Timing'!N$16</f>
        <v>3.9168975000000006</v>
      </c>
      <c r="T32" s="734">
        <f>($G$9+$G$10)*'ARP Timing'!O$16</f>
        <v>3.9168975000000006</v>
      </c>
      <c r="U32" s="734">
        <f>($G$9+$G$10)*'ARP Timing'!P$16</f>
        <v>3.9168975000000006</v>
      </c>
      <c r="V32" s="734">
        <f>($G$9+$G$10)*'ARP Timing'!Q$16</f>
        <v>3.9168975000000006</v>
      </c>
    </row>
    <row r="33" spans="1:23" x14ac:dyDescent="0.35">
      <c r="B33" s="33" t="s">
        <v>241</v>
      </c>
      <c r="C33" s="1219"/>
      <c r="H33" s="734">
        <f>($H$9+$H$10)*'ARP Timing'!B$16</f>
        <v>5.7722700000000016</v>
      </c>
      <c r="I33" s="734">
        <f>($H$9+$H$10)*'ARP Timing'!C$16</f>
        <v>5.7722700000000016</v>
      </c>
      <c r="J33" s="734">
        <f>($H$9+$H$10)*'ARP Timing'!D$16</f>
        <v>4.0405890000000007</v>
      </c>
      <c r="K33" s="734">
        <f>($H$9+$H$10)*'ARP Timing'!E$16</f>
        <v>4.0405890000000007</v>
      </c>
      <c r="L33" s="734">
        <f>($H$9+$H$10)*'ARP Timing'!F$16</f>
        <v>4.0405890000000007</v>
      </c>
      <c r="M33" s="734">
        <f>($H$9+$H$10)*'ARP Timing'!G$16</f>
        <v>4.0405890000000007</v>
      </c>
      <c r="N33" s="734">
        <f>($H$9+$H$10)*'ARP Timing'!H$16</f>
        <v>4.0405890000000007</v>
      </c>
      <c r="O33" s="734">
        <f>($H$9+$H$10)*'ARP Timing'!I$16</f>
        <v>4.0405890000000007</v>
      </c>
      <c r="P33" s="734">
        <f>($H$9+$H$10)*'ARP Timing'!J$16</f>
        <v>4.0405890000000007</v>
      </c>
      <c r="Q33" s="734">
        <f>($H$9+$H$10)*'ARP Timing'!K$16</f>
        <v>4.0405890000000007</v>
      </c>
      <c r="R33" s="734">
        <f>($H$9+$H$10)*'ARP Timing'!L$16</f>
        <v>4.0405890000000007</v>
      </c>
      <c r="S33" s="734">
        <f>($H$9+$H$10)*'ARP Timing'!M$16</f>
        <v>4.0405890000000007</v>
      </c>
      <c r="T33" s="734">
        <f>($H$9+$H$10)*'ARP Timing'!N$16</f>
        <v>3.9168975000000006</v>
      </c>
      <c r="U33" s="734">
        <f>($H$9+$H$10)*'ARP Timing'!O$16</f>
        <v>3.9168975000000006</v>
      </c>
      <c r="V33" s="734">
        <f>($H$9+$H$10)*'ARP Timing'!P$16</f>
        <v>3.9168975000000006</v>
      </c>
    </row>
    <row r="34" spans="1:23" x14ac:dyDescent="0.35">
      <c r="B34" s="33" t="s">
        <v>330</v>
      </c>
      <c r="C34" s="1219"/>
      <c r="H34" s="1219"/>
      <c r="I34" s="734">
        <f>($I$9+$I10)*'ARP Timing'!B$16</f>
        <v>5.7722700000000016</v>
      </c>
      <c r="J34" s="734">
        <f>($I$9+$I10)*'ARP Timing'!C$16</f>
        <v>5.7722700000000016</v>
      </c>
      <c r="K34" s="734">
        <f>($I$9+$I10)*'ARP Timing'!D$16</f>
        <v>4.0405890000000007</v>
      </c>
      <c r="L34" s="734">
        <f>($I$9+$I10)*'ARP Timing'!E$16</f>
        <v>4.0405890000000007</v>
      </c>
      <c r="M34" s="734">
        <f>($I$9+$I10)*'ARP Timing'!F$16</f>
        <v>4.0405890000000007</v>
      </c>
      <c r="N34" s="734">
        <f>($I$9+$I10)*'ARP Timing'!G$16</f>
        <v>4.0405890000000007</v>
      </c>
      <c r="O34" s="734">
        <f>($I$9+$I10)*'ARP Timing'!H$16</f>
        <v>4.0405890000000007</v>
      </c>
      <c r="P34" s="734">
        <f>($I$9+$I10)*'ARP Timing'!I$16</f>
        <v>4.0405890000000007</v>
      </c>
      <c r="Q34" s="734">
        <f>($I$9+$I10)*'ARP Timing'!J$16</f>
        <v>4.0405890000000007</v>
      </c>
      <c r="R34" s="734">
        <f>($I$9+$I10)*'ARP Timing'!K$16</f>
        <v>4.0405890000000007</v>
      </c>
      <c r="S34" s="734">
        <f>($I$9+$I10)*'ARP Timing'!L$16</f>
        <v>4.0405890000000007</v>
      </c>
      <c r="T34" s="734">
        <f>($I$9+$I10)*'ARP Timing'!M$16</f>
        <v>4.0405890000000007</v>
      </c>
      <c r="U34" s="734">
        <f>($I$9+$I10)*'ARP Timing'!N$16</f>
        <v>3.9168975000000006</v>
      </c>
      <c r="V34" s="734">
        <f>($I$9+$I10)*'ARP Timing'!O$16</f>
        <v>3.9168975000000006</v>
      </c>
    </row>
    <row r="35" spans="1:23" x14ac:dyDescent="0.35">
      <c r="B35" s="33" t="s">
        <v>774</v>
      </c>
      <c r="C35" s="1219"/>
      <c r="H35" s="1219"/>
      <c r="J35" s="734">
        <f>($J$9+$J$10)*'ARP Timing'!B$16</f>
        <v>4.3968400000000001</v>
      </c>
      <c r="K35" s="734">
        <f>($J$9+$J$10)*'ARP Timing'!C$16</f>
        <v>4.3968400000000001</v>
      </c>
      <c r="L35" s="734">
        <f>($J$9+$J$10)*'ARP Timing'!D$16</f>
        <v>3.077788</v>
      </c>
      <c r="M35" s="734">
        <f>($J$9+$J$10)*'ARP Timing'!E$16</f>
        <v>3.077788</v>
      </c>
      <c r="N35" s="734">
        <f>($J$9+$J$10)*'ARP Timing'!F$16</f>
        <v>3.077788</v>
      </c>
      <c r="O35" s="734">
        <f>($J$9+$J$10)*'ARP Timing'!G$16</f>
        <v>3.077788</v>
      </c>
      <c r="P35" s="734">
        <f>($J$9+$J$10)*'ARP Timing'!H$16</f>
        <v>3.077788</v>
      </c>
      <c r="Q35" s="734">
        <f>($J$9+$J$10)*'ARP Timing'!I$16</f>
        <v>3.077788</v>
      </c>
      <c r="R35" s="734">
        <f>($J$9+$J$10)*'ARP Timing'!J$16</f>
        <v>3.077788</v>
      </c>
      <c r="S35" s="734">
        <f>($J$9+$J$10)*'ARP Timing'!K$16</f>
        <v>3.077788</v>
      </c>
      <c r="T35" s="734">
        <f>($J$9+$J$10)*'ARP Timing'!L$16</f>
        <v>3.077788</v>
      </c>
      <c r="U35" s="734">
        <f>($J$9+$J$10)*'ARP Timing'!M$16</f>
        <v>3.077788</v>
      </c>
      <c r="V35" s="734">
        <f>($J$9+$J$10)*'ARP Timing'!N$16</f>
        <v>2.9835699999999998</v>
      </c>
    </row>
    <row r="36" spans="1:23" x14ac:dyDescent="0.35">
      <c r="A36" s="734">
        <v>2023</v>
      </c>
      <c r="B36" s="33" t="s">
        <v>240</v>
      </c>
      <c r="C36" s="1219"/>
      <c r="H36" s="1219"/>
      <c r="K36" s="734">
        <f>($K$9+$K$10)*'ARP Timing'!B$16</f>
        <v>4.3968400000000001</v>
      </c>
      <c r="L36" s="734">
        <f>($K$9+$K$10)*'ARP Timing'!C$16</f>
        <v>4.3968400000000001</v>
      </c>
      <c r="M36" s="734">
        <f>($K$9+$K$10)*'ARP Timing'!D$16</f>
        <v>3.077788</v>
      </c>
      <c r="N36" s="734">
        <f>($K$9+$K$10)*'ARP Timing'!E$16</f>
        <v>3.077788</v>
      </c>
      <c r="O36" s="734">
        <f>($K$9+$K$10)*'ARP Timing'!F$16</f>
        <v>3.077788</v>
      </c>
      <c r="P36" s="734">
        <f>($K$9+$K$10)*'ARP Timing'!G$16</f>
        <v>3.077788</v>
      </c>
      <c r="Q36" s="734">
        <f>($K$9+$K$10)*'ARP Timing'!H$16</f>
        <v>3.077788</v>
      </c>
      <c r="R36" s="734">
        <f>($K$9+$K$10)*'ARP Timing'!I$16</f>
        <v>3.077788</v>
      </c>
      <c r="S36" s="734">
        <f>($K$9+$K$10)*'ARP Timing'!J$16</f>
        <v>3.077788</v>
      </c>
      <c r="T36" s="734">
        <f>($K$9+$K$10)*'ARP Timing'!K$16</f>
        <v>3.077788</v>
      </c>
      <c r="U36" s="734">
        <f>($K$9+$K$10)*'ARP Timing'!L$16</f>
        <v>3.077788</v>
      </c>
      <c r="V36" s="734">
        <f>($K$9+$K$10)*'ARP Timing'!M$16</f>
        <v>3.077788</v>
      </c>
    </row>
    <row r="37" spans="1:23" x14ac:dyDescent="0.35">
      <c r="B37" s="33" t="s">
        <v>241</v>
      </c>
      <c r="C37" s="1219"/>
      <c r="H37" s="1219"/>
      <c r="L37" s="734">
        <f>($L$9+$L$10)*'ARP Timing'!B$16</f>
        <v>4.3968400000000001</v>
      </c>
      <c r="M37" s="734">
        <f>($L$9+$L$10)*'ARP Timing'!C$16</f>
        <v>4.3968400000000001</v>
      </c>
      <c r="N37" s="734">
        <f>($L$9+$L$10)*'ARP Timing'!D$16</f>
        <v>3.077788</v>
      </c>
      <c r="O37" s="734">
        <f>($L$9+$L$10)*'ARP Timing'!E$16</f>
        <v>3.077788</v>
      </c>
      <c r="P37" s="734">
        <f>($L$9+$L$10)*'ARP Timing'!F$16</f>
        <v>3.077788</v>
      </c>
      <c r="Q37" s="734">
        <f>($L$9+$L$10)*'ARP Timing'!G$16</f>
        <v>3.077788</v>
      </c>
      <c r="R37" s="734">
        <f>($L$9+$L$10)*'ARP Timing'!H$16</f>
        <v>3.077788</v>
      </c>
      <c r="S37" s="734">
        <f>($L$9+$L$10)*'ARP Timing'!I$16</f>
        <v>3.077788</v>
      </c>
      <c r="T37" s="734">
        <f>($L$9+$L$10)*'ARP Timing'!J$16</f>
        <v>3.077788</v>
      </c>
      <c r="U37" s="734">
        <f>($L$9+$L$10)*'ARP Timing'!K$16</f>
        <v>3.077788</v>
      </c>
      <c r="V37" s="734">
        <f>($L$9+$L$10)*'ARP Timing'!L$16</f>
        <v>3.077788</v>
      </c>
    </row>
    <row r="38" spans="1:23" x14ac:dyDescent="0.35">
      <c r="B38" s="33" t="s">
        <v>330</v>
      </c>
      <c r="C38" s="1219"/>
      <c r="H38" s="1219"/>
      <c r="M38" s="734">
        <f>($M$9+$M$10)*'ARP Timing'!B$16</f>
        <v>4.3968400000000001</v>
      </c>
      <c r="N38" s="734">
        <f>($M$9+$M$10)*'ARP Timing'!C$16</f>
        <v>4.3968400000000001</v>
      </c>
      <c r="O38" s="734">
        <f>($M$9+$M$10)*'ARP Timing'!D$16</f>
        <v>3.077788</v>
      </c>
      <c r="P38" s="734">
        <f>($M$9+$M$10)*'ARP Timing'!E$16</f>
        <v>3.077788</v>
      </c>
      <c r="Q38" s="734">
        <f>($M$9+$M$10)*'ARP Timing'!F$16</f>
        <v>3.077788</v>
      </c>
      <c r="R38" s="734">
        <f>($M$9+$M$10)*'ARP Timing'!G$16</f>
        <v>3.077788</v>
      </c>
      <c r="S38" s="734">
        <f>($M$9+$M$10)*'ARP Timing'!H$16</f>
        <v>3.077788</v>
      </c>
      <c r="T38" s="734">
        <f>($M$9+$M$10)*'ARP Timing'!I$16</f>
        <v>3.077788</v>
      </c>
      <c r="U38" s="734">
        <f>($M$9+$M$10)*'ARP Timing'!J$16</f>
        <v>3.077788</v>
      </c>
      <c r="V38" s="734">
        <f>($M$9+$M$10)*'ARP Timing'!K$16</f>
        <v>3.077788</v>
      </c>
    </row>
    <row r="39" spans="1:23" x14ac:dyDescent="0.35">
      <c r="B39" s="33" t="s">
        <v>774</v>
      </c>
      <c r="C39" s="1219"/>
      <c r="H39" s="1219"/>
      <c r="N39" s="734">
        <f>($N$9+$N$10)*'ARP Timing'!B$16</f>
        <v>2.9087800000000006</v>
      </c>
      <c r="O39" s="734">
        <f>($N$9+$N$10)*'ARP Timing'!C$16</f>
        <v>2.9087800000000006</v>
      </c>
      <c r="P39" s="734">
        <f>($N$9+$N$10)*'ARP Timing'!D$16</f>
        <v>2.036146</v>
      </c>
      <c r="Q39" s="734">
        <f>($N$9+$N$10)*'ARP Timing'!E$16</f>
        <v>2.036146</v>
      </c>
      <c r="R39" s="734">
        <f>($N$9+$N$10)*'ARP Timing'!F$16</f>
        <v>2.036146</v>
      </c>
      <c r="S39" s="734">
        <f>($N$9+$N$10)*'ARP Timing'!G$16</f>
        <v>2.036146</v>
      </c>
      <c r="T39" s="734">
        <f>($N$9+$N$10)*'ARP Timing'!H$16</f>
        <v>2.036146</v>
      </c>
      <c r="U39" s="734">
        <f>($N$9+$N$10)*'ARP Timing'!I$16</f>
        <v>2.036146</v>
      </c>
      <c r="V39" s="734">
        <f>($N$9+$N$10)*'ARP Timing'!J$16</f>
        <v>2.036146</v>
      </c>
    </row>
    <row r="40" spans="1:23" x14ac:dyDescent="0.35">
      <c r="A40" s="734">
        <v>2024</v>
      </c>
      <c r="B40" s="33" t="s">
        <v>240</v>
      </c>
      <c r="C40" s="1219"/>
      <c r="H40" s="1219"/>
      <c r="O40" s="734">
        <f>($O$9+$O$10)*'ARP Timing'!B$16</f>
        <v>2.9087800000000006</v>
      </c>
      <c r="P40" s="734">
        <f>($O$9+$O$10)*'ARP Timing'!C$16</f>
        <v>2.9087800000000006</v>
      </c>
      <c r="Q40" s="734">
        <f>($O$9+$O$10)*'ARP Timing'!D$16</f>
        <v>2.036146</v>
      </c>
      <c r="R40" s="734">
        <f>($O$9+$O$10)*'ARP Timing'!E$16</f>
        <v>2.036146</v>
      </c>
      <c r="S40" s="734">
        <f>($O$9+$O$10)*'ARP Timing'!F$16</f>
        <v>2.036146</v>
      </c>
      <c r="T40" s="734">
        <f>($O$9+$O$10)*'ARP Timing'!G$16</f>
        <v>2.036146</v>
      </c>
      <c r="U40" s="734">
        <f>($O$9+$O$10)*'ARP Timing'!H$16</f>
        <v>2.036146</v>
      </c>
      <c r="V40" s="734">
        <f>($O$9+$O$10)*'ARP Timing'!I$16</f>
        <v>2.036146</v>
      </c>
    </row>
    <row r="41" spans="1:23" x14ac:dyDescent="0.35">
      <c r="B41" s="33" t="s">
        <v>241</v>
      </c>
      <c r="C41" s="1219"/>
      <c r="H41" s="1219"/>
      <c r="P41" s="734">
        <f>($P$9+$P$10)*'ARP Timing'!B$16</f>
        <v>2.9087800000000006</v>
      </c>
      <c r="Q41" s="734">
        <f>($P$9+$P$10)*'ARP Timing'!C$16</f>
        <v>2.9087800000000006</v>
      </c>
      <c r="R41" s="734">
        <f>($P$9+$P$10)*'ARP Timing'!D$16</f>
        <v>2.036146</v>
      </c>
      <c r="S41" s="734">
        <f>($P$9+$P$10)*'ARP Timing'!E$16</f>
        <v>2.036146</v>
      </c>
      <c r="T41" s="734">
        <f>($P$9+$P$10)*'ARP Timing'!F$16</f>
        <v>2.036146</v>
      </c>
      <c r="U41" s="734">
        <f>($P$9+$P$10)*'ARP Timing'!G$16</f>
        <v>2.036146</v>
      </c>
      <c r="V41" s="734">
        <f>($P$9+$P$10)*'ARP Timing'!H$16</f>
        <v>2.036146</v>
      </c>
    </row>
    <row r="42" spans="1:23" x14ac:dyDescent="0.35">
      <c r="B42" s="33" t="s">
        <v>330</v>
      </c>
      <c r="C42" s="1219"/>
      <c r="H42" s="1219"/>
      <c r="Q42" s="734">
        <f>($Q$9+$Q$10)*'ARP Timing'!B$16</f>
        <v>2.9087800000000006</v>
      </c>
      <c r="R42" s="734">
        <f>($Q$9+$Q$10)*'ARP Timing'!C$16</f>
        <v>2.9087800000000006</v>
      </c>
      <c r="S42" s="734">
        <f>($Q$9+$Q$10)*'ARP Timing'!D$16</f>
        <v>2.036146</v>
      </c>
      <c r="T42" s="734">
        <f>($Q$9+$Q$10)*'ARP Timing'!E$16</f>
        <v>2.036146</v>
      </c>
      <c r="U42" s="734">
        <f>($Q$9+$Q$10)*'ARP Timing'!F$16</f>
        <v>2.036146</v>
      </c>
      <c r="V42" s="734">
        <f>($Q$9+$Q$10)*'ARP Timing'!G$16</f>
        <v>2.036146</v>
      </c>
    </row>
    <row r="43" spans="1:23" x14ac:dyDescent="0.35">
      <c r="B43" s="33" t="s">
        <v>774</v>
      </c>
      <c r="C43" s="1219"/>
      <c r="H43" s="1219"/>
      <c r="R43" s="734">
        <f>($R$9+$R$10)*'ARP Timing'!B$16</f>
        <v>1.9374600000000002</v>
      </c>
      <c r="S43" s="734">
        <f>($R$9+$R$10)*'ARP Timing'!C$16</f>
        <v>1.9374600000000002</v>
      </c>
      <c r="T43" s="734">
        <f>($R$9+$R$10)*'ARP Timing'!D$16</f>
        <v>1.356222</v>
      </c>
      <c r="U43" s="734">
        <f>($R$9+$R$10)*'ARP Timing'!E$16</f>
        <v>1.356222</v>
      </c>
      <c r="V43" s="734">
        <f>($R$9+$R$10)*'ARP Timing'!F$16</f>
        <v>1.356222</v>
      </c>
    </row>
    <row r="44" spans="1:23" x14ac:dyDescent="0.35">
      <c r="S44" s="734">
        <f>($S$9+$S$10)*'ARP Timing'!B$16</f>
        <v>1.9374600000000002</v>
      </c>
      <c r="T44" s="734">
        <f>($S$9+$S$10)*'ARP Timing'!C$16</f>
        <v>1.9374600000000002</v>
      </c>
      <c r="U44" s="734">
        <f>($S$9+$S$10)*'ARP Timing'!D$16</f>
        <v>1.356222</v>
      </c>
      <c r="V44" s="734">
        <f>($S$9+$S$10)*'ARP Timing'!E$16</f>
        <v>1.356222</v>
      </c>
    </row>
    <row r="46" spans="1:23" x14ac:dyDescent="0.35">
      <c r="B46" s="734" t="s">
        <v>775</v>
      </c>
      <c r="D46" s="214" t="s">
        <v>250</v>
      </c>
      <c r="E46" s="214" t="s">
        <v>180</v>
      </c>
      <c r="F46" s="214" t="s">
        <v>181</v>
      </c>
      <c r="G46" s="214" t="s">
        <v>182</v>
      </c>
      <c r="H46" s="214" t="s">
        <v>183</v>
      </c>
      <c r="I46" s="214" t="s">
        <v>184</v>
      </c>
      <c r="J46" s="214" t="s">
        <v>185</v>
      </c>
      <c r="K46" s="214" t="s">
        <v>186</v>
      </c>
      <c r="L46" s="214" t="s">
        <v>187</v>
      </c>
      <c r="M46" s="214" t="s">
        <v>188</v>
      </c>
      <c r="N46" s="214" t="s">
        <v>189</v>
      </c>
      <c r="O46" s="214" t="s">
        <v>190</v>
      </c>
      <c r="P46" s="214" t="s">
        <v>191</v>
      </c>
      <c r="Q46" s="214" t="s">
        <v>175</v>
      </c>
      <c r="R46" s="214" t="s">
        <v>176</v>
      </c>
      <c r="S46" s="214" t="s">
        <v>177</v>
      </c>
      <c r="T46" s="214" t="s">
        <v>763</v>
      </c>
      <c r="U46" s="214" t="s">
        <v>764</v>
      </c>
      <c r="V46" s="214" t="s">
        <v>765</v>
      </c>
    </row>
    <row r="47" spans="1:23" x14ac:dyDescent="0.35">
      <c r="B47" s="33"/>
      <c r="C47" s="1219" t="s">
        <v>311</v>
      </c>
      <c r="D47" s="1223">
        <f t="shared" ref="D47:U47" si="42">SUM(D48:D66)</f>
        <v>0</v>
      </c>
      <c r="E47" s="1223">
        <f t="shared" si="42"/>
        <v>0</v>
      </c>
      <c r="F47" s="1223">
        <f t="shared" si="42"/>
        <v>34.620851999999999</v>
      </c>
      <c r="G47" s="1223">
        <f t="shared" si="42"/>
        <v>50.996274799999995</v>
      </c>
      <c r="H47" s="1223">
        <f t="shared" si="42"/>
        <v>69.350031999999999</v>
      </c>
      <c r="I47" s="1223">
        <f t="shared" si="42"/>
        <v>79.295867999999999</v>
      </c>
      <c r="J47" s="1223">
        <f t="shared" si="42"/>
        <v>80.538927999999999</v>
      </c>
      <c r="K47" s="1223">
        <f t="shared" si="42"/>
        <v>80.122543199999996</v>
      </c>
      <c r="L47" s="1223">
        <f t="shared" si="42"/>
        <v>88.916719999999998</v>
      </c>
      <c r="M47" s="1223">
        <f t="shared" si="42"/>
        <v>92.213943999999998</v>
      </c>
      <c r="N47" s="1223">
        <f t="shared" si="42"/>
        <v>92.213943999999998</v>
      </c>
      <c r="O47" s="1223">
        <f t="shared" si="42"/>
        <v>94.213943999999998</v>
      </c>
      <c r="P47" s="1223">
        <f t="shared" si="42"/>
        <v>98.916719999999998</v>
      </c>
      <c r="Q47" s="1223">
        <f t="shared" si="42"/>
        <v>98.916719999999998</v>
      </c>
      <c r="R47" s="1223">
        <f t="shared" si="42"/>
        <v>99.081581199999988</v>
      </c>
      <c r="S47" s="1223">
        <f t="shared" si="42"/>
        <v>93.146578000000005</v>
      </c>
      <c r="T47" s="1223">
        <f t="shared" si="42"/>
        <v>86.552129999999991</v>
      </c>
      <c r="U47" s="1223">
        <f t="shared" si="42"/>
        <v>86.552129999999991</v>
      </c>
      <c r="V47" s="1223">
        <f>SUM(V48:V66)</f>
        <v>82.265738799999994</v>
      </c>
      <c r="W47" s="734">
        <f>SUM(G47:V47)/4</f>
        <v>343.32344900000004</v>
      </c>
    </row>
    <row r="48" spans="1:23" x14ac:dyDescent="0.35">
      <c r="A48" s="734">
        <v>2021</v>
      </c>
      <c r="B48" s="33" t="s">
        <v>773</v>
      </c>
      <c r="C48" s="1219"/>
      <c r="D48" s="734">
        <f>($D$8)*'ARP Timing'!B17</f>
        <v>0</v>
      </c>
      <c r="E48" s="734">
        <f>($D$8)*'ARP Timing'!C17</f>
        <v>0</v>
      </c>
      <c r="F48" s="734">
        <f>($D$8)*'ARP Timing'!D17</f>
        <v>34.620851999999999</v>
      </c>
      <c r="G48" s="734">
        <f>($D$8)*'ARP Timing'!E17</f>
        <v>45.996274799999995</v>
      </c>
      <c r="H48" s="734">
        <f>($D$8)*'ARP Timing'!F17</f>
        <v>59.350031999999992</v>
      </c>
      <c r="I48" s="734">
        <f>($D$8)*'ARP Timing'!G17</f>
        <v>64.295867999999999</v>
      </c>
      <c r="J48" s="734">
        <f>($D$8)*'ARP Timing'!H17</f>
        <v>49.458359999999999</v>
      </c>
      <c r="K48" s="734">
        <f>($D$8)*'ARP Timing'!I17</f>
        <v>49.458359999999999</v>
      </c>
      <c r="L48" s="734">
        <f>($D$8)*'ARP Timing'!J17</f>
        <v>59.350031999999992</v>
      </c>
      <c r="M48" s="734">
        <f>($D$8)*'ARP Timing'!K17</f>
        <v>59.350031999999992</v>
      </c>
      <c r="N48" s="734">
        <f>($D$8)*'ARP Timing'!L17</f>
        <v>69.241703999999999</v>
      </c>
      <c r="O48" s="734">
        <f>($D$8)*'ARP Timing'!M17</f>
        <v>69.241703999999999</v>
      </c>
      <c r="P48" s="734">
        <f>($D$8)*'ARP Timing'!N17</f>
        <v>59.350031999999992</v>
      </c>
      <c r="Q48" s="734">
        <f>($D$8)*'ARP Timing'!O17</f>
        <v>59.350031999999992</v>
      </c>
      <c r="R48" s="734">
        <f>($D$8)*'ARP Timing'!P17</f>
        <v>52.920445199999989</v>
      </c>
      <c r="S48" s="734">
        <f>($D$8)*'ARP Timing'!Q17</f>
        <v>46.985441999999992</v>
      </c>
      <c r="T48" s="734">
        <f>($D$8)*'ARP Timing'!R17</f>
        <v>46.985441999999992</v>
      </c>
      <c r="U48" s="734">
        <f>($D$8)*'ARP Timing'!S17</f>
        <v>46.985441999999992</v>
      </c>
      <c r="V48" s="734">
        <f>($D$8)*'ARP Timing'!T17</f>
        <v>46.985441999999992</v>
      </c>
    </row>
    <row r="49" spans="1:22" x14ac:dyDescent="0.35">
      <c r="B49" s="33" t="s">
        <v>330</v>
      </c>
      <c r="C49" s="1219"/>
      <c r="E49" s="734">
        <f>($E$8)*'ARP Timing'!B$17</f>
        <v>0</v>
      </c>
      <c r="F49" s="734">
        <f>($E$8)*'ARP Timing'!C$16</f>
        <v>0</v>
      </c>
      <c r="G49" s="734">
        <f>($E$8)*'ARP Timing'!D$16</f>
        <v>0</v>
      </c>
      <c r="H49" s="734">
        <f>($E$8)*'ARP Timing'!E$16</f>
        <v>0</v>
      </c>
      <c r="I49" s="734">
        <f>($E$8)*'ARP Timing'!F$16</f>
        <v>0</v>
      </c>
      <c r="J49" s="734">
        <f>($E$8)*'ARP Timing'!G$16</f>
        <v>0</v>
      </c>
      <c r="K49" s="734">
        <f>($E$8)*'ARP Timing'!H$16</f>
        <v>0</v>
      </c>
      <c r="L49" s="734">
        <f>($E$8)*'ARP Timing'!I$16</f>
        <v>0</v>
      </c>
      <c r="M49" s="734">
        <f>($E$8)*'ARP Timing'!J$16</f>
        <v>0</v>
      </c>
      <c r="N49" s="734">
        <f>($E$8)*'ARP Timing'!K$16</f>
        <v>0</v>
      </c>
      <c r="O49" s="734">
        <f>($E$8)*'ARP Timing'!L$16</f>
        <v>0</v>
      </c>
      <c r="P49" s="734">
        <f>($E$8)*'ARP Timing'!M$16</f>
        <v>0</v>
      </c>
      <c r="Q49" s="734">
        <f>($E$8)*'ARP Timing'!N$16</f>
        <v>0</v>
      </c>
      <c r="R49" s="734">
        <f>($E$8)*'ARP Timing'!O$16</f>
        <v>0</v>
      </c>
      <c r="S49" s="734">
        <f>($E$8)*'ARP Timing'!P$16</f>
        <v>0</v>
      </c>
      <c r="T49" s="734">
        <f>($E$8)*'ARP Timing'!Q$16</f>
        <v>0</v>
      </c>
      <c r="U49" s="734">
        <f>($E$8)*'ARP Timing'!R$16</f>
        <v>0</v>
      </c>
      <c r="V49" s="734">
        <f>($E$8)*'ARP Timing'!S$16</f>
        <v>0</v>
      </c>
    </row>
    <row r="50" spans="1:22" x14ac:dyDescent="0.35">
      <c r="B50" s="33" t="s">
        <v>774</v>
      </c>
      <c r="C50" s="1219"/>
      <c r="F50" s="734">
        <f>($F$8)*'ARP Timing'!C$17</f>
        <v>0</v>
      </c>
      <c r="G50" s="734">
        <f>($F$8)*'ARP Timing'!D$17</f>
        <v>0</v>
      </c>
      <c r="H50" s="734">
        <f>($F$8)*'ARP Timing'!E$17</f>
        <v>0</v>
      </c>
      <c r="I50" s="734">
        <f>($F$8)*'ARP Timing'!F$17</f>
        <v>0</v>
      </c>
      <c r="J50" s="734">
        <f>($F$8)*'ARP Timing'!G$17</f>
        <v>0</v>
      </c>
      <c r="K50" s="734">
        <f>($F$8)*'ARP Timing'!H$17</f>
        <v>0</v>
      </c>
      <c r="L50" s="734">
        <f>($F$8)*'ARP Timing'!I$17</f>
        <v>0</v>
      </c>
      <c r="M50" s="734">
        <f>($F$8)*'ARP Timing'!J$17</f>
        <v>0</v>
      </c>
      <c r="N50" s="734">
        <f>($F$8)*'ARP Timing'!K$17</f>
        <v>0</v>
      </c>
      <c r="O50" s="734">
        <f>($F$8)*'ARP Timing'!L$17</f>
        <v>0</v>
      </c>
      <c r="P50" s="734">
        <f>($F$8)*'ARP Timing'!M$17</f>
        <v>0</v>
      </c>
      <c r="Q50" s="734">
        <f>($F$8)*'ARP Timing'!N$17</f>
        <v>0</v>
      </c>
      <c r="R50" s="734">
        <f>($F$8)*'ARP Timing'!O$17</f>
        <v>0</v>
      </c>
      <c r="S50" s="734">
        <f>($F$8)*'ARP Timing'!P$17</f>
        <v>0</v>
      </c>
      <c r="T50" s="734">
        <f>($F$8)*'ARP Timing'!Q$17</f>
        <v>0</v>
      </c>
      <c r="U50" s="734">
        <f>($F$8)*'ARP Timing'!R$17</f>
        <v>0</v>
      </c>
      <c r="V50" s="734">
        <f>($F$8)*'ARP Timing'!S$17</f>
        <v>0</v>
      </c>
    </row>
    <row r="51" spans="1:22" x14ac:dyDescent="0.35">
      <c r="A51" s="734">
        <v>2022</v>
      </c>
      <c r="B51" s="33" t="s">
        <v>240</v>
      </c>
      <c r="C51" s="1219"/>
      <c r="G51" s="734">
        <f>($G$8)*'ARP Timing'!D$17</f>
        <v>0</v>
      </c>
      <c r="H51" s="734">
        <f>($G$8)*'ARP Timing'!E$17</f>
        <v>0</v>
      </c>
      <c r="I51" s="734">
        <f>($G$8)*'ARP Timing'!F$17</f>
        <v>0</v>
      </c>
      <c r="J51" s="734">
        <f>($G$8)*'ARP Timing'!G$17</f>
        <v>0</v>
      </c>
      <c r="K51" s="734">
        <f>($G$8)*'ARP Timing'!H$17</f>
        <v>0</v>
      </c>
      <c r="L51" s="734">
        <f>($G$8)*'ARP Timing'!I$17</f>
        <v>0</v>
      </c>
      <c r="M51" s="734">
        <f>($G$8)*'ARP Timing'!J$17</f>
        <v>0</v>
      </c>
      <c r="N51" s="734">
        <f>($G$8)*'ARP Timing'!K$17</f>
        <v>0</v>
      </c>
      <c r="O51" s="734">
        <f>($G$8)*'ARP Timing'!L$17</f>
        <v>0</v>
      </c>
      <c r="P51" s="734">
        <f>($G$8)*'ARP Timing'!M$17</f>
        <v>0</v>
      </c>
      <c r="Q51" s="734">
        <f>($G$8)*'ARP Timing'!N$17</f>
        <v>0</v>
      </c>
      <c r="R51" s="734">
        <f>($G$8)*'ARP Timing'!O$17</f>
        <v>0</v>
      </c>
      <c r="S51" s="734">
        <f>($G$8)*'ARP Timing'!P$17</f>
        <v>0</v>
      </c>
      <c r="T51" s="734">
        <f>($G$8)*'ARP Timing'!Q$17</f>
        <v>0</v>
      </c>
      <c r="U51" s="734">
        <f>($G$8)*'ARP Timing'!R$17</f>
        <v>0</v>
      </c>
      <c r="V51" s="734">
        <f>($G$8)*'ARP Timing'!S$17</f>
        <v>0</v>
      </c>
    </row>
    <row r="52" spans="1:22" x14ac:dyDescent="0.35">
      <c r="B52" s="33" t="s">
        <v>241</v>
      </c>
      <c r="C52" s="1219"/>
      <c r="H52" s="734">
        <f>($H$8)*'ARP Timing'!B$17</f>
        <v>0</v>
      </c>
      <c r="I52" s="734">
        <f>($H$8)*'ARP Timing'!C$17</f>
        <v>0</v>
      </c>
      <c r="J52" s="734">
        <f>($H$8)*'ARP Timing'!D$17</f>
        <v>23.080568000000003</v>
      </c>
      <c r="K52" s="734">
        <f>($H$8)*'ARP Timing'!E$17</f>
        <v>30.6641832</v>
      </c>
      <c r="L52" s="734">
        <f>($H$8)*'ARP Timing'!F$17</f>
        <v>39.566687999999999</v>
      </c>
      <c r="M52" s="734">
        <f>($H$8)*'ARP Timing'!G$17</f>
        <v>42.863911999999999</v>
      </c>
      <c r="N52" s="734">
        <f>($H$8)*'ARP Timing'!H$17</f>
        <v>32.972239999999999</v>
      </c>
      <c r="O52" s="734">
        <f>($H$8)*'ARP Timing'!I$17</f>
        <v>32.972239999999999</v>
      </c>
      <c r="P52" s="734">
        <f>($H$8)*'ARP Timing'!J$17</f>
        <v>39.566687999999999</v>
      </c>
      <c r="Q52" s="734">
        <f>($H$8)*'ARP Timing'!K$17</f>
        <v>39.566687999999999</v>
      </c>
      <c r="R52" s="734">
        <f>($H$8)*'ARP Timing'!L$17</f>
        <v>46.161136000000006</v>
      </c>
      <c r="S52" s="734">
        <f>($H$8)*'ARP Timing'!M$17</f>
        <v>46.161136000000006</v>
      </c>
      <c r="T52" s="734">
        <f>($H$8)*'ARP Timing'!N$17</f>
        <v>39.566687999999999</v>
      </c>
      <c r="U52" s="734">
        <f>($H$8)*'ARP Timing'!O$17</f>
        <v>39.566687999999999</v>
      </c>
      <c r="V52" s="734">
        <f>($H$8)*'ARP Timing'!P$17</f>
        <v>35.280296800000002</v>
      </c>
    </row>
    <row r="53" spans="1:22" x14ac:dyDescent="0.35">
      <c r="B53" s="33" t="s">
        <v>330</v>
      </c>
      <c r="C53" s="1219"/>
      <c r="H53" s="1219"/>
      <c r="I53" s="734">
        <f>($I$8)*'ARP Timing'!B$17</f>
        <v>0</v>
      </c>
      <c r="J53" s="734">
        <f>($I$8)*'ARP Timing'!C$17</f>
        <v>0</v>
      </c>
      <c r="K53" s="734">
        <f>($I$8)*'ARP Timing'!D$17</f>
        <v>0</v>
      </c>
      <c r="L53" s="734">
        <f>($I$8)*'ARP Timing'!E$17</f>
        <v>0</v>
      </c>
      <c r="M53" s="734">
        <f>($I$8)*'ARP Timing'!F$17</f>
        <v>0</v>
      </c>
      <c r="N53" s="734">
        <f>($I$8)*'ARP Timing'!G$17</f>
        <v>0</v>
      </c>
      <c r="O53" s="734">
        <f>($I$8)*'ARP Timing'!H$17</f>
        <v>0</v>
      </c>
      <c r="P53" s="734">
        <f>($I$8)*'ARP Timing'!I$17</f>
        <v>0</v>
      </c>
      <c r="Q53" s="734">
        <f>($I$8)*'ARP Timing'!J$17</f>
        <v>0</v>
      </c>
      <c r="R53" s="734">
        <f>($I$8)*'ARP Timing'!K$17</f>
        <v>0</v>
      </c>
      <c r="S53" s="734">
        <f>($I$8)*'ARP Timing'!L$17</f>
        <v>0</v>
      </c>
      <c r="T53" s="734">
        <f>($I$8)*'ARP Timing'!M$17</f>
        <v>0</v>
      </c>
      <c r="U53" s="734">
        <f>($I$8)*'ARP Timing'!N$17</f>
        <v>0</v>
      </c>
      <c r="V53" s="734">
        <f>($I$8)*'ARP Timing'!O$17</f>
        <v>0</v>
      </c>
    </row>
    <row r="54" spans="1:22" x14ac:dyDescent="0.35">
      <c r="B54" s="33" t="s">
        <v>774</v>
      </c>
      <c r="C54" s="1219"/>
      <c r="H54" s="1219"/>
    </row>
    <row r="55" spans="1:22" x14ac:dyDescent="0.35">
      <c r="A55" s="734">
        <v>2023</v>
      </c>
      <c r="B55" s="33" t="s">
        <v>240</v>
      </c>
      <c r="C55" s="1219"/>
      <c r="H55" s="1219"/>
    </row>
    <row r="56" spans="1:22" x14ac:dyDescent="0.35">
      <c r="B56" s="33" t="s">
        <v>241</v>
      </c>
      <c r="C56" s="1219"/>
      <c r="H56" s="1219"/>
    </row>
    <row r="57" spans="1:22" x14ac:dyDescent="0.35">
      <c r="B57" s="33" t="s">
        <v>330</v>
      </c>
      <c r="C57" s="1219"/>
      <c r="H57" s="1219"/>
    </row>
    <row r="58" spans="1:22" x14ac:dyDescent="0.35">
      <c r="B58" s="33" t="s">
        <v>774</v>
      </c>
      <c r="C58" s="1219"/>
      <c r="H58" s="1219"/>
    </row>
    <row r="59" spans="1:22" x14ac:dyDescent="0.35">
      <c r="A59" s="734">
        <v>2024</v>
      </c>
      <c r="B59" s="33" t="s">
        <v>240</v>
      </c>
      <c r="C59" s="1219"/>
      <c r="H59" s="1219"/>
    </row>
    <row r="60" spans="1:22" x14ac:dyDescent="0.35">
      <c r="B60" s="33" t="s">
        <v>241</v>
      </c>
      <c r="C60" s="1219"/>
      <c r="H60" s="1219"/>
    </row>
    <row r="61" spans="1:22" x14ac:dyDescent="0.35">
      <c r="B61" s="33" t="s">
        <v>330</v>
      </c>
      <c r="C61" s="1219"/>
      <c r="H61" s="1219"/>
    </row>
    <row r="62" spans="1:22" x14ac:dyDescent="0.35">
      <c r="B62" s="33" t="s">
        <v>774</v>
      </c>
      <c r="C62" s="1219"/>
      <c r="H62" s="1219"/>
    </row>
    <row r="63" spans="1:22" x14ac:dyDescent="0.35">
      <c r="A63" t="s">
        <v>887</v>
      </c>
      <c r="B63" s="33"/>
      <c r="C63" s="1219"/>
      <c r="G63">
        <v>5</v>
      </c>
      <c r="H63" s="1219">
        <v>10</v>
      </c>
      <c r="I63">
        <v>15</v>
      </c>
      <c r="J63">
        <v>8</v>
      </c>
      <c r="K63">
        <v>0</v>
      </c>
      <c r="L63">
        <v>-10</v>
      </c>
      <c r="M63">
        <v>-10</v>
      </c>
      <c r="N63">
        <v>-10</v>
      </c>
      <c r="O63">
        <v>-8</v>
      </c>
    </row>
    <row r="64" spans="1:22" x14ac:dyDescent="0.35">
      <c r="B64" s="33"/>
      <c r="C64" s="1219"/>
      <c r="H64" s="1219"/>
    </row>
    <row r="65" spans="2:24" x14ac:dyDescent="0.35">
      <c r="B65" s="33"/>
      <c r="C65" s="1219"/>
      <c r="H65" s="1219"/>
    </row>
    <row r="66" spans="2:24" x14ac:dyDescent="0.35">
      <c r="B66" s="33"/>
      <c r="C66" s="1219"/>
      <c r="H66" s="1219"/>
    </row>
    <row r="67" spans="2:24" x14ac:dyDescent="0.35">
      <c r="B67" s="33"/>
      <c r="C67" s="1219"/>
      <c r="H67" s="1219"/>
    </row>
    <row r="68" spans="2:24" x14ac:dyDescent="0.35">
      <c r="B68" s="33"/>
      <c r="C68" s="1219"/>
      <c r="H68" s="1219"/>
    </row>
    <row r="69" spans="2:24" x14ac:dyDescent="0.35">
      <c r="B69" s="33"/>
      <c r="C69" s="1219"/>
      <c r="H69" s="1219"/>
    </row>
    <row r="70" spans="2:24" x14ac:dyDescent="0.35">
      <c r="B70" s="33"/>
      <c r="C70" s="1219"/>
      <c r="H70" s="1219"/>
    </row>
    <row r="71" spans="2:24" x14ac:dyDescent="0.35">
      <c r="B71" s="33"/>
      <c r="C71" s="1219"/>
      <c r="H71" s="1219"/>
    </row>
    <row r="72" spans="2:24" x14ac:dyDescent="0.35">
      <c r="B72" s="33"/>
      <c r="C72" s="1219"/>
      <c r="H72" s="1219"/>
    </row>
    <row r="73" spans="2:24" x14ac:dyDescent="0.35">
      <c r="B73" s="33" t="s">
        <v>776</v>
      </c>
      <c r="C73" s="1220">
        <v>2021</v>
      </c>
      <c r="D73" s="1220">
        <v>2022</v>
      </c>
      <c r="E73" s="1220">
        <v>2023</v>
      </c>
      <c r="F73" s="1220">
        <v>2024</v>
      </c>
      <c r="G73" s="1220">
        <v>2025</v>
      </c>
      <c r="H73" s="1219"/>
    </row>
    <row r="74" spans="2:24" x14ac:dyDescent="0.35">
      <c r="B74" s="33" t="s">
        <v>673</v>
      </c>
      <c r="C74" s="1224">
        <f t="shared" ref="C74:C85" si="43">SUM(C4:E4)/4</f>
        <v>0.77600000000001046</v>
      </c>
      <c r="D74" s="1224">
        <f t="shared" ref="D74:D85" si="44">SUM(F4:I4)/4</f>
        <v>19.719000000000005</v>
      </c>
      <c r="E74" s="1224">
        <f t="shared" ref="E74:E85" si="45">SUM(J4:M4)/4</f>
        <v>1.4159999999999999</v>
      </c>
      <c r="F74" s="1224">
        <f t="shared" ref="F74:F85" si="46">SUM(N4:Q4)/4</f>
        <v>1.4790000000000001</v>
      </c>
      <c r="G74" s="1224">
        <f t="shared" ref="G74:G85" si="47">SUM(R4:U4)/4</f>
        <v>1.63</v>
      </c>
    </row>
    <row r="75" spans="2:24" x14ac:dyDescent="0.35">
      <c r="B75" s="33" t="s">
        <v>674</v>
      </c>
      <c r="C75" s="1224">
        <f t="shared" si="43"/>
        <v>19.722000000000016</v>
      </c>
      <c r="D75" s="1224">
        <f t="shared" si="44"/>
        <v>52.756999999999998</v>
      </c>
      <c r="E75" s="1224">
        <f t="shared" si="45"/>
        <v>12</v>
      </c>
      <c r="F75" s="1224">
        <f t="shared" si="46"/>
        <v>4.2219999999999995</v>
      </c>
      <c r="G75" s="1224">
        <f t="shared" si="47"/>
        <v>2.3719999999999999</v>
      </c>
      <c r="H75" s="1219"/>
    </row>
    <row r="76" spans="2:24" x14ac:dyDescent="0.35">
      <c r="B76" s="33" t="s">
        <v>52</v>
      </c>
      <c r="C76" s="1224">
        <f t="shared" si="43"/>
        <v>81.643000000000001</v>
      </c>
      <c r="D76" s="1224">
        <f t="shared" si="44"/>
        <v>110.24799999999999</v>
      </c>
      <c r="E76" s="1224">
        <f t="shared" si="45"/>
        <v>12.726000000000001</v>
      </c>
      <c r="F76" s="1224">
        <f t="shared" si="46"/>
        <v>1.365</v>
      </c>
      <c r="G76" s="1224">
        <f t="shared" si="47"/>
        <v>-0.90100000000000025</v>
      </c>
      <c r="H76" s="1219"/>
      <c r="O76" s="33"/>
      <c r="P76" s="33"/>
      <c r="Q76" s="33"/>
      <c r="R76" s="33"/>
      <c r="S76" s="1225"/>
      <c r="T76" s="1225"/>
      <c r="U76" s="1225"/>
      <c r="V76" s="14"/>
      <c r="W76" s="33"/>
      <c r="X76" s="33"/>
    </row>
    <row r="77" spans="2:24" x14ac:dyDescent="0.35">
      <c r="B77" s="33" t="s">
        <v>131</v>
      </c>
      <c r="C77" s="1224">
        <f t="shared" si="43"/>
        <v>7.798</v>
      </c>
      <c r="D77" s="1224">
        <f t="shared" si="44"/>
        <v>7.9489999999999998</v>
      </c>
      <c r="E77" s="1224">
        <f t="shared" si="45"/>
        <v>4.7519999999999998</v>
      </c>
      <c r="F77" s="1224">
        <f t="shared" si="46"/>
        <v>4.637999999999999</v>
      </c>
      <c r="G77" s="1224">
        <f t="shared" si="47"/>
        <v>1.8800000000000001</v>
      </c>
      <c r="H77" s="1219"/>
    </row>
    <row r="78" spans="2:24" x14ac:dyDescent="0.35">
      <c r="B78" s="1222" t="s">
        <v>347</v>
      </c>
      <c r="C78" s="1224">
        <f t="shared" si="43"/>
        <v>247.29179999999997</v>
      </c>
      <c r="D78" s="1224">
        <f t="shared" si="44"/>
        <v>164.8612</v>
      </c>
      <c r="E78" s="1224">
        <f t="shared" si="45"/>
        <v>0</v>
      </c>
      <c r="F78" s="1224">
        <f t="shared" si="46"/>
        <v>0</v>
      </c>
      <c r="G78" s="1224">
        <f t="shared" si="47"/>
        <v>0</v>
      </c>
      <c r="H78" s="1219"/>
      <c r="R78" s="1190"/>
      <c r="S78" s="1190"/>
    </row>
    <row r="79" spans="2:24" x14ac:dyDescent="0.35">
      <c r="B79" s="1222" t="s">
        <v>150</v>
      </c>
      <c r="C79" s="1224">
        <f t="shared" si="43"/>
        <v>12.347</v>
      </c>
      <c r="D79" s="1224">
        <f t="shared" si="44"/>
        <v>46.79</v>
      </c>
      <c r="E79" s="1224">
        <f t="shared" si="45"/>
        <v>38.595999999999997</v>
      </c>
      <c r="F79" s="1224">
        <f t="shared" si="46"/>
        <v>31.911000000000001</v>
      </c>
      <c r="G79" s="1224">
        <f t="shared" si="47"/>
        <v>23.099</v>
      </c>
      <c r="H79" s="1219"/>
      <c r="R79" s="1190"/>
      <c r="S79" s="1190"/>
    </row>
    <row r="80" spans="2:24" x14ac:dyDescent="0.35">
      <c r="B80" s="1222" t="s">
        <v>363</v>
      </c>
      <c r="C80" s="1224">
        <f t="shared" si="43"/>
        <v>29.628</v>
      </c>
      <c r="D80" s="1224">
        <f t="shared" si="44"/>
        <v>35.671000000000006</v>
      </c>
      <c r="E80" s="1224">
        <f t="shared" si="45"/>
        <v>24.216000000000001</v>
      </c>
      <c r="F80" s="1224">
        <f t="shared" si="46"/>
        <v>9.6430000000000007</v>
      </c>
      <c r="G80" s="1224">
        <f t="shared" si="47"/>
        <v>4.5789999999999997</v>
      </c>
      <c r="H80" s="1219"/>
      <c r="R80" s="1190"/>
      <c r="S80" s="1190"/>
    </row>
    <row r="81" spans="2:19" x14ac:dyDescent="0.35">
      <c r="B81" s="14" t="s">
        <v>159</v>
      </c>
      <c r="C81" s="1224">
        <f t="shared" si="43"/>
        <v>25.75</v>
      </c>
      <c r="D81" s="1224">
        <f t="shared" si="44"/>
        <v>0</v>
      </c>
      <c r="E81" s="1224">
        <f t="shared" si="45"/>
        <v>0</v>
      </c>
      <c r="F81" s="1224">
        <f t="shared" si="46"/>
        <v>0</v>
      </c>
      <c r="G81" s="1224">
        <f t="shared" si="47"/>
        <v>0</v>
      </c>
      <c r="H81" s="1219"/>
      <c r="R81" s="1190"/>
      <c r="S81" s="1190"/>
    </row>
    <row r="82" spans="2:19" x14ac:dyDescent="0.35">
      <c r="B82" s="33" t="s">
        <v>109</v>
      </c>
      <c r="C82" s="1224">
        <f t="shared" si="43"/>
        <v>31.939</v>
      </c>
      <c r="D82" s="1224">
        <f t="shared" si="44"/>
        <v>56.413000000000004</v>
      </c>
      <c r="E82" s="1224">
        <f t="shared" si="45"/>
        <v>15.652999999999999</v>
      </c>
      <c r="F82" s="1224">
        <f t="shared" si="46"/>
        <v>3.9320000000000004</v>
      </c>
      <c r="G82" s="1224">
        <f t="shared" si="47"/>
        <v>-0.74299999999999988</v>
      </c>
      <c r="R82" s="1190"/>
      <c r="S82" s="1190"/>
    </row>
    <row r="83" spans="2:19" x14ac:dyDescent="0.35">
      <c r="B83" s="734" t="s">
        <v>767</v>
      </c>
      <c r="C83" s="1224">
        <f t="shared" si="43"/>
        <v>1.02</v>
      </c>
      <c r="D83" s="1224">
        <f t="shared" si="44"/>
        <v>1.5299999999999998</v>
      </c>
      <c r="E83" s="1224">
        <f t="shared" si="45"/>
        <v>0</v>
      </c>
      <c r="F83" s="1224">
        <f t="shared" si="46"/>
        <v>0</v>
      </c>
      <c r="G83" s="1224">
        <f t="shared" si="47"/>
        <v>0</v>
      </c>
      <c r="R83" s="1190"/>
      <c r="S83" s="1190"/>
    </row>
    <row r="84" spans="2:19" x14ac:dyDescent="0.35">
      <c r="B84" s="734" t="s">
        <v>768</v>
      </c>
      <c r="C84" s="1224">
        <f t="shared" si="43"/>
        <v>0.67999999999999994</v>
      </c>
      <c r="D84" s="1224">
        <f t="shared" si="44"/>
        <v>1.02</v>
      </c>
      <c r="E84" s="1224">
        <f t="shared" si="45"/>
        <v>0</v>
      </c>
      <c r="F84" s="1224">
        <f t="shared" si="46"/>
        <v>0</v>
      </c>
      <c r="G84" s="1224">
        <f t="shared" si="47"/>
        <v>0</v>
      </c>
      <c r="R84" s="1190"/>
      <c r="S84" s="1190"/>
    </row>
    <row r="85" spans="2:19" x14ac:dyDescent="0.35">
      <c r="B85" s="734" t="s">
        <v>469</v>
      </c>
      <c r="C85" s="1224">
        <f t="shared" si="43"/>
        <v>1.6999999999999997</v>
      </c>
      <c r="D85" s="1224">
        <f t="shared" si="44"/>
        <v>2.5499999999999998</v>
      </c>
      <c r="E85" s="1224">
        <f t="shared" si="45"/>
        <v>0</v>
      </c>
      <c r="F85" s="1224">
        <f t="shared" si="46"/>
        <v>0</v>
      </c>
      <c r="G85" s="1224">
        <f t="shared" si="47"/>
        <v>0</v>
      </c>
      <c r="R85" s="1190"/>
      <c r="S85" s="1190"/>
    </row>
    <row r="86" spans="2:19" x14ac:dyDescent="0.35">
      <c r="C86" s="1220">
        <v>2021</v>
      </c>
      <c r="D86" s="1220">
        <v>2022</v>
      </c>
      <c r="E86" s="1220">
        <v>2023</v>
      </c>
      <c r="F86" s="1220">
        <v>2024</v>
      </c>
      <c r="G86" s="1220">
        <v>2025</v>
      </c>
      <c r="R86" s="1190"/>
      <c r="S86" s="1190"/>
    </row>
    <row r="87" spans="2:19" x14ac:dyDescent="0.35">
      <c r="B87" s="734" t="s">
        <v>777</v>
      </c>
      <c r="C87" s="1223">
        <f>SUM(C83:C85)</f>
        <v>3.3999999999999995</v>
      </c>
      <c r="D87" s="1223">
        <f t="shared" ref="D87:G87" si="48">SUM(D83:D85)</f>
        <v>5.0999999999999996</v>
      </c>
      <c r="E87" s="1223">
        <f t="shared" si="48"/>
        <v>0</v>
      </c>
      <c r="F87" s="1223">
        <f t="shared" si="48"/>
        <v>0</v>
      </c>
      <c r="G87" s="1223">
        <f t="shared" si="48"/>
        <v>0</v>
      </c>
      <c r="R87" s="1190"/>
      <c r="S87" s="1190"/>
    </row>
    <row r="90" spans="2:19" x14ac:dyDescent="0.35">
      <c r="B90" s="734" t="s">
        <v>673</v>
      </c>
      <c r="C90" s="1224">
        <v>26.636000000000024</v>
      </c>
      <c r="D90" s="1224">
        <v>98.978999999999999</v>
      </c>
      <c r="E90" s="1224">
        <v>2.1159999999999997</v>
      </c>
      <c r="F90" s="1224">
        <v>2.1789999999999998</v>
      </c>
      <c r="G90" s="1224">
        <v>2.33</v>
      </c>
      <c r="H90" s="1224"/>
      <c r="I90" s="1224"/>
      <c r="J90" s="1224"/>
      <c r="K90" s="1224"/>
      <c r="L90" s="1224"/>
      <c r="M90" s="1224"/>
    </row>
    <row r="91" spans="2:19" x14ac:dyDescent="0.35">
      <c r="B91" s="734" t="s">
        <v>674</v>
      </c>
      <c r="C91" s="1224">
        <v>47.722000000000016</v>
      </c>
      <c r="D91" s="1224">
        <v>52.756999999999998</v>
      </c>
      <c r="E91" s="1224">
        <v>12</v>
      </c>
      <c r="F91" s="1224">
        <v>4.2219999999999995</v>
      </c>
      <c r="G91" s="1224">
        <v>2.3719999999999999</v>
      </c>
      <c r="H91" s="1224"/>
      <c r="I91" s="1224"/>
      <c r="J91" s="1224"/>
      <c r="K91" s="1224"/>
      <c r="L91" s="1224"/>
      <c r="M91" s="1224"/>
    </row>
    <row r="92" spans="2:19" x14ac:dyDescent="0.35">
      <c r="B92" s="734" t="s">
        <v>52</v>
      </c>
      <c r="C92" s="1224">
        <v>81.842999999999989</v>
      </c>
      <c r="D92" s="1224">
        <v>110.24799999999999</v>
      </c>
      <c r="E92" s="1224">
        <v>12.726000000000001</v>
      </c>
      <c r="F92" s="1224">
        <v>1.365</v>
      </c>
      <c r="G92" s="1224">
        <v>-0.90100000000000025</v>
      </c>
      <c r="H92" s="1224"/>
      <c r="I92" s="1224"/>
      <c r="J92" s="1224"/>
      <c r="K92" s="1224"/>
      <c r="L92" s="1224"/>
      <c r="M92" s="1224"/>
    </row>
    <row r="93" spans="2:19" x14ac:dyDescent="0.35">
      <c r="B93" s="734" t="s">
        <v>131</v>
      </c>
      <c r="C93" s="1224">
        <v>7.798</v>
      </c>
      <c r="D93" s="1224">
        <v>7.9489999999999998</v>
      </c>
      <c r="E93" s="1224">
        <v>4.7519999999999998</v>
      </c>
      <c r="F93" s="1224">
        <v>4.637999999999999</v>
      </c>
      <c r="G93" s="1224">
        <v>1.8800000000000001</v>
      </c>
      <c r="H93" s="1224"/>
      <c r="I93" s="1224"/>
      <c r="J93" s="1224"/>
      <c r="K93" s="1224"/>
      <c r="L93" s="1224"/>
      <c r="M93" s="1224"/>
    </row>
    <row r="94" spans="2:19" x14ac:dyDescent="0.35">
      <c r="B94" s="734" t="s">
        <v>347</v>
      </c>
      <c r="C94" s="1224">
        <v>283.95749999999998</v>
      </c>
      <c r="D94" s="1224">
        <v>77.092500000000001</v>
      </c>
      <c r="E94" s="1224">
        <v>1</v>
      </c>
      <c r="F94" s="1224">
        <v>0</v>
      </c>
      <c r="G94" s="1224">
        <v>0</v>
      </c>
      <c r="H94" s="1224"/>
      <c r="I94" s="1224"/>
      <c r="J94" s="1224"/>
      <c r="K94" s="1224"/>
      <c r="L94" s="1224"/>
      <c r="M94" s="1224"/>
    </row>
    <row r="95" spans="2:19" x14ac:dyDescent="0.35">
      <c r="B95" s="734" t="s">
        <v>150</v>
      </c>
      <c r="C95" s="1224">
        <v>12.347</v>
      </c>
      <c r="D95" s="1224">
        <v>46.79</v>
      </c>
      <c r="E95" s="1224">
        <v>38.595999999999997</v>
      </c>
      <c r="F95" s="1224">
        <v>31.911000000000001</v>
      </c>
      <c r="G95" s="1224">
        <v>23.099</v>
      </c>
      <c r="H95" s="1224"/>
      <c r="I95" s="1224"/>
      <c r="J95" s="1224"/>
      <c r="K95" s="1224"/>
      <c r="L95" s="1224"/>
      <c r="M95" s="1224"/>
    </row>
    <row r="96" spans="2:19" x14ac:dyDescent="0.35">
      <c r="B96" s="734" t="s">
        <v>363</v>
      </c>
      <c r="C96" s="1224">
        <v>2.286</v>
      </c>
      <c r="D96" s="1224">
        <v>4.6049999999999995</v>
      </c>
      <c r="E96" s="1224">
        <v>1.349</v>
      </c>
      <c r="F96" s="1224">
        <v>0.441</v>
      </c>
      <c r="G96" s="1224">
        <v>0.313</v>
      </c>
      <c r="H96" s="1224"/>
      <c r="I96" s="1224"/>
      <c r="J96" s="1224"/>
      <c r="K96" s="1224"/>
      <c r="L96" s="1224"/>
      <c r="M96" s="1224"/>
    </row>
    <row r="97" spans="2:13" x14ac:dyDescent="0.35">
      <c r="B97" s="734" t="s">
        <v>159</v>
      </c>
      <c r="C97" s="1224">
        <v>25.75</v>
      </c>
      <c r="D97" s="1224">
        <v>0</v>
      </c>
      <c r="E97" s="1224">
        <v>0</v>
      </c>
      <c r="F97" s="1224">
        <v>0</v>
      </c>
      <c r="G97" s="1224">
        <v>0</v>
      </c>
      <c r="H97" s="1224"/>
      <c r="I97" s="1224"/>
      <c r="J97" s="1224"/>
      <c r="K97" s="1224"/>
      <c r="L97" s="1224"/>
      <c r="M97" s="1224"/>
    </row>
    <row r="98" spans="2:13" x14ac:dyDescent="0.35">
      <c r="B98" s="734" t="s">
        <v>109</v>
      </c>
      <c r="C98" s="1224">
        <v>60.441000000000003</v>
      </c>
      <c r="D98" s="1224">
        <v>91.678999999999988</v>
      </c>
      <c r="E98" s="1224">
        <v>41.220000000000006</v>
      </c>
      <c r="F98" s="1224">
        <v>14.004000000000003</v>
      </c>
      <c r="G98" s="1224">
        <v>3.8530000000000006</v>
      </c>
      <c r="H98" s="1224"/>
      <c r="I98" s="1224"/>
      <c r="J98" s="1224"/>
      <c r="K98" s="1224"/>
      <c r="L98" s="1224"/>
      <c r="M98" s="1224"/>
    </row>
    <row r="99" spans="2:13" x14ac:dyDescent="0.35">
      <c r="C99" s="1220">
        <v>3.4</v>
      </c>
      <c r="D99" s="1220">
        <v>5.0999999999999996</v>
      </c>
      <c r="E99" s="1220">
        <v>0</v>
      </c>
      <c r="F99" s="1220">
        <v>0</v>
      </c>
    </row>
  </sheetData>
  <pageMargins left="0.7" right="0.7" top="0.75" bottom="0.75" header="0.3" footer="0.3"/>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L252"/>
  <sheetViews>
    <sheetView workbookViewId="0"/>
  </sheetViews>
  <sheetFormatPr defaultColWidth="10.90625" defaultRowHeight="14.5" x14ac:dyDescent="0.35"/>
  <sheetData>
    <row r="1" spans="1:12" x14ac:dyDescent="0.35">
      <c r="A1" s="69" t="s">
        <v>1429</v>
      </c>
      <c r="B1" s="69" t="s">
        <v>1430</v>
      </c>
      <c r="C1" s="69" t="s">
        <v>1431</v>
      </c>
      <c r="D1" s="69" t="s">
        <v>1432</v>
      </c>
      <c r="E1" s="69" t="s">
        <v>1433</v>
      </c>
      <c r="F1" s="69" t="s">
        <v>1434</v>
      </c>
      <c r="G1" s="69" t="s">
        <v>919</v>
      </c>
      <c r="H1" s="69" t="s">
        <v>920</v>
      </c>
      <c r="I1" s="69" t="s">
        <v>921</v>
      </c>
      <c r="J1" s="69" t="s">
        <v>922</v>
      </c>
      <c r="K1" s="69" t="s">
        <v>923</v>
      </c>
      <c r="L1" s="69" t="s">
        <v>924</v>
      </c>
    </row>
    <row r="2" spans="1:12" x14ac:dyDescent="0.35">
      <c r="A2">
        <v>4.5079018442711401E-2</v>
      </c>
      <c r="B2">
        <v>5.3878515900577198E-2</v>
      </c>
      <c r="C2">
        <v>8.2063006909154398E-2</v>
      </c>
      <c r="D2">
        <v>0.104421067414309</v>
      </c>
      <c r="E2" t="s">
        <v>1435</v>
      </c>
      <c r="F2" t="s">
        <v>1436</v>
      </c>
      <c r="G2">
        <v>13.106999999999999</v>
      </c>
      <c r="H2">
        <v>1.9913023575188999E-2</v>
      </c>
      <c r="I2">
        <v>16.824999999999999</v>
      </c>
      <c r="J2">
        <v>2.51411589895989E-2</v>
      </c>
      <c r="K2" t="s">
        <v>925</v>
      </c>
      <c r="L2" t="s">
        <v>926</v>
      </c>
    </row>
    <row r="3" spans="1:12" x14ac:dyDescent="0.35">
      <c r="A3">
        <v>4.5079018442711401E-2</v>
      </c>
      <c r="B3">
        <v>5.3878515900577198E-2</v>
      </c>
      <c r="C3">
        <v>8.2063006909154398E-2</v>
      </c>
      <c r="D3">
        <v>0.104421067414309</v>
      </c>
      <c r="E3" t="s">
        <v>1437</v>
      </c>
      <c r="F3" t="s">
        <v>1436</v>
      </c>
      <c r="G3">
        <v>13.368</v>
      </c>
      <c r="H3">
        <v>1.9913023575188999E-2</v>
      </c>
      <c r="I3">
        <v>17.248000000000001</v>
      </c>
      <c r="J3">
        <v>2.51411589895989E-2</v>
      </c>
      <c r="K3" t="s">
        <v>927</v>
      </c>
      <c r="L3" t="s">
        <v>926</v>
      </c>
    </row>
    <row r="4" spans="1:12" x14ac:dyDescent="0.35">
      <c r="A4">
        <v>3.9419555818651898E-2</v>
      </c>
      <c r="B4">
        <v>6.9938689583740596E-2</v>
      </c>
      <c r="C4">
        <v>7.2508506661211405E-2</v>
      </c>
      <c r="D4">
        <v>7.9737360467493398E-2</v>
      </c>
      <c r="E4" t="s">
        <v>1438</v>
      </c>
      <c r="F4" t="s">
        <v>1436</v>
      </c>
      <c r="G4">
        <v>13.603999999999999</v>
      </c>
      <c r="H4">
        <v>1.7654099341711402E-2</v>
      </c>
      <c r="I4">
        <v>17.582000000000001</v>
      </c>
      <c r="J4">
        <v>1.9364564007421099E-2</v>
      </c>
      <c r="K4" t="s">
        <v>928</v>
      </c>
      <c r="L4" t="s">
        <v>926</v>
      </c>
    </row>
    <row r="5" spans="1:12" x14ac:dyDescent="0.35">
      <c r="A5">
        <v>5.2824828770235303E-2</v>
      </c>
      <c r="B5">
        <v>5.1823422551402501E-2</v>
      </c>
      <c r="C5">
        <v>6.9052453854286294E-2</v>
      </c>
      <c r="D5">
        <v>0.10539397910227</v>
      </c>
      <c r="E5" t="s">
        <v>1439</v>
      </c>
      <c r="F5" t="s">
        <v>1436</v>
      </c>
      <c r="G5">
        <v>13.833</v>
      </c>
      <c r="H5">
        <v>1.6833284328138898E-2</v>
      </c>
      <c r="I5">
        <v>18.027999999999999</v>
      </c>
      <c r="J5">
        <v>2.5366852462745899E-2</v>
      </c>
      <c r="K5" t="s">
        <v>929</v>
      </c>
      <c r="L5" t="s">
        <v>926</v>
      </c>
    </row>
    <row r="6" spans="1:12" x14ac:dyDescent="0.35">
      <c r="A6">
        <v>3.85286878692137E-2</v>
      </c>
      <c r="B6">
        <v>0.132788480581229</v>
      </c>
      <c r="C6">
        <v>0.10231116414477499</v>
      </c>
      <c r="D6">
        <v>6.9175988166702701E-2</v>
      </c>
      <c r="E6" t="s">
        <v>1440</v>
      </c>
      <c r="F6" t="s">
        <v>1436</v>
      </c>
      <c r="G6">
        <v>14.173999999999999</v>
      </c>
      <c r="H6">
        <v>2.4651196414371399E-2</v>
      </c>
      <c r="I6">
        <v>18.332000000000001</v>
      </c>
      <c r="J6">
        <v>1.6862658087419598E-2</v>
      </c>
      <c r="K6" t="s">
        <v>930</v>
      </c>
      <c r="L6" t="s">
        <v>926</v>
      </c>
    </row>
    <row r="7" spans="1:12" x14ac:dyDescent="0.35">
      <c r="A7">
        <v>4.6230845754161802E-2</v>
      </c>
      <c r="B7">
        <v>7.6806429060699302E-2</v>
      </c>
      <c r="C7">
        <v>7.6908368677740299E-2</v>
      </c>
      <c r="D7">
        <v>6.5481053360561203E-2</v>
      </c>
      <c r="E7" t="s">
        <v>1441</v>
      </c>
      <c r="F7" t="s">
        <v>1436</v>
      </c>
      <c r="G7">
        <v>14.439</v>
      </c>
      <c r="H7">
        <v>1.8696204317764999E-2</v>
      </c>
      <c r="I7">
        <v>18.625</v>
      </c>
      <c r="J7">
        <v>1.59829805804057E-2</v>
      </c>
      <c r="K7" t="s">
        <v>931</v>
      </c>
      <c r="L7" t="s">
        <v>926</v>
      </c>
    </row>
    <row r="8" spans="1:12" x14ac:dyDescent="0.35">
      <c r="A8">
        <v>4.0000704948734103E-2</v>
      </c>
      <c r="B8">
        <v>5.9184461037305798E-2</v>
      </c>
      <c r="C8">
        <v>6.1773509542664397E-2</v>
      </c>
      <c r="D8">
        <v>4.4315280925248897E-2</v>
      </c>
      <c r="E8" t="s">
        <v>1442</v>
      </c>
      <c r="F8" t="s">
        <v>1436</v>
      </c>
      <c r="G8">
        <v>14.657</v>
      </c>
      <c r="H8">
        <v>1.5097998476348899E-2</v>
      </c>
      <c r="I8">
        <v>18.827999999999999</v>
      </c>
      <c r="J8">
        <v>1.0899328859060401E-2</v>
      </c>
      <c r="K8" t="s">
        <v>932</v>
      </c>
      <c r="L8" t="s">
        <v>926</v>
      </c>
    </row>
    <row r="9" spans="1:12" x14ac:dyDescent="0.35">
      <c r="A9">
        <v>2.5035607973723999E-2</v>
      </c>
      <c r="B9">
        <v>8.3819893360376693E-2</v>
      </c>
      <c r="C9">
        <v>3.6793688078589702E-2</v>
      </c>
      <c r="D9">
        <v>7.0854524877743894E-2</v>
      </c>
      <c r="E9" t="s">
        <v>1443</v>
      </c>
      <c r="F9" t="s">
        <v>1436</v>
      </c>
      <c r="G9">
        <v>14.79</v>
      </c>
      <c r="H9">
        <v>9.0741625162038507E-3</v>
      </c>
      <c r="I9">
        <v>19.152999999999999</v>
      </c>
      <c r="J9">
        <v>1.7261525387720401E-2</v>
      </c>
      <c r="K9" t="s">
        <v>933</v>
      </c>
      <c r="L9" t="s">
        <v>926</v>
      </c>
    </row>
    <row r="10" spans="1:12" x14ac:dyDescent="0.35">
      <c r="A10">
        <v>4.2906681103859E-2</v>
      </c>
      <c r="B10">
        <v>0.175097239288524</v>
      </c>
      <c r="C10">
        <v>0.10446834522691199</v>
      </c>
      <c r="D10">
        <v>5.2157088254066501E-2</v>
      </c>
      <c r="E10" t="s">
        <v>1444</v>
      </c>
      <c r="F10" t="s">
        <v>1436</v>
      </c>
      <c r="G10">
        <v>15.162000000000001</v>
      </c>
      <c r="H10">
        <v>2.5152129817444399E-2</v>
      </c>
      <c r="I10">
        <v>19.398</v>
      </c>
      <c r="J10">
        <v>1.27917297551299E-2</v>
      </c>
      <c r="K10" t="s">
        <v>934</v>
      </c>
      <c r="L10" t="s">
        <v>926</v>
      </c>
    </row>
    <row r="11" spans="1:12" x14ac:dyDescent="0.35">
      <c r="A11">
        <v>2.3157030840978501E-2</v>
      </c>
      <c r="B11">
        <v>4.0963848741786497E-2</v>
      </c>
      <c r="C11">
        <v>5.35423244430666E-2</v>
      </c>
      <c r="D11">
        <v>2.83404365976123E-2</v>
      </c>
      <c r="E11" t="s">
        <v>1445</v>
      </c>
      <c r="F11" t="s">
        <v>1436</v>
      </c>
      <c r="G11">
        <v>15.361000000000001</v>
      </c>
      <c r="H11">
        <v>1.3124917557050499E-2</v>
      </c>
      <c r="I11">
        <v>19.533999999999999</v>
      </c>
      <c r="J11">
        <v>7.0110320651612899E-3</v>
      </c>
      <c r="K11" t="s">
        <v>935</v>
      </c>
      <c r="L11" t="s">
        <v>926</v>
      </c>
    </row>
    <row r="12" spans="1:12" x14ac:dyDescent="0.35">
      <c r="A12">
        <v>3.55986781186481E-2</v>
      </c>
      <c r="B12">
        <v>3.3186191278740597E-2</v>
      </c>
      <c r="C12">
        <v>6.3703129067968198E-2</v>
      </c>
      <c r="D12">
        <v>5.6658506033298299E-2</v>
      </c>
      <c r="E12" t="s">
        <v>1446</v>
      </c>
      <c r="F12" t="s">
        <v>1436</v>
      </c>
      <c r="G12">
        <v>15.6</v>
      </c>
      <c r="H12">
        <v>1.5558882885228701E-2</v>
      </c>
      <c r="I12">
        <v>19.805</v>
      </c>
      <c r="J12">
        <v>1.38732466468721E-2</v>
      </c>
      <c r="K12" t="s">
        <v>936</v>
      </c>
      <c r="L12" t="s">
        <v>926</v>
      </c>
    </row>
    <row r="13" spans="1:12" x14ac:dyDescent="0.35">
      <c r="A13">
        <v>3.3109052200751603E-2</v>
      </c>
      <c r="B13">
        <v>8.9944620716435594E-2</v>
      </c>
      <c r="C13">
        <v>5.0679215853917103E-2</v>
      </c>
      <c r="D13">
        <v>7.6848944278385095E-2</v>
      </c>
      <c r="E13" t="s">
        <v>1447</v>
      </c>
      <c r="F13" t="s">
        <v>1436</v>
      </c>
      <c r="G13">
        <v>15.794</v>
      </c>
      <c r="H13">
        <v>1.2435897435897601E-2</v>
      </c>
      <c r="I13">
        <v>20.175000000000001</v>
      </c>
      <c r="J13">
        <v>1.8682150971976799E-2</v>
      </c>
      <c r="K13" t="s">
        <v>937</v>
      </c>
      <c r="L13" t="s">
        <v>926</v>
      </c>
    </row>
    <row r="14" spans="1:12" x14ac:dyDescent="0.35">
      <c r="A14">
        <v>4.91014015888558E-2</v>
      </c>
      <c r="B14">
        <v>6.5908483031781095E-2</v>
      </c>
      <c r="C14">
        <v>8.1389738888574495E-2</v>
      </c>
      <c r="D14">
        <v>7.93845743471608E-2</v>
      </c>
      <c r="E14" t="s">
        <v>1448</v>
      </c>
      <c r="F14" t="s">
        <v>1436</v>
      </c>
      <c r="G14">
        <v>16.106000000000002</v>
      </c>
      <c r="H14">
        <v>1.9754337090034199E-2</v>
      </c>
      <c r="I14">
        <v>20.564</v>
      </c>
      <c r="J14">
        <v>1.9281288723668001E-2</v>
      </c>
      <c r="K14" t="s">
        <v>938</v>
      </c>
      <c r="L14" t="s">
        <v>926</v>
      </c>
    </row>
    <row r="15" spans="1:12" x14ac:dyDescent="0.35">
      <c r="A15">
        <v>7.9177652454341899E-2</v>
      </c>
      <c r="B15">
        <v>7.1493559288280994E-2</v>
      </c>
      <c r="C15">
        <v>6.9283063617710403E-2</v>
      </c>
      <c r="D15">
        <v>8.6922582910256702E-2</v>
      </c>
      <c r="E15" t="s">
        <v>1449</v>
      </c>
      <c r="F15" t="s">
        <v>1436</v>
      </c>
      <c r="G15">
        <v>16.378</v>
      </c>
      <c r="H15">
        <v>1.68881162299763E-2</v>
      </c>
      <c r="I15">
        <v>20.997</v>
      </c>
      <c r="J15">
        <v>2.1056214744213299E-2</v>
      </c>
      <c r="K15" t="s">
        <v>939</v>
      </c>
      <c r="L15" t="s">
        <v>926</v>
      </c>
    </row>
    <row r="16" spans="1:12" x14ac:dyDescent="0.35">
      <c r="A16">
        <v>7.4767520593947104E-2</v>
      </c>
      <c r="B16">
        <v>8.5362600720222198E-2</v>
      </c>
      <c r="C16">
        <v>4.7217464684975501E-2</v>
      </c>
      <c r="D16">
        <v>8.4062519785650797E-2</v>
      </c>
      <c r="E16" t="s">
        <v>1450</v>
      </c>
      <c r="F16" t="s">
        <v>1436</v>
      </c>
      <c r="G16">
        <v>16.568000000000001</v>
      </c>
      <c r="H16">
        <v>1.1600928074246E-2</v>
      </c>
      <c r="I16">
        <v>21.425000000000001</v>
      </c>
      <c r="J16">
        <v>2.03838643615755E-2</v>
      </c>
      <c r="K16" t="s">
        <v>940</v>
      </c>
      <c r="L16" t="s">
        <v>926</v>
      </c>
    </row>
    <row r="17" spans="1:12" x14ac:dyDescent="0.35">
      <c r="A17">
        <v>8.4354048501589896E-2</v>
      </c>
      <c r="B17">
        <v>8.8313277531109999E-2</v>
      </c>
      <c r="C17">
        <v>6.8825586736247696E-2</v>
      </c>
      <c r="D17">
        <v>0.111750672708145</v>
      </c>
      <c r="E17" t="s">
        <v>1451</v>
      </c>
      <c r="F17" t="s">
        <v>1436</v>
      </c>
      <c r="G17">
        <v>16.846</v>
      </c>
      <c r="H17">
        <v>1.6779333655238898E-2</v>
      </c>
      <c r="I17">
        <v>22</v>
      </c>
      <c r="J17">
        <v>2.68378063010501E-2</v>
      </c>
      <c r="K17" t="s">
        <v>941</v>
      </c>
      <c r="L17" t="s">
        <v>926</v>
      </c>
    </row>
    <row r="18" spans="1:12" x14ac:dyDescent="0.35">
      <c r="A18">
        <v>0.124536540877934</v>
      </c>
      <c r="B18">
        <v>4.1616768277239702E-2</v>
      </c>
      <c r="C18">
        <v>0.100709384145876</v>
      </c>
      <c r="D18">
        <v>0.19875533747763099</v>
      </c>
      <c r="E18" t="s">
        <v>1452</v>
      </c>
      <c r="F18" t="s">
        <v>1436</v>
      </c>
      <c r="G18">
        <v>17.254999999999999</v>
      </c>
      <c r="H18">
        <v>2.42787605366259E-2</v>
      </c>
      <c r="I18">
        <v>23.02</v>
      </c>
      <c r="J18">
        <v>4.6363636363636399E-2</v>
      </c>
      <c r="K18" t="s">
        <v>942</v>
      </c>
      <c r="L18" t="s">
        <v>926</v>
      </c>
    </row>
    <row r="19" spans="1:12" x14ac:dyDescent="0.35">
      <c r="A19">
        <v>0.118186339709689</v>
      </c>
      <c r="B19">
        <v>7.4336480554695494E-2</v>
      </c>
      <c r="C19">
        <v>0.111980004946894</v>
      </c>
      <c r="D19">
        <v>0.27614966476000502</v>
      </c>
      <c r="E19" t="s">
        <v>1453</v>
      </c>
      <c r="F19" t="s">
        <v>1436</v>
      </c>
      <c r="G19">
        <v>17.719000000000001</v>
      </c>
      <c r="H19">
        <v>2.68907563025211E-2</v>
      </c>
      <c r="I19">
        <v>24.466999999999999</v>
      </c>
      <c r="J19">
        <v>6.2858384013900995E-2</v>
      </c>
      <c r="K19" t="s">
        <v>943</v>
      </c>
      <c r="L19" t="s">
        <v>926</v>
      </c>
    </row>
    <row r="20" spans="1:12" x14ac:dyDescent="0.35">
      <c r="A20">
        <v>0.112285409166716</v>
      </c>
      <c r="B20">
        <v>0.121923532437656</v>
      </c>
      <c r="C20">
        <v>0.119951580753957</v>
      </c>
      <c r="D20">
        <v>0.28126959643585903</v>
      </c>
      <c r="E20" t="s">
        <v>1454</v>
      </c>
      <c r="F20" t="s">
        <v>1436</v>
      </c>
      <c r="G20">
        <v>18.228000000000002</v>
      </c>
      <c r="H20">
        <v>2.8726226084993398E-2</v>
      </c>
      <c r="I20">
        <v>26.030999999999999</v>
      </c>
      <c r="J20">
        <v>6.3922834838762405E-2</v>
      </c>
      <c r="K20" t="s">
        <v>944</v>
      </c>
      <c r="L20" t="s">
        <v>926</v>
      </c>
    </row>
    <row r="21" spans="1:12" x14ac:dyDescent="0.35">
      <c r="A21">
        <v>0.10564888426900799</v>
      </c>
      <c r="B21">
        <v>0.139689749601554</v>
      </c>
      <c r="C21">
        <v>0.10861792322335199</v>
      </c>
      <c r="D21">
        <v>0.17691984955710299</v>
      </c>
      <c r="E21" t="s">
        <v>1455</v>
      </c>
      <c r="F21" t="s">
        <v>1436</v>
      </c>
      <c r="G21">
        <v>18.704000000000001</v>
      </c>
      <c r="H21">
        <v>2.6113671274961399E-2</v>
      </c>
      <c r="I21">
        <v>27.113</v>
      </c>
      <c r="J21">
        <v>4.15658253620683E-2</v>
      </c>
      <c r="K21" t="s">
        <v>945</v>
      </c>
      <c r="L21" t="s">
        <v>926</v>
      </c>
    </row>
    <row r="22" spans="1:12" x14ac:dyDescent="0.35">
      <c r="A22">
        <v>7.7418031911128199E-2</v>
      </c>
      <c r="B22">
        <v>7.47377264200315E-2</v>
      </c>
      <c r="C22">
        <v>8.2414004288707196E-2</v>
      </c>
      <c r="D22">
        <v>8.77241949354641E-2</v>
      </c>
      <c r="E22" t="s">
        <v>1456</v>
      </c>
      <c r="F22" t="s">
        <v>1436</v>
      </c>
      <c r="G22">
        <v>19.077999999999999</v>
      </c>
      <c r="H22">
        <v>1.99957228400343E-2</v>
      </c>
      <c r="I22">
        <v>27.689</v>
      </c>
      <c r="J22">
        <v>2.1244421495223698E-2</v>
      </c>
      <c r="K22" t="s">
        <v>946</v>
      </c>
      <c r="L22" t="s">
        <v>926</v>
      </c>
    </row>
    <row r="23" spans="1:12" x14ac:dyDescent="0.35">
      <c r="A23">
        <v>5.00188837807687E-2</v>
      </c>
      <c r="B23">
        <v>5.9076854521070303E-2</v>
      </c>
      <c r="C23">
        <v>9.99907756879512E-2</v>
      </c>
      <c r="D23">
        <v>1.9938623083631101E-2</v>
      </c>
      <c r="E23" t="s">
        <v>1457</v>
      </c>
      <c r="F23" t="s">
        <v>1436</v>
      </c>
      <c r="G23">
        <v>19.538</v>
      </c>
      <c r="H23">
        <v>2.4111542090365898E-2</v>
      </c>
      <c r="I23">
        <v>27.826000000000001</v>
      </c>
      <c r="J23">
        <v>4.9478132110223304E-3</v>
      </c>
      <c r="K23" t="s">
        <v>947</v>
      </c>
      <c r="L23" t="s">
        <v>926</v>
      </c>
    </row>
    <row r="24" spans="1:12" x14ac:dyDescent="0.35">
      <c r="A24">
        <v>7.6956317974106001E-2</v>
      </c>
      <c r="B24">
        <v>5.5091330920863602E-2</v>
      </c>
      <c r="C24">
        <v>6.2847909413525901E-2</v>
      </c>
      <c r="D24">
        <v>1.2710174962932599E-2</v>
      </c>
      <c r="E24" t="s">
        <v>1458</v>
      </c>
      <c r="F24" t="s">
        <v>1436</v>
      </c>
      <c r="G24">
        <v>19.838000000000001</v>
      </c>
      <c r="H24">
        <v>1.5354693417954699E-2</v>
      </c>
      <c r="I24">
        <v>27.914000000000001</v>
      </c>
      <c r="J24">
        <v>3.16250988284339E-3</v>
      </c>
      <c r="K24" t="s">
        <v>948</v>
      </c>
      <c r="L24" t="s">
        <v>926</v>
      </c>
    </row>
    <row r="25" spans="1:12" x14ac:dyDescent="0.35">
      <c r="A25">
        <v>6.8882772668885706E-2</v>
      </c>
      <c r="B25">
        <v>9.5097426388938394E-2</v>
      </c>
      <c r="C25">
        <v>5.9557775023163499E-2</v>
      </c>
      <c r="D25">
        <v>2.4583979224767301E-2</v>
      </c>
      <c r="E25" t="s">
        <v>1459</v>
      </c>
      <c r="F25" t="s">
        <v>1436</v>
      </c>
      <c r="G25">
        <v>20.126999999999999</v>
      </c>
      <c r="H25">
        <v>1.45680008065328E-2</v>
      </c>
      <c r="I25">
        <v>28.084</v>
      </c>
      <c r="J25">
        <v>6.0901339829475499E-3</v>
      </c>
      <c r="K25" t="s">
        <v>949</v>
      </c>
      <c r="L25" t="s">
        <v>926</v>
      </c>
    </row>
    <row r="26" spans="1:12" x14ac:dyDescent="0.35">
      <c r="A26">
        <v>4.46796784787249E-2</v>
      </c>
      <c r="B26">
        <v>5.9702158874865199E-2</v>
      </c>
      <c r="C26">
        <v>5.3094918319799497E-2</v>
      </c>
      <c r="D26">
        <v>1.9800669277978002E-2</v>
      </c>
      <c r="E26" t="s">
        <v>1460</v>
      </c>
      <c r="F26" t="s">
        <v>1436</v>
      </c>
      <c r="G26">
        <v>20.388999999999999</v>
      </c>
      <c r="H26">
        <v>1.30173398916877E-2</v>
      </c>
      <c r="I26">
        <v>28.222000000000001</v>
      </c>
      <c r="J26">
        <v>4.91382993875522E-3</v>
      </c>
      <c r="K26" t="s">
        <v>950</v>
      </c>
      <c r="L26" t="s">
        <v>926</v>
      </c>
    </row>
    <row r="27" spans="1:12" x14ac:dyDescent="0.35">
      <c r="A27">
        <v>3.3979822161052303E-2</v>
      </c>
      <c r="B27">
        <v>3.3961135638896502E-2</v>
      </c>
      <c r="C27">
        <v>5.3215140717762302E-2</v>
      </c>
      <c r="D27">
        <v>3.4743180507705002E-2</v>
      </c>
      <c r="E27" t="s">
        <v>1461</v>
      </c>
      <c r="F27" t="s">
        <v>1436</v>
      </c>
      <c r="G27">
        <v>20.655000000000001</v>
      </c>
      <c r="H27">
        <v>1.3046250429153101E-2</v>
      </c>
      <c r="I27">
        <v>28.463999999999999</v>
      </c>
      <c r="J27">
        <v>8.5748706682728902E-3</v>
      </c>
      <c r="K27" t="s">
        <v>951</v>
      </c>
      <c r="L27" t="s">
        <v>926</v>
      </c>
    </row>
    <row r="28" spans="1:12" x14ac:dyDescent="0.35">
      <c r="A28">
        <v>6.2157602764701697E-2</v>
      </c>
      <c r="B28">
        <v>4.6572413553721298E-2</v>
      </c>
      <c r="C28">
        <v>3.5515485276211803E-2</v>
      </c>
      <c r="D28">
        <v>8.7412684077270396E-3</v>
      </c>
      <c r="E28" t="s">
        <v>1462</v>
      </c>
      <c r="F28" t="s">
        <v>1436</v>
      </c>
      <c r="G28">
        <v>20.835999999999999</v>
      </c>
      <c r="H28">
        <v>8.7630113773904394E-3</v>
      </c>
      <c r="I28">
        <v>28.526</v>
      </c>
      <c r="J28">
        <v>2.17818999437891E-3</v>
      </c>
      <c r="K28" t="s">
        <v>952</v>
      </c>
      <c r="L28" t="s">
        <v>926</v>
      </c>
    </row>
    <row r="29" spans="1:12" x14ac:dyDescent="0.35">
      <c r="A29">
        <v>6.4679796349943294E-2</v>
      </c>
      <c r="B29">
        <v>0.11140543202132699</v>
      </c>
      <c r="C29">
        <v>5.3847641567893498E-2</v>
      </c>
      <c r="D29">
        <v>2.7482019859727602E-2</v>
      </c>
      <c r="E29" t="s">
        <v>1463</v>
      </c>
      <c r="F29" t="s">
        <v>1436</v>
      </c>
      <c r="G29">
        <v>21.111000000000001</v>
      </c>
      <c r="H29">
        <v>1.31983106162412E-2</v>
      </c>
      <c r="I29">
        <v>28.72</v>
      </c>
      <c r="J29">
        <v>6.8008132931360902E-3</v>
      </c>
      <c r="K29" t="s">
        <v>953</v>
      </c>
      <c r="L29" t="s">
        <v>926</v>
      </c>
    </row>
    <row r="30" spans="1:12" x14ac:dyDescent="0.35">
      <c r="A30">
        <v>7.4088172350420103E-2</v>
      </c>
      <c r="B30">
        <v>5.7739458159661701E-2</v>
      </c>
      <c r="C30">
        <v>8.3796072481744796E-2</v>
      </c>
      <c r="D30">
        <v>5.2825931688943499E-2</v>
      </c>
      <c r="E30" t="s">
        <v>1464</v>
      </c>
      <c r="F30" t="s">
        <v>1436</v>
      </c>
      <c r="G30">
        <v>21.54</v>
      </c>
      <c r="H30">
        <v>2.0321159585050302E-2</v>
      </c>
      <c r="I30">
        <v>29.091999999999999</v>
      </c>
      <c r="J30">
        <v>1.2952646239554401E-2</v>
      </c>
      <c r="K30" t="s">
        <v>954</v>
      </c>
      <c r="L30" t="s">
        <v>926</v>
      </c>
    </row>
    <row r="31" spans="1:12" x14ac:dyDescent="0.35">
      <c r="A31">
        <v>7.0308632461715301E-2</v>
      </c>
      <c r="B31">
        <v>4.6296846180206901E-2</v>
      </c>
      <c r="C31">
        <v>8.1880476726010801E-2</v>
      </c>
      <c r="D31">
        <v>4.0048809702137603E-2</v>
      </c>
      <c r="E31" t="s">
        <v>1465</v>
      </c>
      <c r="F31" t="s">
        <v>1436</v>
      </c>
      <c r="G31">
        <v>21.968</v>
      </c>
      <c r="H31">
        <v>1.9870009285051001E-2</v>
      </c>
      <c r="I31">
        <v>29.379000000000001</v>
      </c>
      <c r="J31">
        <v>9.8652550529356696E-3</v>
      </c>
      <c r="K31" t="s">
        <v>955</v>
      </c>
      <c r="L31" t="s">
        <v>926</v>
      </c>
    </row>
    <row r="32" spans="1:12" x14ac:dyDescent="0.35">
      <c r="A32">
        <v>6.1553542794543503E-2</v>
      </c>
      <c r="B32">
        <v>1.98663105662467E-2</v>
      </c>
      <c r="C32">
        <v>7.3501873886998997E-2</v>
      </c>
      <c r="D32">
        <v>5.4874269706492597E-2</v>
      </c>
      <c r="E32" t="s">
        <v>1466</v>
      </c>
      <c r="F32" t="s">
        <v>1436</v>
      </c>
      <c r="G32">
        <v>22.361000000000001</v>
      </c>
      <c r="H32">
        <v>1.7889657683903801E-2</v>
      </c>
      <c r="I32">
        <v>29.774000000000001</v>
      </c>
      <c r="J32">
        <v>1.3444977705163501E-2</v>
      </c>
      <c r="K32" t="s">
        <v>956</v>
      </c>
      <c r="L32" t="s">
        <v>926</v>
      </c>
    </row>
    <row r="33" spans="1:12" x14ac:dyDescent="0.35">
      <c r="A33">
        <v>5.8025197908700303E-2</v>
      </c>
      <c r="B33">
        <v>0.12112082718011299</v>
      </c>
      <c r="C33">
        <v>7.5383891455237398E-2</v>
      </c>
      <c r="D33">
        <v>4.34111575180351E-2</v>
      </c>
      <c r="E33" t="s">
        <v>1467</v>
      </c>
      <c r="F33" t="s">
        <v>1436</v>
      </c>
      <c r="G33">
        <v>22.771000000000001</v>
      </c>
      <c r="H33">
        <v>1.83354948347569E-2</v>
      </c>
      <c r="I33">
        <v>30.091999999999999</v>
      </c>
      <c r="J33">
        <v>1.0680459461274799E-2</v>
      </c>
      <c r="K33" t="s">
        <v>957</v>
      </c>
      <c r="L33" t="s">
        <v>926</v>
      </c>
    </row>
    <row r="34" spans="1:12" x14ac:dyDescent="0.35">
      <c r="A34">
        <v>6.7326294927223501E-2</v>
      </c>
      <c r="B34">
        <v>4.65097292728067E-2</v>
      </c>
      <c r="C34">
        <v>5.9424238450433299E-2</v>
      </c>
      <c r="D34">
        <v>5.0510789433123801E-2</v>
      </c>
      <c r="E34" t="s">
        <v>1468</v>
      </c>
      <c r="F34" t="s">
        <v>1436</v>
      </c>
      <c r="G34">
        <v>23.102</v>
      </c>
      <c r="H34">
        <v>1.4536032673137E-2</v>
      </c>
      <c r="I34">
        <v>30.465</v>
      </c>
      <c r="J34">
        <v>1.23953210155523E-2</v>
      </c>
      <c r="K34" t="s">
        <v>958</v>
      </c>
      <c r="L34" t="s">
        <v>926</v>
      </c>
    </row>
    <row r="35" spans="1:12" x14ac:dyDescent="0.35">
      <c r="A35">
        <v>8.4675701203493298E-2</v>
      </c>
      <c r="B35">
        <v>8.09066486989478E-2</v>
      </c>
      <c r="C35">
        <v>6.5619276167123694E-2</v>
      </c>
      <c r="D35">
        <v>8.0997725857898203E-2</v>
      </c>
      <c r="E35" t="s">
        <v>1469</v>
      </c>
      <c r="F35" t="s">
        <v>1436</v>
      </c>
      <c r="G35">
        <v>23.472000000000001</v>
      </c>
      <c r="H35">
        <v>1.6015929356765699E-2</v>
      </c>
      <c r="I35">
        <v>31.064</v>
      </c>
      <c r="J35">
        <v>1.9661907106515601E-2</v>
      </c>
      <c r="K35" t="s">
        <v>959</v>
      </c>
      <c r="L35" t="s">
        <v>926</v>
      </c>
    </row>
    <row r="36" spans="1:12" x14ac:dyDescent="0.35">
      <c r="A36">
        <v>7.2050406034996906E-2</v>
      </c>
      <c r="B36">
        <v>6.8549166168664605E-2</v>
      </c>
      <c r="C36">
        <v>5.8500992246239197E-2</v>
      </c>
      <c r="D36">
        <v>7.8709215306017405E-2</v>
      </c>
      <c r="E36" t="s">
        <v>1470</v>
      </c>
      <c r="F36" t="s">
        <v>1436</v>
      </c>
      <c r="G36">
        <v>23.808</v>
      </c>
      <c r="H36">
        <v>1.4314928425357899E-2</v>
      </c>
      <c r="I36">
        <v>31.658000000000001</v>
      </c>
      <c r="J36">
        <v>1.9121813031161401E-2</v>
      </c>
      <c r="K36" t="s">
        <v>960</v>
      </c>
      <c r="L36" t="s">
        <v>926</v>
      </c>
    </row>
    <row r="37" spans="1:12" x14ac:dyDescent="0.35">
      <c r="A37">
        <v>7.7759817693589403E-2</v>
      </c>
      <c r="B37">
        <v>7.0826828171957498E-2</v>
      </c>
      <c r="C37">
        <v>5.4682260590980698E-2</v>
      </c>
      <c r="D37">
        <v>7.3455131593814296E-2</v>
      </c>
      <c r="E37" t="s">
        <v>1471</v>
      </c>
      <c r="F37" t="s">
        <v>1436</v>
      </c>
      <c r="G37">
        <v>24.126999999999999</v>
      </c>
      <c r="H37">
        <v>1.33988575268817E-2</v>
      </c>
      <c r="I37">
        <v>32.223999999999997</v>
      </c>
      <c r="J37">
        <v>1.78785772948384E-2</v>
      </c>
      <c r="K37" t="s">
        <v>961</v>
      </c>
      <c r="L37" t="s">
        <v>926</v>
      </c>
    </row>
    <row r="38" spans="1:12" x14ac:dyDescent="0.35">
      <c r="A38">
        <v>7.7602845525897898E-2</v>
      </c>
      <c r="B38">
        <v>7.5755853629737399E-2</v>
      </c>
      <c r="C38">
        <v>0.101819091447914</v>
      </c>
      <c r="D38">
        <v>8.5137769356933707E-2</v>
      </c>
      <c r="E38" t="s">
        <v>1472</v>
      </c>
      <c r="F38" t="s">
        <v>1436</v>
      </c>
      <c r="G38">
        <v>24.719000000000001</v>
      </c>
      <c r="H38">
        <v>2.4536825962614601E-2</v>
      </c>
      <c r="I38">
        <v>32.889000000000003</v>
      </c>
      <c r="J38">
        <v>2.0636792452830299E-2</v>
      </c>
      <c r="K38" t="s">
        <v>962</v>
      </c>
      <c r="L38" t="s">
        <v>926</v>
      </c>
    </row>
    <row r="39" spans="1:12" x14ac:dyDescent="0.35">
      <c r="A39">
        <v>0.113838252689951</v>
      </c>
      <c r="B39">
        <v>6.1815502695247999E-2</v>
      </c>
      <c r="C39">
        <v>9.0287471336475605E-2</v>
      </c>
      <c r="D39">
        <v>0.11311171886032199</v>
      </c>
      <c r="E39" t="s">
        <v>1473</v>
      </c>
      <c r="F39" t="s">
        <v>1436</v>
      </c>
      <c r="G39">
        <v>25.259</v>
      </c>
      <c r="H39">
        <v>2.18455439135887E-2</v>
      </c>
      <c r="I39">
        <v>33.781999999999996</v>
      </c>
      <c r="J39">
        <v>2.7151935297515601E-2</v>
      </c>
      <c r="K39" t="s">
        <v>963</v>
      </c>
      <c r="L39" t="s">
        <v>926</v>
      </c>
    </row>
    <row r="40" spans="1:12" x14ac:dyDescent="0.35">
      <c r="A40">
        <v>0.10293672514128201</v>
      </c>
      <c r="B40">
        <v>9.6664179784869297E-2</v>
      </c>
      <c r="C40">
        <v>0.148038402658868</v>
      </c>
      <c r="D40">
        <v>0.121960082107911</v>
      </c>
      <c r="E40" t="s">
        <v>1474</v>
      </c>
      <c r="F40" t="s">
        <v>1436</v>
      </c>
      <c r="G40">
        <v>26.146000000000001</v>
      </c>
      <c r="H40">
        <v>3.5116196207292602E-2</v>
      </c>
      <c r="I40">
        <v>34.768000000000001</v>
      </c>
      <c r="J40">
        <v>2.9187141081049101E-2</v>
      </c>
      <c r="K40" t="s">
        <v>964</v>
      </c>
      <c r="L40" t="s">
        <v>926</v>
      </c>
    </row>
    <row r="41" spans="1:12" x14ac:dyDescent="0.35">
      <c r="A41">
        <v>0.100470180706661</v>
      </c>
      <c r="B41">
        <v>9.1027084037313494E-2</v>
      </c>
      <c r="C41">
        <v>7.0641984000731503E-2</v>
      </c>
      <c r="D41">
        <v>0.118355060703055</v>
      </c>
      <c r="E41" t="s">
        <v>1475</v>
      </c>
      <c r="F41" t="s">
        <v>1436</v>
      </c>
      <c r="G41">
        <v>26.596</v>
      </c>
      <c r="H41">
        <v>1.7211045666641198E-2</v>
      </c>
      <c r="I41">
        <v>35.753999999999998</v>
      </c>
      <c r="J41">
        <v>2.83594109526E-2</v>
      </c>
      <c r="K41" t="s">
        <v>965</v>
      </c>
      <c r="L41" t="s">
        <v>926</v>
      </c>
    </row>
    <row r="42" spans="1:12" x14ac:dyDescent="0.35">
      <c r="A42">
        <v>0.12552467874009099</v>
      </c>
      <c r="B42">
        <v>8.1451601423466094E-2</v>
      </c>
      <c r="C42">
        <v>0.106909632651843</v>
      </c>
      <c r="D42">
        <v>0.113864763230328</v>
      </c>
      <c r="E42" t="s">
        <v>1476</v>
      </c>
      <c r="F42" t="s">
        <v>1436</v>
      </c>
      <c r="G42">
        <v>27.28</v>
      </c>
      <c r="H42">
        <v>2.5718153105730199E-2</v>
      </c>
      <c r="I42">
        <v>36.731000000000002</v>
      </c>
      <c r="J42">
        <v>2.7325613917324101E-2</v>
      </c>
      <c r="K42" t="s">
        <v>966</v>
      </c>
      <c r="L42" t="s">
        <v>926</v>
      </c>
    </row>
    <row r="43" spans="1:12" x14ac:dyDescent="0.35">
      <c r="A43">
        <v>0.101539889707692</v>
      </c>
      <c r="B43">
        <v>0.163874229132176</v>
      </c>
      <c r="C43">
        <v>0.11299973225785501</v>
      </c>
      <c r="D43">
        <v>0.119816075191493</v>
      </c>
      <c r="E43" t="s">
        <v>1477</v>
      </c>
      <c r="F43" t="s">
        <v>1436</v>
      </c>
      <c r="G43">
        <v>28.02</v>
      </c>
      <c r="H43">
        <v>2.7126099706744799E-2</v>
      </c>
      <c r="I43">
        <v>37.784999999999997</v>
      </c>
      <c r="J43">
        <v>2.8695107674715899E-2</v>
      </c>
      <c r="K43" t="s">
        <v>967</v>
      </c>
      <c r="L43" t="s">
        <v>926</v>
      </c>
    </row>
    <row r="44" spans="1:12" x14ac:dyDescent="0.35">
      <c r="A44">
        <v>9.6919062654431398E-2</v>
      </c>
      <c r="B44">
        <v>4.1150587007602997E-2</v>
      </c>
      <c r="C44">
        <v>0.115930396885483</v>
      </c>
      <c r="D44">
        <v>0.138106666956619</v>
      </c>
      <c r="E44" t="s">
        <v>1478</v>
      </c>
      <c r="F44" t="s">
        <v>1436</v>
      </c>
      <c r="G44">
        <v>28.798999999999999</v>
      </c>
      <c r="H44">
        <v>2.7801570306923699E-2</v>
      </c>
      <c r="I44">
        <v>39.027000000000001</v>
      </c>
      <c r="J44">
        <v>3.2870186581977198E-2</v>
      </c>
      <c r="K44" t="s">
        <v>968</v>
      </c>
      <c r="L44" t="s">
        <v>926</v>
      </c>
    </row>
    <row r="45" spans="1:12" x14ac:dyDescent="0.35">
      <c r="A45">
        <v>0.102667735598145</v>
      </c>
      <c r="B45">
        <v>0.12591483160208999</v>
      </c>
      <c r="C45">
        <v>0.11071312036879399</v>
      </c>
      <c r="D45">
        <v>0.12373918134004901</v>
      </c>
      <c r="E45" t="s">
        <v>1479</v>
      </c>
      <c r="F45" t="s">
        <v>1436</v>
      </c>
      <c r="G45">
        <v>29.565000000000001</v>
      </c>
      <c r="H45">
        <v>2.65981457689504E-2</v>
      </c>
      <c r="I45">
        <v>40.182000000000002</v>
      </c>
      <c r="J45">
        <v>2.9594895841340601E-2</v>
      </c>
      <c r="K45" t="s">
        <v>969</v>
      </c>
      <c r="L45" t="s">
        <v>926</v>
      </c>
    </row>
    <row r="46" spans="1:12" x14ac:dyDescent="0.35">
      <c r="A46">
        <v>0.107873886984393</v>
      </c>
      <c r="B46">
        <v>8.2350511297398302E-2</v>
      </c>
      <c r="C46">
        <v>0.14097064786198199</v>
      </c>
      <c r="D46">
        <v>0.118188584098933</v>
      </c>
      <c r="E46" t="s">
        <v>1480</v>
      </c>
      <c r="F46" t="s">
        <v>1436</v>
      </c>
      <c r="G46">
        <v>30.556000000000001</v>
      </c>
      <c r="H46">
        <v>3.3519364112971399E-2</v>
      </c>
      <c r="I46">
        <v>41.32</v>
      </c>
      <c r="J46">
        <v>2.8321138818376401E-2</v>
      </c>
      <c r="K46" t="s">
        <v>970</v>
      </c>
      <c r="L46" t="s">
        <v>926</v>
      </c>
    </row>
    <row r="47" spans="1:12" x14ac:dyDescent="0.35">
      <c r="A47">
        <v>6.8864078536554199E-2</v>
      </c>
      <c r="B47">
        <v>9.6264819656522296E-2</v>
      </c>
      <c r="C47">
        <v>8.6310442735713797E-2</v>
      </c>
      <c r="D47">
        <v>9.9129163647753094E-2</v>
      </c>
      <c r="E47" t="s">
        <v>1481</v>
      </c>
      <c r="F47" t="s">
        <v>1436</v>
      </c>
      <c r="G47">
        <v>31.195</v>
      </c>
      <c r="H47">
        <v>2.0912423092027701E-2</v>
      </c>
      <c r="I47">
        <v>42.308</v>
      </c>
      <c r="J47">
        <v>2.39109390125847E-2</v>
      </c>
      <c r="K47" t="s">
        <v>971</v>
      </c>
      <c r="L47" t="s">
        <v>926</v>
      </c>
    </row>
    <row r="48" spans="1:12" x14ac:dyDescent="0.35">
      <c r="A48">
        <v>6.7510216956085903E-2</v>
      </c>
      <c r="B48">
        <v>9.0754628296435505E-2</v>
      </c>
      <c r="C48">
        <v>4.8692861535788202E-2</v>
      </c>
      <c r="D48">
        <v>8.4524586959714404E-2</v>
      </c>
      <c r="E48" t="s">
        <v>1482</v>
      </c>
      <c r="F48" t="s">
        <v>1436</v>
      </c>
      <c r="G48">
        <v>31.568000000000001</v>
      </c>
      <c r="H48">
        <v>1.1957044398140699E-2</v>
      </c>
      <c r="I48">
        <v>43.174999999999997</v>
      </c>
      <c r="J48">
        <v>2.0492578235794499E-2</v>
      </c>
      <c r="K48" t="s">
        <v>972</v>
      </c>
      <c r="L48" t="s">
        <v>926</v>
      </c>
    </row>
    <row r="49" spans="1:12" x14ac:dyDescent="0.35">
      <c r="A49">
        <v>6.2684205945477106E-2</v>
      </c>
      <c r="B49">
        <v>7.8781408158281802E-2</v>
      </c>
      <c r="C49">
        <v>6.2752816594642893E-2</v>
      </c>
      <c r="D49">
        <v>7.3171075998094998E-2</v>
      </c>
      <c r="E49" t="s">
        <v>1483</v>
      </c>
      <c r="F49" t="s">
        <v>1436</v>
      </c>
      <c r="G49">
        <v>32.052</v>
      </c>
      <c r="H49">
        <v>1.53319817536746E-2</v>
      </c>
      <c r="I49">
        <v>43.944000000000003</v>
      </c>
      <c r="J49">
        <v>1.7811233352634799E-2</v>
      </c>
      <c r="K49" t="s">
        <v>973</v>
      </c>
      <c r="L49" t="s">
        <v>926</v>
      </c>
    </row>
    <row r="50" spans="1:12" x14ac:dyDescent="0.35">
      <c r="A50">
        <v>5.1825632418063497E-2</v>
      </c>
      <c r="B50">
        <v>6.5520529029189395E-2</v>
      </c>
      <c r="C50">
        <v>7.2002334651775995E-2</v>
      </c>
      <c r="D50">
        <v>5.7261419360111997E-2</v>
      </c>
      <c r="E50" t="s">
        <v>1484</v>
      </c>
      <c r="F50" t="s">
        <v>1436</v>
      </c>
      <c r="G50">
        <v>32.613999999999997</v>
      </c>
      <c r="H50">
        <v>1.7534007238237701E-2</v>
      </c>
      <c r="I50">
        <v>44.56</v>
      </c>
      <c r="J50">
        <v>1.40178408884035E-2</v>
      </c>
      <c r="K50" t="s">
        <v>974</v>
      </c>
      <c r="L50" t="s">
        <v>926</v>
      </c>
    </row>
    <row r="51" spans="1:12" x14ac:dyDescent="0.35">
      <c r="A51">
        <v>3.9076838958162399E-2</v>
      </c>
      <c r="B51">
        <v>8.1541548822787496E-2</v>
      </c>
      <c r="C51">
        <v>6.5317850608274997E-2</v>
      </c>
      <c r="D51">
        <v>6.8572049720328196E-2</v>
      </c>
      <c r="E51" t="s">
        <v>1485</v>
      </c>
      <c r="F51" t="s">
        <v>1436</v>
      </c>
      <c r="G51">
        <v>33.134</v>
      </c>
      <c r="H51">
        <v>1.5944073097442901E-2</v>
      </c>
      <c r="I51">
        <v>45.305</v>
      </c>
      <c r="J51">
        <v>1.6719030520646199E-2</v>
      </c>
      <c r="K51" t="s">
        <v>975</v>
      </c>
      <c r="L51" t="s">
        <v>926</v>
      </c>
    </row>
    <row r="52" spans="1:12" x14ac:dyDescent="0.35">
      <c r="A52">
        <v>6.4698202701339205E-2</v>
      </c>
      <c r="B52">
        <v>3.4072636599968002E-2</v>
      </c>
      <c r="C52">
        <v>6.8068638365729198E-2</v>
      </c>
      <c r="D52">
        <v>4.8078704643683703E-2</v>
      </c>
      <c r="E52" t="s">
        <v>1486</v>
      </c>
      <c r="F52" t="s">
        <v>1436</v>
      </c>
      <c r="G52">
        <v>33.683999999999997</v>
      </c>
      <c r="H52">
        <v>1.65992635963059E-2</v>
      </c>
      <c r="I52">
        <v>45.84</v>
      </c>
      <c r="J52">
        <v>1.1808851120185501E-2</v>
      </c>
      <c r="K52" t="s">
        <v>976</v>
      </c>
      <c r="L52" t="s">
        <v>926</v>
      </c>
    </row>
    <row r="53" spans="1:12" x14ac:dyDescent="0.35">
      <c r="A53">
        <v>4.4829664945906803E-2</v>
      </c>
      <c r="B53">
        <v>4.8009313734526098E-2</v>
      </c>
      <c r="C53">
        <v>6.1455443169872802E-2</v>
      </c>
      <c r="D53">
        <v>1.01606507354322E-2</v>
      </c>
      <c r="E53" t="s">
        <v>1487</v>
      </c>
      <c r="F53" t="s">
        <v>1436</v>
      </c>
      <c r="G53">
        <v>34.19</v>
      </c>
      <c r="H53">
        <v>1.5021968887305399E-2</v>
      </c>
      <c r="I53">
        <v>45.956000000000003</v>
      </c>
      <c r="J53">
        <v>2.5305410122164998E-3</v>
      </c>
      <c r="K53" t="s">
        <v>977</v>
      </c>
      <c r="L53" t="s">
        <v>926</v>
      </c>
    </row>
    <row r="54" spans="1:12" x14ac:dyDescent="0.35">
      <c r="A54">
        <v>3.3496613159939903E-2</v>
      </c>
      <c r="B54">
        <v>7.5539459294806698E-3</v>
      </c>
      <c r="C54">
        <v>3.4722196261408399E-2</v>
      </c>
      <c r="D54">
        <v>3.7479666516224701E-3</v>
      </c>
      <c r="E54" t="s">
        <v>1488</v>
      </c>
      <c r="F54" t="s">
        <v>1436</v>
      </c>
      <c r="G54">
        <v>34.482999999999997</v>
      </c>
      <c r="H54">
        <v>8.5697572389587008E-3</v>
      </c>
      <c r="I54">
        <v>45.999000000000002</v>
      </c>
      <c r="J54">
        <v>9.3567760466539696E-4</v>
      </c>
      <c r="K54" t="s">
        <v>978</v>
      </c>
      <c r="L54" t="s">
        <v>926</v>
      </c>
    </row>
    <row r="55" spans="1:12" x14ac:dyDescent="0.35">
      <c r="A55">
        <v>3.7100673423204902E-2</v>
      </c>
      <c r="B55">
        <v>3.1269437697415199E-2</v>
      </c>
      <c r="C55">
        <v>5.5765239502398901E-2</v>
      </c>
      <c r="D55">
        <v>-5.3805310591299397E-3</v>
      </c>
      <c r="E55" t="s">
        <v>1489</v>
      </c>
      <c r="F55" t="s">
        <v>1436</v>
      </c>
      <c r="G55">
        <v>34.954000000000001</v>
      </c>
      <c r="H55">
        <v>1.36589043876694E-2</v>
      </c>
      <c r="I55">
        <v>45.936999999999998</v>
      </c>
      <c r="J55">
        <v>-1.3478553881607299E-3</v>
      </c>
      <c r="K55" t="s">
        <v>979</v>
      </c>
      <c r="L55" t="s">
        <v>926</v>
      </c>
    </row>
    <row r="56" spans="1:12" x14ac:dyDescent="0.35">
      <c r="A56">
        <v>5.3607020035561601E-2</v>
      </c>
      <c r="B56">
        <v>4.5007889346835098E-2</v>
      </c>
      <c r="C56">
        <v>4.7632291898301399E-2</v>
      </c>
      <c r="D56">
        <v>2.2658930308778699E-3</v>
      </c>
      <c r="E56" t="s">
        <v>1490</v>
      </c>
      <c r="F56" t="s">
        <v>1436</v>
      </c>
      <c r="G56">
        <v>35.363</v>
      </c>
      <c r="H56">
        <v>1.17010928649082E-2</v>
      </c>
      <c r="I56">
        <v>45.963000000000001</v>
      </c>
      <c r="J56">
        <v>5.6599255502098899E-4</v>
      </c>
      <c r="K56" t="s">
        <v>980</v>
      </c>
      <c r="L56" t="s">
        <v>926</v>
      </c>
    </row>
    <row r="57" spans="1:12" x14ac:dyDescent="0.35">
      <c r="A57">
        <v>2.6644627827705498E-2</v>
      </c>
      <c r="B57">
        <v>2.64126969592136E-2</v>
      </c>
      <c r="C57">
        <v>3.7969215238040602E-2</v>
      </c>
      <c r="D57">
        <v>-1.13086488994096E-3</v>
      </c>
      <c r="E57" t="s">
        <v>1491</v>
      </c>
      <c r="F57" t="s">
        <v>1436</v>
      </c>
      <c r="G57">
        <v>35.694000000000003</v>
      </c>
      <c r="H57">
        <v>9.3600656052936805E-3</v>
      </c>
      <c r="I57">
        <v>45.95</v>
      </c>
      <c r="J57">
        <v>-2.82836194330227E-4</v>
      </c>
      <c r="K57" t="s">
        <v>981</v>
      </c>
      <c r="L57" t="s">
        <v>926</v>
      </c>
    </row>
    <row r="58" spans="1:12" x14ac:dyDescent="0.35">
      <c r="A58">
        <v>4.3935723897537297E-2</v>
      </c>
      <c r="B58">
        <v>5.28225710519643E-2</v>
      </c>
      <c r="C58">
        <v>7.2018998740306803E-2</v>
      </c>
      <c r="D58">
        <v>4.3596665649268101E-3</v>
      </c>
      <c r="E58" t="s">
        <v>1492</v>
      </c>
      <c r="F58" t="s">
        <v>1436</v>
      </c>
      <c r="G58">
        <v>36.32</v>
      </c>
      <c r="H58">
        <v>1.7537961562167099E-2</v>
      </c>
      <c r="I58">
        <v>46</v>
      </c>
      <c r="J58">
        <v>1.0881392818280499E-3</v>
      </c>
      <c r="K58" t="s">
        <v>982</v>
      </c>
      <c r="L58" t="s">
        <v>926</v>
      </c>
    </row>
    <row r="59" spans="1:12" x14ac:dyDescent="0.35">
      <c r="A59">
        <v>3.93022623248813E-2</v>
      </c>
      <c r="B59">
        <v>4.0487191821635002E-2</v>
      </c>
      <c r="C59">
        <v>4.4330796852368702E-2</v>
      </c>
      <c r="D59">
        <v>1.4249428601276599E-2</v>
      </c>
      <c r="E59" t="s">
        <v>1493</v>
      </c>
      <c r="F59" t="s">
        <v>1436</v>
      </c>
      <c r="G59">
        <v>36.716000000000001</v>
      </c>
      <c r="H59">
        <v>1.09030837004405E-2</v>
      </c>
      <c r="I59">
        <v>46.162999999999997</v>
      </c>
      <c r="J59">
        <v>3.5434782608694299E-3</v>
      </c>
      <c r="K59" t="s">
        <v>983</v>
      </c>
      <c r="L59" t="s">
        <v>926</v>
      </c>
    </row>
    <row r="60" spans="1:12" x14ac:dyDescent="0.35">
      <c r="A60">
        <v>3.1206818640470101E-2</v>
      </c>
      <c r="B60">
        <v>6.08178890509075E-2</v>
      </c>
      <c r="C60">
        <v>4.3619950255883798E-2</v>
      </c>
      <c r="D60">
        <v>1.29734153291148E-2</v>
      </c>
      <c r="E60" t="s">
        <v>1494</v>
      </c>
      <c r="F60" t="s">
        <v>1436</v>
      </c>
      <c r="G60">
        <v>37.11</v>
      </c>
      <c r="H60">
        <v>1.07310164505936E-2</v>
      </c>
      <c r="I60">
        <v>46.311999999999998</v>
      </c>
      <c r="J60">
        <v>3.22769317418703E-3</v>
      </c>
      <c r="K60" t="s">
        <v>984</v>
      </c>
      <c r="L60" t="s">
        <v>926</v>
      </c>
    </row>
    <row r="61" spans="1:12" x14ac:dyDescent="0.35">
      <c r="A61">
        <v>2.4937045869749999E-2</v>
      </c>
      <c r="B61">
        <v>5.0188195911601098E-2</v>
      </c>
      <c r="C61">
        <v>4.8053419713626901E-2</v>
      </c>
      <c r="D61">
        <v>8.1435979249952998E-3</v>
      </c>
      <c r="E61" t="s">
        <v>1495</v>
      </c>
      <c r="F61" t="s">
        <v>1436</v>
      </c>
      <c r="G61">
        <v>37.548000000000002</v>
      </c>
      <c r="H61">
        <v>1.1802748585286999E-2</v>
      </c>
      <c r="I61">
        <v>46.405999999999999</v>
      </c>
      <c r="J61">
        <v>2.0297115218517198E-3</v>
      </c>
      <c r="K61" t="s">
        <v>985</v>
      </c>
      <c r="L61" t="s">
        <v>926</v>
      </c>
    </row>
    <row r="62" spans="1:12" x14ac:dyDescent="0.35">
      <c r="A62">
        <v>4.8021891562025902E-2</v>
      </c>
      <c r="B62">
        <v>-1.5869949670850401E-2</v>
      </c>
      <c r="C62">
        <v>5.3895269710959599E-2</v>
      </c>
      <c r="D62">
        <v>2.2424648618448499E-2</v>
      </c>
      <c r="E62" t="s">
        <v>1496</v>
      </c>
      <c r="F62" t="s">
        <v>1436</v>
      </c>
      <c r="G62">
        <v>38.043999999999997</v>
      </c>
      <c r="H62">
        <v>1.3209758176201E-2</v>
      </c>
      <c r="I62">
        <v>46.664000000000001</v>
      </c>
      <c r="J62">
        <v>5.5596259104426799E-3</v>
      </c>
      <c r="K62" t="s">
        <v>986</v>
      </c>
      <c r="L62" t="s">
        <v>926</v>
      </c>
    </row>
    <row r="63" spans="1:12" x14ac:dyDescent="0.35">
      <c r="A63">
        <v>3.2831975950411901E-2</v>
      </c>
      <c r="B63">
        <v>9.4485381047573203E-3</v>
      </c>
      <c r="C63">
        <v>4.6526948089148097E-2</v>
      </c>
      <c r="D63">
        <v>1.2400816449865701E-2</v>
      </c>
      <c r="E63" t="s">
        <v>1497</v>
      </c>
      <c r="F63" t="s">
        <v>1436</v>
      </c>
      <c r="G63">
        <v>38.478999999999999</v>
      </c>
      <c r="H63">
        <v>1.1434128903375E-2</v>
      </c>
      <c r="I63">
        <v>46.808</v>
      </c>
      <c r="J63">
        <v>3.0858906223212301E-3</v>
      </c>
      <c r="K63" t="s">
        <v>987</v>
      </c>
      <c r="L63" t="s">
        <v>926</v>
      </c>
    </row>
    <row r="64" spans="1:12" x14ac:dyDescent="0.35">
      <c r="A64">
        <v>3.1711964087017402E-2</v>
      </c>
      <c r="B64">
        <v>2.1519541922931699E-2</v>
      </c>
      <c r="C64">
        <v>3.7630817464174598E-2</v>
      </c>
      <c r="D64">
        <v>1.6508679737656601E-2</v>
      </c>
      <c r="E64" t="s">
        <v>1498</v>
      </c>
      <c r="F64" t="s">
        <v>1436</v>
      </c>
      <c r="G64">
        <v>38.835999999999999</v>
      </c>
      <c r="H64">
        <v>9.2777878843004497E-3</v>
      </c>
      <c r="I64">
        <v>47</v>
      </c>
      <c r="J64">
        <v>4.1018629294138397E-3</v>
      </c>
      <c r="K64" t="s">
        <v>988</v>
      </c>
      <c r="L64" t="s">
        <v>926</v>
      </c>
    </row>
    <row r="65" spans="1:12" x14ac:dyDescent="0.35">
      <c r="A65">
        <v>2.8237310351865798E-2</v>
      </c>
      <c r="B65">
        <v>2.6513418939119401E-2</v>
      </c>
      <c r="C65">
        <v>4.0884190168569902E-2</v>
      </c>
      <c r="D65">
        <v>2.40435812756121E-2</v>
      </c>
      <c r="E65" t="s">
        <v>1499</v>
      </c>
      <c r="F65" t="s">
        <v>1436</v>
      </c>
      <c r="G65">
        <v>39.226999999999997</v>
      </c>
      <c r="H65">
        <v>1.0067978164589601E-2</v>
      </c>
      <c r="I65">
        <v>47.28</v>
      </c>
      <c r="J65">
        <v>5.9574468085106204E-3</v>
      </c>
      <c r="K65" t="s">
        <v>989</v>
      </c>
      <c r="L65" t="s">
        <v>926</v>
      </c>
    </row>
    <row r="66" spans="1:12" x14ac:dyDescent="0.35">
      <c r="A66">
        <v>2.86487834236928E-2</v>
      </c>
      <c r="B66">
        <v>-1.00878062845416E-2</v>
      </c>
      <c r="C66">
        <v>1.47648166353573E-2</v>
      </c>
      <c r="D66">
        <v>2.5106061305751201E-2</v>
      </c>
      <c r="E66" t="s">
        <v>1500</v>
      </c>
      <c r="F66" t="s">
        <v>1436</v>
      </c>
      <c r="G66">
        <v>39.371000000000002</v>
      </c>
      <c r="H66">
        <v>3.6709409335409201E-3</v>
      </c>
      <c r="I66">
        <v>47.573999999999998</v>
      </c>
      <c r="J66">
        <v>6.2182741116749698E-3</v>
      </c>
      <c r="K66" t="s">
        <v>990</v>
      </c>
      <c r="L66" t="s">
        <v>926</v>
      </c>
    </row>
    <row r="67" spans="1:12" x14ac:dyDescent="0.35">
      <c r="A67">
        <v>-4.2153079272678803E-3</v>
      </c>
      <c r="B67">
        <v>-9.8843189037382002E-3</v>
      </c>
      <c r="C67">
        <v>1.2042523964300099E-2</v>
      </c>
      <c r="D67">
        <v>4.1753162692227598E-2</v>
      </c>
      <c r="E67" t="s">
        <v>1501</v>
      </c>
      <c r="F67" t="s">
        <v>1436</v>
      </c>
      <c r="G67">
        <v>39.488999999999997</v>
      </c>
      <c r="H67">
        <v>2.9971298671609401E-3</v>
      </c>
      <c r="I67">
        <v>48.063000000000002</v>
      </c>
      <c r="J67">
        <v>1.02787236725943E-2</v>
      </c>
      <c r="K67" t="s">
        <v>991</v>
      </c>
      <c r="L67" t="s">
        <v>926</v>
      </c>
    </row>
    <row r="68" spans="1:12" x14ac:dyDescent="0.35">
      <c r="A68">
        <v>2.1224970793817698E-2</v>
      </c>
      <c r="B68">
        <v>5.6401548408471199E-3</v>
      </c>
      <c r="C68">
        <v>3.4679470629119601E-2</v>
      </c>
      <c r="D68">
        <v>3.6953475595025202E-2</v>
      </c>
      <c r="E68" t="s">
        <v>1502</v>
      </c>
      <c r="F68" t="s">
        <v>1436</v>
      </c>
      <c r="G68">
        <v>39.826999999999998</v>
      </c>
      <c r="H68">
        <v>8.5593456405581598E-3</v>
      </c>
      <c r="I68">
        <v>48.500999999999998</v>
      </c>
      <c r="J68">
        <v>9.1130391361338194E-3</v>
      </c>
      <c r="K68" t="s">
        <v>992</v>
      </c>
      <c r="L68" t="s">
        <v>926</v>
      </c>
    </row>
    <row r="69" spans="1:12" x14ac:dyDescent="0.35">
      <c r="A69">
        <v>2.4413629868112598E-2</v>
      </c>
      <c r="B69">
        <v>4.55022354216461E-3</v>
      </c>
      <c r="C69">
        <v>5.3779833992726497E-2</v>
      </c>
      <c r="D69">
        <v>4.4006184582173501E-2</v>
      </c>
      <c r="E69" t="s">
        <v>1503</v>
      </c>
      <c r="F69" t="s">
        <v>1436</v>
      </c>
      <c r="G69">
        <v>40.351999999999997</v>
      </c>
      <c r="H69">
        <v>1.3182012202777E-2</v>
      </c>
      <c r="I69">
        <v>49.026000000000003</v>
      </c>
      <c r="J69">
        <v>1.08245190820808E-2</v>
      </c>
      <c r="K69" t="s">
        <v>993</v>
      </c>
      <c r="L69" t="s">
        <v>926</v>
      </c>
    </row>
    <row r="70" spans="1:12" x14ac:dyDescent="0.35">
      <c r="A70">
        <v>3.8220568833408297E-2</v>
      </c>
      <c r="B70">
        <v>-6.8268953681047701E-3</v>
      </c>
      <c r="C70">
        <v>6.6318650583382599E-2</v>
      </c>
      <c r="D70">
        <v>2.5866237951436302E-2</v>
      </c>
      <c r="E70" t="s">
        <v>1504</v>
      </c>
      <c r="F70" t="s">
        <v>1436</v>
      </c>
      <c r="G70">
        <v>41.005000000000003</v>
      </c>
      <c r="H70">
        <v>1.61825931800159E-2</v>
      </c>
      <c r="I70">
        <v>49.34</v>
      </c>
      <c r="J70">
        <v>6.4047648186675897E-3</v>
      </c>
      <c r="K70" t="s">
        <v>994</v>
      </c>
      <c r="L70" t="s">
        <v>926</v>
      </c>
    </row>
    <row r="71" spans="1:12" x14ac:dyDescent="0.35">
      <c r="A71">
        <v>3.9129087464599803E-2</v>
      </c>
      <c r="B71">
        <v>1.9164012541417402E-2</v>
      </c>
      <c r="C71">
        <v>5.3726223643289599E-2</v>
      </c>
      <c r="D71">
        <v>3.4070959420577702E-2</v>
      </c>
      <c r="E71" t="s">
        <v>1505</v>
      </c>
      <c r="F71" t="s">
        <v>1436</v>
      </c>
      <c r="G71">
        <v>41.545000000000002</v>
      </c>
      <c r="H71">
        <v>1.3169125716376E-2</v>
      </c>
      <c r="I71">
        <v>49.755000000000003</v>
      </c>
      <c r="J71">
        <v>8.4110255370895004E-3</v>
      </c>
      <c r="K71" t="s">
        <v>995</v>
      </c>
      <c r="L71" t="s">
        <v>926</v>
      </c>
    </row>
    <row r="72" spans="1:12" x14ac:dyDescent="0.35">
      <c r="A72">
        <v>3.8454021368670203E-2</v>
      </c>
      <c r="B72">
        <v>2.9219770282175001E-2</v>
      </c>
      <c r="C72">
        <v>5.1713813262120399E-2</v>
      </c>
      <c r="D72">
        <v>3.6092988240003197E-2</v>
      </c>
      <c r="E72" t="s">
        <v>1506</v>
      </c>
      <c r="F72" t="s">
        <v>1436</v>
      </c>
      <c r="G72">
        <v>42.072000000000003</v>
      </c>
      <c r="H72">
        <v>1.2685040317727899E-2</v>
      </c>
      <c r="I72">
        <v>50.198</v>
      </c>
      <c r="J72">
        <v>8.9036277761027592E-3</v>
      </c>
      <c r="K72" t="s">
        <v>996</v>
      </c>
      <c r="L72" t="s">
        <v>926</v>
      </c>
    </row>
    <row r="73" spans="1:12" x14ac:dyDescent="0.35">
      <c r="A73">
        <v>3.5013174112648898E-2</v>
      </c>
      <c r="B73">
        <v>8.3996255435596599E-3</v>
      </c>
      <c r="C73">
        <v>2.4659104438458999E-2</v>
      </c>
      <c r="D73">
        <v>2.13651369698558E-2</v>
      </c>
      <c r="E73" t="s">
        <v>1507</v>
      </c>
      <c r="F73" t="s">
        <v>1436</v>
      </c>
      <c r="G73">
        <v>42.329000000000001</v>
      </c>
      <c r="H73">
        <v>6.1085757748620103E-3</v>
      </c>
      <c r="I73">
        <v>50.463999999999999</v>
      </c>
      <c r="J73">
        <v>5.29901589704762E-3</v>
      </c>
      <c r="K73" t="s">
        <v>997</v>
      </c>
      <c r="L73" t="s">
        <v>926</v>
      </c>
    </row>
    <row r="74" spans="1:12" x14ac:dyDescent="0.35">
      <c r="A74">
        <v>3.19577361885768E-2</v>
      </c>
      <c r="B74">
        <v>5.5666299963321703E-2</v>
      </c>
      <c r="C74">
        <v>1.7884305064996799E-2</v>
      </c>
      <c r="D74">
        <v>3.2571809116936898E-2</v>
      </c>
      <c r="E74" t="s">
        <v>1508</v>
      </c>
      <c r="F74" t="s">
        <v>1436</v>
      </c>
      <c r="G74">
        <v>42.517000000000003</v>
      </c>
      <c r="H74">
        <v>4.4413995133361101E-3</v>
      </c>
      <c r="I74">
        <v>50.87</v>
      </c>
      <c r="J74">
        <v>8.0453392517438899E-3</v>
      </c>
      <c r="K74" t="s">
        <v>998</v>
      </c>
      <c r="L74" t="s">
        <v>926</v>
      </c>
    </row>
    <row r="75" spans="1:12" x14ac:dyDescent="0.35">
      <c r="A75">
        <v>4.4899260052234199E-2</v>
      </c>
      <c r="B75">
        <v>3.99278081765242E-2</v>
      </c>
      <c r="C75">
        <v>4.3789897152202203E-2</v>
      </c>
      <c r="D75">
        <v>2.2279292577718199E-2</v>
      </c>
      <c r="E75" t="s">
        <v>1509</v>
      </c>
      <c r="F75" t="s">
        <v>1436</v>
      </c>
      <c r="G75">
        <v>42.975000000000001</v>
      </c>
      <c r="H75">
        <v>1.0772161723545901E-2</v>
      </c>
      <c r="I75">
        <v>51.151000000000003</v>
      </c>
      <c r="J75">
        <v>5.5238844112444098E-3</v>
      </c>
      <c r="K75" t="s">
        <v>999</v>
      </c>
      <c r="L75" t="s">
        <v>926</v>
      </c>
    </row>
    <row r="76" spans="1:12" x14ac:dyDescent="0.35">
      <c r="A76">
        <v>5.0215068802573502E-2</v>
      </c>
      <c r="B76">
        <v>2.3053377277420399E-2</v>
      </c>
      <c r="C76">
        <v>3.6032445200426998E-2</v>
      </c>
      <c r="D76">
        <v>2.6056753006691701E-2</v>
      </c>
      <c r="E76" t="s">
        <v>1510</v>
      </c>
      <c r="F76" t="s">
        <v>1436</v>
      </c>
      <c r="G76">
        <v>43.356999999999999</v>
      </c>
      <c r="H76">
        <v>8.8888888888889496E-3</v>
      </c>
      <c r="I76">
        <v>51.481000000000002</v>
      </c>
      <c r="J76">
        <v>6.45148677445206E-3</v>
      </c>
      <c r="K76" t="s">
        <v>1000</v>
      </c>
      <c r="L76" t="s">
        <v>926</v>
      </c>
    </row>
    <row r="77" spans="1:12" x14ac:dyDescent="0.35">
      <c r="A77">
        <v>4.1025346631292002E-2</v>
      </c>
      <c r="B77">
        <v>3.2561998713341901E-2</v>
      </c>
      <c r="C77">
        <v>5.2865449677459202E-2</v>
      </c>
      <c r="D77">
        <v>2.13020937510979E-2</v>
      </c>
      <c r="E77" t="s">
        <v>1511</v>
      </c>
      <c r="F77" t="s">
        <v>1436</v>
      </c>
      <c r="G77">
        <v>43.918999999999997</v>
      </c>
      <c r="H77">
        <v>1.29621514403671E-2</v>
      </c>
      <c r="I77">
        <v>51.753</v>
      </c>
      <c r="J77">
        <v>5.2835026514637101E-3</v>
      </c>
      <c r="K77" t="s">
        <v>1001</v>
      </c>
      <c r="L77" t="s">
        <v>926</v>
      </c>
    </row>
    <row r="78" spans="1:12" x14ac:dyDescent="0.35">
      <c r="A78">
        <v>4.6770164599538401E-2</v>
      </c>
      <c r="B78">
        <v>3.00519488200592E-2</v>
      </c>
      <c r="C78">
        <v>6.2050852369377699E-2</v>
      </c>
      <c r="D78">
        <v>1.9463013158635498E-2</v>
      </c>
      <c r="E78" t="s">
        <v>1512</v>
      </c>
      <c r="F78" t="s">
        <v>1436</v>
      </c>
      <c r="G78">
        <v>44.585000000000001</v>
      </c>
      <c r="H78">
        <v>1.5164279696714401E-2</v>
      </c>
      <c r="I78">
        <v>52.003</v>
      </c>
      <c r="J78">
        <v>4.8306378374200999E-3</v>
      </c>
      <c r="K78" t="s">
        <v>1002</v>
      </c>
      <c r="L78" t="s">
        <v>926</v>
      </c>
    </row>
    <row r="79" spans="1:12" x14ac:dyDescent="0.35">
      <c r="A79">
        <v>5.4994617531312101E-2</v>
      </c>
      <c r="B79">
        <v>2.9679316947533299E-2</v>
      </c>
      <c r="C79">
        <v>6.0821876360983101E-2</v>
      </c>
      <c r="D79">
        <v>3.2856918868300999E-2</v>
      </c>
      <c r="E79" t="s">
        <v>1513</v>
      </c>
      <c r="F79" t="s">
        <v>1436</v>
      </c>
      <c r="G79">
        <v>45.247999999999998</v>
      </c>
      <c r="H79">
        <v>1.48704721318829E-2</v>
      </c>
      <c r="I79">
        <v>52.424999999999997</v>
      </c>
      <c r="J79">
        <v>8.1149164471279196E-3</v>
      </c>
      <c r="K79" t="s">
        <v>1003</v>
      </c>
      <c r="L79" t="s">
        <v>926</v>
      </c>
    </row>
    <row r="80" spans="1:12" x14ac:dyDescent="0.35">
      <c r="A80">
        <v>2.3822978628153201E-2</v>
      </c>
      <c r="B80">
        <v>2.0057150963272801E-2</v>
      </c>
      <c r="C80">
        <v>3.9922896172757301E-2</v>
      </c>
      <c r="D80">
        <v>3.0012482573731999E-2</v>
      </c>
      <c r="E80" t="s">
        <v>1514</v>
      </c>
      <c r="F80" t="s">
        <v>1436</v>
      </c>
      <c r="G80">
        <v>45.692999999999998</v>
      </c>
      <c r="H80">
        <v>9.8346888260254506E-3</v>
      </c>
      <c r="I80">
        <v>52.814</v>
      </c>
      <c r="J80">
        <v>7.4201239866476002E-3</v>
      </c>
      <c r="K80" t="s">
        <v>1004</v>
      </c>
      <c r="L80" t="s">
        <v>926</v>
      </c>
    </row>
    <row r="81" spans="1:12" x14ac:dyDescent="0.35">
      <c r="A81">
        <v>3.1803231650019199E-2</v>
      </c>
      <c r="B81">
        <v>1.4432124176051201E-2</v>
      </c>
      <c r="C81">
        <v>6.0046453160524503E-2</v>
      </c>
      <c r="D81">
        <v>2.2222434897181301E-2</v>
      </c>
      <c r="E81" t="s">
        <v>1515</v>
      </c>
      <c r="F81" t="s">
        <v>1436</v>
      </c>
      <c r="G81">
        <v>46.363999999999997</v>
      </c>
      <c r="H81">
        <v>1.46849626857506E-2</v>
      </c>
      <c r="I81">
        <v>53.104999999999997</v>
      </c>
      <c r="J81">
        <v>5.5099026773204303E-3</v>
      </c>
      <c r="K81" t="s">
        <v>1005</v>
      </c>
      <c r="L81" t="s">
        <v>926</v>
      </c>
    </row>
    <row r="82" spans="1:12" x14ac:dyDescent="0.35">
      <c r="A82">
        <v>5.92740793130948E-2</v>
      </c>
      <c r="B82">
        <v>2.8330647899498702E-2</v>
      </c>
      <c r="C82">
        <v>6.4935137330784501E-2</v>
      </c>
      <c r="D82">
        <v>2.9085137772108E-2</v>
      </c>
      <c r="E82" t="s">
        <v>1516</v>
      </c>
      <c r="F82" t="s">
        <v>1436</v>
      </c>
      <c r="G82">
        <v>47.098999999999997</v>
      </c>
      <c r="H82">
        <v>1.5852816840652199E-2</v>
      </c>
      <c r="I82">
        <v>53.487000000000002</v>
      </c>
      <c r="J82">
        <v>7.1932962997835999E-3</v>
      </c>
      <c r="K82" t="s">
        <v>1006</v>
      </c>
      <c r="L82" t="s">
        <v>926</v>
      </c>
    </row>
    <row r="83" spans="1:12" x14ac:dyDescent="0.35">
      <c r="A83">
        <v>3.6833081072387398E-2</v>
      </c>
      <c r="B83">
        <v>7.0464261662823505E-2</v>
      </c>
      <c r="C83">
        <v>4.34077415784246E-2</v>
      </c>
      <c r="D83">
        <v>3.5768290293157798E-2</v>
      </c>
      <c r="E83" t="s">
        <v>1517</v>
      </c>
      <c r="F83" t="s">
        <v>1436</v>
      </c>
      <c r="G83">
        <v>47.601999999999997</v>
      </c>
      <c r="H83">
        <v>1.0679632263954599E-2</v>
      </c>
      <c r="I83">
        <v>53.959000000000003</v>
      </c>
      <c r="J83">
        <v>8.8245741955990092E-3</v>
      </c>
      <c r="K83" t="s">
        <v>1007</v>
      </c>
      <c r="L83" t="s">
        <v>926</v>
      </c>
    </row>
    <row r="84" spans="1:12" x14ac:dyDescent="0.35">
      <c r="A84">
        <v>5.1769155239957503E-2</v>
      </c>
      <c r="B84">
        <v>5.3870047588526803E-3</v>
      </c>
      <c r="C84">
        <v>5.9429132401131797E-2</v>
      </c>
      <c r="D84">
        <v>3.9413809912278698E-2</v>
      </c>
      <c r="E84" t="s">
        <v>1518</v>
      </c>
      <c r="F84" t="s">
        <v>1436</v>
      </c>
      <c r="G84">
        <v>48.293999999999997</v>
      </c>
      <c r="H84">
        <v>1.4537204319146299E-2</v>
      </c>
      <c r="I84">
        <v>54.482999999999997</v>
      </c>
      <c r="J84">
        <v>9.7110769287791499E-3</v>
      </c>
      <c r="K84" t="s">
        <v>1008</v>
      </c>
      <c r="L84" t="s">
        <v>926</v>
      </c>
    </row>
    <row r="85" spans="1:12" x14ac:dyDescent="0.35">
      <c r="A85">
        <v>5.3985249536158401E-2</v>
      </c>
      <c r="B85">
        <v>4.8480456964960797E-2</v>
      </c>
      <c r="C85">
        <v>7.7879333039596599E-2</v>
      </c>
      <c r="D85">
        <v>1.0688095589023601E-2</v>
      </c>
      <c r="E85" t="s">
        <v>1519</v>
      </c>
      <c r="F85" t="s">
        <v>1436</v>
      </c>
      <c r="G85">
        <v>49.207999999999998</v>
      </c>
      <c r="H85">
        <v>1.8925746469540702E-2</v>
      </c>
      <c r="I85">
        <v>54.628</v>
      </c>
      <c r="J85">
        <v>2.66138061413668E-3</v>
      </c>
      <c r="K85" t="s">
        <v>1009</v>
      </c>
      <c r="L85" t="s">
        <v>926</v>
      </c>
    </row>
    <row r="86" spans="1:12" x14ac:dyDescent="0.35">
      <c r="A86">
        <v>2.1158982786186002E-2</v>
      </c>
      <c r="B86">
        <v>3.6386290478485302E-2</v>
      </c>
      <c r="C86">
        <v>1.91574066493869E-2</v>
      </c>
      <c r="D86">
        <v>7.9315148019272197E-3</v>
      </c>
      <c r="E86" t="s">
        <v>1520</v>
      </c>
      <c r="F86" t="s">
        <v>1436</v>
      </c>
      <c r="G86">
        <v>49.442</v>
      </c>
      <c r="H86">
        <v>4.7553243375060301E-3</v>
      </c>
      <c r="I86">
        <v>54.735999999999997</v>
      </c>
      <c r="J86">
        <v>1.9770081276999601E-3</v>
      </c>
      <c r="K86" t="s">
        <v>1010</v>
      </c>
      <c r="L86" t="s">
        <v>926</v>
      </c>
    </row>
    <row r="87" spans="1:12" x14ac:dyDescent="0.35">
      <c r="A87">
        <v>2.2052154501282398E-2</v>
      </c>
      <c r="B87">
        <v>1.9883287825612099E-2</v>
      </c>
      <c r="C87">
        <v>2.5316754451185201E-2</v>
      </c>
      <c r="D87">
        <v>2.0767815828135701E-2</v>
      </c>
      <c r="E87" t="s">
        <v>1521</v>
      </c>
      <c r="F87" t="s">
        <v>1436</v>
      </c>
      <c r="G87">
        <v>49.752000000000002</v>
      </c>
      <c r="H87">
        <v>6.2699728975366097E-3</v>
      </c>
      <c r="I87">
        <v>55.018000000000001</v>
      </c>
      <c r="J87">
        <v>5.1520023384976597E-3</v>
      </c>
      <c r="K87" t="s">
        <v>1011</v>
      </c>
      <c r="L87" t="s">
        <v>926</v>
      </c>
    </row>
    <row r="88" spans="1:12" x14ac:dyDescent="0.35">
      <c r="A88">
        <v>2.7438615126695699E-2</v>
      </c>
      <c r="B88">
        <v>5.2374465161812503E-2</v>
      </c>
      <c r="C88">
        <v>3.8739820782161899E-2</v>
      </c>
      <c r="D88">
        <v>1.0657034721188501E-2</v>
      </c>
      <c r="E88" t="s">
        <v>1522</v>
      </c>
      <c r="F88" t="s">
        <v>1436</v>
      </c>
      <c r="G88">
        <v>50.226999999999997</v>
      </c>
      <c r="H88">
        <v>9.5473548802056402E-3</v>
      </c>
      <c r="I88">
        <v>55.164000000000001</v>
      </c>
      <c r="J88">
        <v>2.6536769784435399E-3</v>
      </c>
      <c r="K88" t="s">
        <v>1012</v>
      </c>
      <c r="L88" t="s">
        <v>926</v>
      </c>
    </row>
    <row r="89" spans="1:12" x14ac:dyDescent="0.35">
      <c r="A89">
        <v>2.9370792816648401E-2</v>
      </c>
      <c r="B89">
        <v>4.1076934031538899E-2</v>
      </c>
      <c r="C89">
        <v>4.6254885206873202E-2</v>
      </c>
      <c r="D89">
        <v>-9.9690396175571294E-3</v>
      </c>
      <c r="E89" t="s">
        <v>1523</v>
      </c>
      <c r="F89" t="s">
        <v>1436</v>
      </c>
      <c r="G89">
        <v>50.798000000000002</v>
      </c>
      <c r="H89">
        <v>1.13683875206563E-2</v>
      </c>
      <c r="I89">
        <v>55.026000000000003</v>
      </c>
      <c r="J89">
        <v>-2.5016314988035599E-3</v>
      </c>
      <c r="K89" t="s">
        <v>1013</v>
      </c>
      <c r="L89" t="s">
        <v>926</v>
      </c>
    </row>
    <row r="90" spans="1:12" x14ac:dyDescent="0.35">
      <c r="A90">
        <v>2.5261592124571599E-2</v>
      </c>
      <c r="B90">
        <v>5.8581566563336001E-3</v>
      </c>
      <c r="C90">
        <v>3.8335869645315497E-2</v>
      </c>
      <c r="D90">
        <v>-1.04267601108922E-2</v>
      </c>
      <c r="E90" t="s">
        <v>1524</v>
      </c>
      <c r="F90" t="s">
        <v>1436</v>
      </c>
      <c r="G90">
        <v>51.277999999999999</v>
      </c>
      <c r="H90">
        <v>9.4491909130280903E-3</v>
      </c>
      <c r="I90">
        <v>54.881999999999998</v>
      </c>
      <c r="J90">
        <v>-2.61694471704299E-3</v>
      </c>
      <c r="K90" t="s">
        <v>1014</v>
      </c>
      <c r="L90" t="s">
        <v>926</v>
      </c>
    </row>
    <row r="91" spans="1:12" x14ac:dyDescent="0.35">
      <c r="A91">
        <v>2.6883329197386899E-2</v>
      </c>
      <c r="B91">
        <v>1.4672046081608801E-2</v>
      </c>
      <c r="C91">
        <v>5.5488923116520997E-2</v>
      </c>
      <c r="D91">
        <v>1.90848323659343E-2</v>
      </c>
      <c r="E91" t="s">
        <v>1525</v>
      </c>
      <c r="F91" t="s">
        <v>1436</v>
      </c>
      <c r="G91">
        <v>51.975000000000001</v>
      </c>
      <c r="H91">
        <v>1.35925738133313E-2</v>
      </c>
      <c r="I91">
        <v>55.142000000000003</v>
      </c>
      <c r="J91">
        <v>4.7374366823367299E-3</v>
      </c>
      <c r="K91" t="s">
        <v>1015</v>
      </c>
      <c r="L91" t="s">
        <v>926</v>
      </c>
    </row>
    <row r="92" spans="1:12" x14ac:dyDescent="0.35">
      <c r="A92">
        <v>2.57889573012124E-2</v>
      </c>
      <c r="B92">
        <v>3.5352763805176303E-2</v>
      </c>
      <c r="C92">
        <v>3.4689577494526398E-2</v>
      </c>
      <c r="D92">
        <v>8.1492648352745594E-3</v>
      </c>
      <c r="E92" t="s">
        <v>1526</v>
      </c>
      <c r="F92" t="s">
        <v>1436</v>
      </c>
      <c r="G92">
        <v>52.42</v>
      </c>
      <c r="H92">
        <v>8.5618085618086592E-3</v>
      </c>
      <c r="I92">
        <v>55.253999999999998</v>
      </c>
      <c r="J92">
        <v>2.03111965470959E-3</v>
      </c>
      <c r="K92" t="s">
        <v>1016</v>
      </c>
      <c r="L92" t="s">
        <v>926</v>
      </c>
    </row>
    <row r="93" spans="1:12" x14ac:dyDescent="0.35">
      <c r="A93">
        <v>2.8170464275272301E-2</v>
      </c>
      <c r="B93">
        <v>2.5395981622951001E-2</v>
      </c>
      <c r="C93">
        <v>2.9547347848341E-2</v>
      </c>
      <c r="D93">
        <v>1.8368205985927599E-2</v>
      </c>
      <c r="E93" t="s">
        <v>1527</v>
      </c>
      <c r="F93" t="s">
        <v>1436</v>
      </c>
      <c r="G93">
        <v>52.802999999999997</v>
      </c>
      <c r="H93">
        <v>7.3063716138877001E-3</v>
      </c>
      <c r="I93">
        <v>55.506</v>
      </c>
      <c r="J93">
        <v>4.5607557823867896E-3</v>
      </c>
      <c r="K93" t="s">
        <v>1017</v>
      </c>
      <c r="L93" t="s">
        <v>926</v>
      </c>
    </row>
    <row r="94" spans="1:12" x14ac:dyDescent="0.35">
      <c r="A94">
        <v>2.40619409805858E-2</v>
      </c>
      <c r="B94">
        <v>9.9983702538513092E-3</v>
      </c>
      <c r="C94">
        <v>2.2073085991106502E-2</v>
      </c>
      <c r="D94">
        <v>3.0096377482488099E-2</v>
      </c>
      <c r="E94" t="s">
        <v>1528</v>
      </c>
      <c r="F94" t="s">
        <v>1436</v>
      </c>
      <c r="G94">
        <v>53.091999999999999</v>
      </c>
      <c r="H94">
        <v>5.4731738726967504E-3</v>
      </c>
      <c r="I94">
        <v>55.918999999999997</v>
      </c>
      <c r="J94">
        <v>7.4406370482469298E-3</v>
      </c>
      <c r="K94" t="s">
        <v>1018</v>
      </c>
      <c r="L94" t="s">
        <v>926</v>
      </c>
    </row>
    <row r="95" spans="1:12" x14ac:dyDescent="0.35">
      <c r="A95">
        <v>2.70873737268695E-2</v>
      </c>
      <c r="B95">
        <v>1.7716185249098602E-2</v>
      </c>
      <c r="C95">
        <v>2.3867747826854101E-2</v>
      </c>
      <c r="D95">
        <v>2.3524161594785199E-2</v>
      </c>
      <c r="E95" t="s">
        <v>1529</v>
      </c>
      <c r="F95" t="s">
        <v>1436</v>
      </c>
      <c r="G95">
        <v>53.405999999999999</v>
      </c>
      <c r="H95">
        <v>5.91426203571155E-3</v>
      </c>
      <c r="I95">
        <v>56.244999999999997</v>
      </c>
      <c r="J95">
        <v>5.8298610490172802E-3</v>
      </c>
      <c r="K95" t="s">
        <v>1019</v>
      </c>
      <c r="L95" t="s">
        <v>926</v>
      </c>
    </row>
    <row r="96" spans="1:12" x14ac:dyDescent="0.35">
      <c r="A96">
        <v>1.7542540867755401E-2</v>
      </c>
      <c r="B96">
        <v>2.9283418694515902E-2</v>
      </c>
      <c r="C96">
        <v>1.3096071782226999E-2</v>
      </c>
      <c r="D96">
        <v>4.0598599880798903E-3</v>
      </c>
      <c r="E96" t="s">
        <v>1530</v>
      </c>
      <c r="F96" t="s">
        <v>1436</v>
      </c>
      <c r="G96">
        <v>53.58</v>
      </c>
      <c r="H96">
        <v>3.2580608920345102E-3</v>
      </c>
      <c r="I96">
        <v>56.302</v>
      </c>
      <c r="J96">
        <v>1.01342341541466E-3</v>
      </c>
      <c r="K96" t="s">
        <v>1020</v>
      </c>
      <c r="L96" t="s">
        <v>926</v>
      </c>
    </row>
    <row r="97" spans="1:12" x14ac:dyDescent="0.35">
      <c r="A97">
        <v>2.3240038949048102E-2</v>
      </c>
      <c r="B97">
        <v>3.6370296177081797E-2</v>
      </c>
      <c r="C97">
        <v>2.0612838101556001E-2</v>
      </c>
      <c r="D97">
        <v>1.8816279960193898E-2</v>
      </c>
      <c r="E97" t="s">
        <v>1531</v>
      </c>
      <c r="F97" t="s">
        <v>1436</v>
      </c>
      <c r="G97">
        <v>53.853999999999999</v>
      </c>
      <c r="H97">
        <v>5.1138484509145599E-3</v>
      </c>
      <c r="I97">
        <v>56.564999999999998</v>
      </c>
      <c r="J97">
        <v>4.6712372562254202E-3</v>
      </c>
      <c r="K97" t="s">
        <v>1021</v>
      </c>
      <c r="L97" t="s">
        <v>926</v>
      </c>
    </row>
    <row r="98" spans="1:12" x14ac:dyDescent="0.35">
      <c r="A98">
        <v>1.4387423449919501E-2</v>
      </c>
      <c r="B98">
        <v>1.8449816517922799E-2</v>
      </c>
      <c r="C98">
        <v>3.3921123111567301E-2</v>
      </c>
      <c r="D98">
        <v>2.9526755688726598E-2</v>
      </c>
      <c r="E98" t="s">
        <v>1532</v>
      </c>
      <c r="F98" t="s">
        <v>1436</v>
      </c>
      <c r="G98">
        <v>54.305</v>
      </c>
      <c r="H98">
        <v>8.3744940023024999E-3</v>
      </c>
      <c r="I98">
        <v>56.978000000000002</v>
      </c>
      <c r="J98">
        <v>7.3013347476356101E-3</v>
      </c>
      <c r="K98" t="s">
        <v>1022</v>
      </c>
      <c r="L98" t="s">
        <v>926</v>
      </c>
    </row>
    <row r="99" spans="1:12" x14ac:dyDescent="0.35">
      <c r="A99">
        <v>2.2496438657089599E-2</v>
      </c>
      <c r="B99">
        <v>3.3991498444716703E-2</v>
      </c>
      <c r="C99">
        <v>2.3479894269272002E-2</v>
      </c>
      <c r="D99">
        <v>1.7453105874537699E-2</v>
      </c>
      <c r="E99" t="s">
        <v>1533</v>
      </c>
      <c r="F99" t="s">
        <v>1436</v>
      </c>
      <c r="G99">
        <v>54.621000000000002</v>
      </c>
      <c r="H99">
        <v>5.8189853604639899E-3</v>
      </c>
      <c r="I99">
        <v>57.225000000000001</v>
      </c>
      <c r="J99">
        <v>4.3350064937344203E-3</v>
      </c>
      <c r="K99" t="s">
        <v>1023</v>
      </c>
      <c r="L99" t="s">
        <v>926</v>
      </c>
    </row>
    <row r="100" spans="1:12" x14ac:dyDescent="0.35">
      <c r="A100">
        <v>2.90726218207682E-2</v>
      </c>
      <c r="B100">
        <v>2.3185974053502999E-2</v>
      </c>
      <c r="C100">
        <v>3.5391871305663798E-2</v>
      </c>
      <c r="D100">
        <v>3.5482240520336501E-2</v>
      </c>
      <c r="E100" t="s">
        <v>1534</v>
      </c>
      <c r="F100" t="s">
        <v>1436</v>
      </c>
      <c r="G100">
        <v>55.097999999999999</v>
      </c>
      <c r="H100">
        <v>8.7329049266764401E-3</v>
      </c>
      <c r="I100">
        <v>57.725999999999999</v>
      </c>
      <c r="J100">
        <v>8.7549148099605994E-3</v>
      </c>
      <c r="K100" t="s">
        <v>1024</v>
      </c>
      <c r="L100" t="s">
        <v>926</v>
      </c>
    </row>
    <row r="101" spans="1:12" x14ac:dyDescent="0.35">
      <c r="A101">
        <v>1.88663260541506E-2</v>
      </c>
      <c r="B101">
        <v>3.3254108726641599E-2</v>
      </c>
      <c r="C101">
        <v>3.4634574022881899E-2</v>
      </c>
      <c r="D101">
        <v>3.3748767658719397E-2</v>
      </c>
      <c r="E101" t="s">
        <v>1535</v>
      </c>
      <c r="F101" t="s">
        <v>1436</v>
      </c>
      <c r="G101">
        <v>55.569000000000003</v>
      </c>
      <c r="H101">
        <v>8.5484046607862095E-3</v>
      </c>
      <c r="I101">
        <v>58.207000000000001</v>
      </c>
      <c r="J101">
        <v>8.3324671725046907E-3</v>
      </c>
      <c r="K101" t="s">
        <v>1025</v>
      </c>
      <c r="L101" t="s">
        <v>926</v>
      </c>
    </row>
    <row r="102" spans="1:12" x14ac:dyDescent="0.35">
      <c r="A102">
        <v>1.9752209109685798E-2</v>
      </c>
      <c r="B102">
        <v>3.4122786590531799E-2</v>
      </c>
      <c r="C102">
        <v>1.8555272424330301E-2</v>
      </c>
      <c r="D102">
        <v>4.0528253340275301E-2</v>
      </c>
      <c r="E102" t="s">
        <v>1536</v>
      </c>
      <c r="F102" t="s">
        <v>1436</v>
      </c>
      <c r="G102">
        <v>55.825000000000003</v>
      </c>
      <c r="H102">
        <v>4.6068851337977001E-3</v>
      </c>
      <c r="I102">
        <v>58.787999999999997</v>
      </c>
      <c r="J102">
        <v>9.9816173312487991E-3</v>
      </c>
      <c r="K102" t="s">
        <v>1026</v>
      </c>
      <c r="L102" t="s">
        <v>926</v>
      </c>
    </row>
    <row r="103" spans="1:12" x14ac:dyDescent="0.35">
      <c r="A103">
        <v>2.3426148348960799E-2</v>
      </c>
      <c r="B103">
        <v>2.6924495262994098E-2</v>
      </c>
      <c r="C103">
        <v>3.10950653969519E-2</v>
      </c>
      <c r="D103">
        <v>2.8884969324625399E-2</v>
      </c>
      <c r="E103" t="s">
        <v>1537</v>
      </c>
      <c r="F103" t="s">
        <v>1436</v>
      </c>
      <c r="G103">
        <v>56.253999999999998</v>
      </c>
      <c r="H103">
        <v>7.6847290640393896E-3</v>
      </c>
      <c r="I103">
        <v>59.207999999999998</v>
      </c>
      <c r="J103">
        <v>7.1443151663605998E-3</v>
      </c>
      <c r="K103" t="s">
        <v>1027</v>
      </c>
      <c r="L103" t="s">
        <v>926</v>
      </c>
    </row>
    <row r="104" spans="1:12" x14ac:dyDescent="0.35">
      <c r="A104">
        <v>1.6481276503132601E-2</v>
      </c>
      <c r="B104">
        <v>2.0844963333619401E-2</v>
      </c>
      <c r="C104">
        <v>1.5303746558651399E-2</v>
      </c>
      <c r="D104">
        <v>2.2275298720186399E-2</v>
      </c>
      <c r="E104" t="s">
        <v>1538</v>
      </c>
      <c r="F104" t="s">
        <v>1436</v>
      </c>
      <c r="G104">
        <v>56.468000000000004</v>
      </c>
      <c r="H104">
        <v>3.8041739254097702E-3</v>
      </c>
      <c r="I104">
        <v>59.534999999999997</v>
      </c>
      <c r="J104">
        <v>5.5229023104985701E-3</v>
      </c>
      <c r="K104" t="s">
        <v>1028</v>
      </c>
      <c r="L104" t="s">
        <v>926</v>
      </c>
    </row>
    <row r="105" spans="1:12" x14ac:dyDescent="0.35">
      <c r="A105">
        <v>1.77105887350755E-2</v>
      </c>
      <c r="B105">
        <v>5.6392491810183902E-2</v>
      </c>
      <c r="C105">
        <v>1.3670147091618101E-2</v>
      </c>
      <c r="D105">
        <v>2.3245190160411201E-2</v>
      </c>
      <c r="E105" t="s">
        <v>1539</v>
      </c>
      <c r="F105" t="s">
        <v>1436</v>
      </c>
      <c r="G105">
        <v>56.66</v>
      </c>
      <c r="H105">
        <v>3.4001558404759299E-3</v>
      </c>
      <c r="I105">
        <v>59.878</v>
      </c>
      <c r="J105">
        <v>5.7613168724279804E-3</v>
      </c>
      <c r="K105" t="s">
        <v>1029</v>
      </c>
      <c r="L105" t="s">
        <v>926</v>
      </c>
    </row>
    <row r="106" spans="1:12" x14ac:dyDescent="0.35">
      <c r="A106">
        <v>2.24149830534284E-2</v>
      </c>
      <c r="B106">
        <v>9.43340099661172E-3</v>
      </c>
      <c r="C106">
        <v>4.4785324127958097E-2</v>
      </c>
      <c r="D106">
        <v>2.1616654614663E-2</v>
      </c>
      <c r="E106" t="s">
        <v>1540</v>
      </c>
      <c r="F106" t="s">
        <v>1436</v>
      </c>
      <c r="G106">
        <v>57.283999999999999</v>
      </c>
      <c r="H106">
        <v>1.1013060360042499E-2</v>
      </c>
      <c r="I106">
        <v>60.198999999999998</v>
      </c>
      <c r="J106">
        <v>5.3609004976786804E-3</v>
      </c>
      <c r="K106" t="s">
        <v>1030</v>
      </c>
      <c r="L106" t="s">
        <v>926</v>
      </c>
    </row>
    <row r="107" spans="1:12" x14ac:dyDescent="0.35">
      <c r="A107">
        <v>2.7006131410312901E-2</v>
      </c>
      <c r="B107">
        <v>-2.1272525988481301E-2</v>
      </c>
      <c r="C107">
        <v>5.7381634098421204E-3</v>
      </c>
      <c r="D107">
        <v>4.4593389946305803E-3</v>
      </c>
      <c r="E107" t="s">
        <v>1541</v>
      </c>
      <c r="F107" t="s">
        <v>1436</v>
      </c>
      <c r="G107">
        <v>57.366</v>
      </c>
      <c r="H107">
        <v>1.4314642832204999E-3</v>
      </c>
      <c r="I107">
        <v>60.265999999999998</v>
      </c>
      <c r="J107">
        <v>1.1129752985929999E-3</v>
      </c>
      <c r="K107" t="s">
        <v>1031</v>
      </c>
      <c r="L107" t="s">
        <v>926</v>
      </c>
    </row>
    <row r="108" spans="1:12" x14ac:dyDescent="0.35">
      <c r="A108">
        <v>1.7195373350960198E-2</v>
      </c>
      <c r="B108">
        <v>2.3444846886997699E-2</v>
      </c>
      <c r="C108">
        <v>2.6760970425558899E-2</v>
      </c>
      <c r="D108">
        <v>1.9993530620905801E-2</v>
      </c>
      <c r="E108" t="s">
        <v>1542</v>
      </c>
      <c r="F108" t="s">
        <v>1436</v>
      </c>
      <c r="G108">
        <v>57.746000000000002</v>
      </c>
      <c r="H108">
        <v>6.62413276156615E-3</v>
      </c>
      <c r="I108">
        <v>60.564999999999998</v>
      </c>
      <c r="J108">
        <v>4.9613380678989998E-3</v>
      </c>
      <c r="K108" t="s">
        <v>1032</v>
      </c>
      <c r="L108" t="s">
        <v>926</v>
      </c>
    </row>
    <row r="109" spans="1:12" x14ac:dyDescent="0.35">
      <c r="A109">
        <v>2.7544322225657499E-2</v>
      </c>
      <c r="B109">
        <v>1.3803868113502E-2</v>
      </c>
      <c r="C109">
        <v>3.2814056779429501E-2</v>
      </c>
      <c r="D109">
        <v>1.3007743413415899E-2</v>
      </c>
      <c r="E109" t="s">
        <v>1543</v>
      </c>
      <c r="F109" t="s">
        <v>1436</v>
      </c>
      <c r="G109">
        <v>58.213999999999999</v>
      </c>
      <c r="H109">
        <v>8.1044574515982699E-3</v>
      </c>
      <c r="I109">
        <v>60.761000000000003</v>
      </c>
      <c r="J109">
        <v>3.2361925204327201E-3</v>
      </c>
      <c r="K109" t="s">
        <v>1033</v>
      </c>
      <c r="L109" t="s">
        <v>926</v>
      </c>
    </row>
    <row r="110" spans="1:12" x14ac:dyDescent="0.35">
      <c r="A110">
        <v>1.7773223680601899E-2</v>
      </c>
      <c r="B110">
        <v>1.36962800731413E-2</v>
      </c>
      <c r="C110">
        <v>2.76992412803541E-2</v>
      </c>
      <c r="D110">
        <v>2.2772194889475902E-2</v>
      </c>
      <c r="E110" t="s">
        <v>1544</v>
      </c>
      <c r="F110" t="s">
        <v>1436</v>
      </c>
      <c r="G110">
        <v>58.613</v>
      </c>
      <c r="H110">
        <v>6.8540213694301402E-3</v>
      </c>
      <c r="I110">
        <v>61.103999999999999</v>
      </c>
      <c r="J110">
        <v>5.6450683826796402E-3</v>
      </c>
      <c r="K110" t="s">
        <v>1034</v>
      </c>
      <c r="L110" t="s">
        <v>926</v>
      </c>
    </row>
    <row r="111" spans="1:12" x14ac:dyDescent="0.35">
      <c r="A111">
        <v>1.0067171002752701E-2</v>
      </c>
      <c r="B111">
        <v>2.65913479501769E-2</v>
      </c>
      <c r="C111">
        <v>9.5884799897107999E-3</v>
      </c>
      <c r="D111">
        <v>2.7578432526699701E-2</v>
      </c>
      <c r="E111" t="s">
        <v>1545</v>
      </c>
      <c r="F111" t="s">
        <v>1436</v>
      </c>
      <c r="G111">
        <v>58.753</v>
      </c>
      <c r="H111">
        <v>2.3885486154948698E-3</v>
      </c>
      <c r="I111">
        <v>61.521000000000001</v>
      </c>
      <c r="J111">
        <v>6.8244304791831301E-3</v>
      </c>
      <c r="K111" t="s">
        <v>1035</v>
      </c>
      <c r="L111" t="s">
        <v>926</v>
      </c>
    </row>
    <row r="112" spans="1:12" x14ac:dyDescent="0.35">
      <c r="A112">
        <v>1.05839184448571E-2</v>
      </c>
      <c r="B112">
        <v>9.2223862003817398E-3</v>
      </c>
      <c r="C112">
        <v>1.9268623425193102E-2</v>
      </c>
      <c r="D112">
        <v>1.0181522541022199E-2</v>
      </c>
      <c r="E112" t="s">
        <v>1546</v>
      </c>
      <c r="F112" t="s">
        <v>1436</v>
      </c>
      <c r="G112">
        <v>59.033999999999999</v>
      </c>
      <c r="H112">
        <v>4.7827344986639498E-3</v>
      </c>
      <c r="I112">
        <v>61.677</v>
      </c>
      <c r="J112">
        <v>2.5357195104109801E-3</v>
      </c>
      <c r="K112" t="s">
        <v>1036</v>
      </c>
      <c r="L112" t="s">
        <v>926</v>
      </c>
    </row>
    <row r="113" spans="1:12" x14ac:dyDescent="0.35">
      <c r="A113">
        <v>1.26121897911931E-2</v>
      </c>
      <c r="B113">
        <v>2.8333969394931401E-2</v>
      </c>
      <c r="C113">
        <v>3.3061309623051399E-2</v>
      </c>
      <c r="D113">
        <v>2.5996696664996499E-2</v>
      </c>
      <c r="E113" t="s">
        <v>1547</v>
      </c>
      <c r="F113" t="s">
        <v>1436</v>
      </c>
      <c r="G113">
        <v>59.515999999999998</v>
      </c>
      <c r="H113">
        <v>8.1647863942813093E-3</v>
      </c>
      <c r="I113">
        <v>62.073999999999998</v>
      </c>
      <c r="J113">
        <v>6.4367592457479396E-3</v>
      </c>
      <c r="K113" t="s">
        <v>1037</v>
      </c>
      <c r="L113" t="s">
        <v>926</v>
      </c>
    </row>
    <row r="114" spans="1:12" x14ac:dyDescent="0.35">
      <c r="A114">
        <v>3.2090280398078302E-4</v>
      </c>
      <c r="B114">
        <v>-1.66473304304918E-2</v>
      </c>
      <c r="C114">
        <v>6.3326118015940604E-3</v>
      </c>
      <c r="D114">
        <v>1.3539104320199301E-3</v>
      </c>
      <c r="E114" t="s">
        <v>1548</v>
      </c>
      <c r="F114" t="s">
        <v>1436</v>
      </c>
      <c r="G114">
        <v>59.61</v>
      </c>
      <c r="H114">
        <v>1.57940721822714E-3</v>
      </c>
      <c r="I114">
        <v>62.094999999999999</v>
      </c>
      <c r="J114">
        <v>3.3830589296646201E-4</v>
      </c>
      <c r="K114" t="s">
        <v>1038</v>
      </c>
      <c r="L114" t="s">
        <v>926</v>
      </c>
    </row>
    <row r="115" spans="1:12" x14ac:dyDescent="0.35">
      <c r="A115">
        <v>7.2384308298694099E-3</v>
      </c>
      <c r="B115">
        <v>2.5981704959145799E-2</v>
      </c>
      <c r="C115">
        <v>2.14418814289523E-2</v>
      </c>
      <c r="D115">
        <v>2.5146473935451202E-3</v>
      </c>
      <c r="E115" t="s">
        <v>1549</v>
      </c>
      <c r="F115" t="s">
        <v>1436</v>
      </c>
      <c r="G115">
        <v>59.927</v>
      </c>
      <c r="H115">
        <v>5.3178996812615099E-3</v>
      </c>
      <c r="I115">
        <v>62.134</v>
      </c>
      <c r="J115">
        <v>6.2806989290598004E-4</v>
      </c>
      <c r="K115" t="s">
        <v>1039</v>
      </c>
      <c r="L115" t="s">
        <v>926</v>
      </c>
    </row>
    <row r="116" spans="1:12" x14ac:dyDescent="0.35">
      <c r="A116">
        <v>1.2387156771827E-2</v>
      </c>
      <c r="B116">
        <v>2.6407820145390601E-2</v>
      </c>
      <c r="C116">
        <v>3.1605845001569703E-2</v>
      </c>
      <c r="D116">
        <v>2.4885302644445099E-2</v>
      </c>
      <c r="E116" t="s">
        <v>1550</v>
      </c>
      <c r="F116" t="s">
        <v>1436</v>
      </c>
      <c r="G116">
        <v>60.395000000000003</v>
      </c>
      <c r="H116">
        <v>7.8095015602317498E-3</v>
      </c>
      <c r="I116">
        <v>62.517000000000003</v>
      </c>
      <c r="J116">
        <v>6.1640969517495802E-3</v>
      </c>
      <c r="K116" t="s">
        <v>1040</v>
      </c>
      <c r="L116" t="s">
        <v>926</v>
      </c>
    </row>
    <row r="117" spans="1:12" x14ac:dyDescent="0.35">
      <c r="A117">
        <v>1.0631455336088899E-2</v>
      </c>
      <c r="B117">
        <v>1.29075602616771E-2</v>
      </c>
      <c r="C117">
        <v>3.6519198475668799E-2</v>
      </c>
      <c r="D117">
        <v>2.2777873103542599E-2</v>
      </c>
      <c r="E117" t="s">
        <v>1551</v>
      </c>
      <c r="F117" t="s">
        <v>1436</v>
      </c>
      <c r="G117">
        <v>60.939</v>
      </c>
      <c r="H117">
        <v>9.0073681596158899E-3</v>
      </c>
      <c r="I117">
        <v>62.87</v>
      </c>
      <c r="J117">
        <v>5.6464641617479704E-3</v>
      </c>
      <c r="K117" t="s">
        <v>1041</v>
      </c>
      <c r="L117" t="s">
        <v>926</v>
      </c>
    </row>
    <row r="118" spans="1:12" x14ac:dyDescent="0.35">
      <c r="A118">
        <v>7.8778546175835001E-3</v>
      </c>
      <c r="B118">
        <v>1.19346323256166E-2</v>
      </c>
      <c r="C118">
        <v>3.4639204699016303E-2</v>
      </c>
      <c r="D118">
        <v>1.61297394114919E-2</v>
      </c>
      <c r="E118" t="s">
        <v>1552</v>
      </c>
      <c r="F118" t="s">
        <v>1436</v>
      </c>
      <c r="G118">
        <v>61.46</v>
      </c>
      <c r="H118">
        <v>8.5495331396971998E-3</v>
      </c>
      <c r="I118">
        <v>63.122</v>
      </c>
      <c r="J118">
        <v>4.0082710354700799E-3</v>
      </c>
      <c r="K118" t="s">
        <v>1042</v>
      </c>
      <c r="L118" t="s">
        <v>926</v>
      </c>
    </row>
    <row r="119" spans="1:12" x14ac:dyDescent="0.35">
      <c r="A119">
        <v>2.2971603454798002E-2</v>
      </c>
      <c r="B119">
        <v>3.4068264295770097E-2</v>
      </c>
      <c r="C119">
        <v>6.1370356227924201E-2</v>
      </c>
      <c r="D119">
        <v>2.99883116478201E-2</v>
      </c>
      <c r="E119" t="s">
        <v>1553</v>
      </c>
      <c r="F119" t="s">
        <v>1436</v>
      </c>
      <c r="G119">
        <v>62.381999999999998</v>
      </c>
      <c r="H119">
        <v>1.5001627074519901E-2</v>
      </c>
      <c r="I119">
        <v>63.59</v>
      </c>
      <c r="J119">
        <v>7.4142137448116596E-3</v>
      </c>
      <c r="K119" t="s">
        <v>1043</v>
      </c>
      <c r="L119" t="s">
        <v>926</v>
      </c>
    </row>
    <row r="120" spans="1:12" x14ac:dyDescent="0.35">
      <c r="A120">
        <v>2.21977740334749E-2</v>
      </c>
      <c r="B120">
        <v>3.6824162588046098E-2</v>
      </c>
      <c r="C120">
        <v>5.6562220210462498E-2</v>
      </c>
      <c r="D120">
        <v>1.6964868305367399E-2</v>
      </c>
      <c r="E120" t="s">
        <v>1554</v>
      </c>
      <c r="F120" t="s">
        <v>1436</v>
      </c>
      <c r="G120">
        <v>63.246000000000002</v>
      </c>
      <c r="H120">
        <v>1.3850149081466E-2</v>
      </c>
      <c r="I120">
        <v>63.857999999999997</v>
      </c>
      <c r="J120">
        <v>4.2144991350840898E-3</v>
      </c>
      <c r="K120" t="s">
        <v>1044</v>
      </c>
      <c r="L120" t="s">
        <v>926</v>
      </c>
    </row>
    <row r="121" spans="1:12" x14ac:dyDescent="0.35">
      <c r="A121">
        <v>2.4473399596212499E-2</v>
      </c>
      <c r="B121">
        <v>5.00811045761866E-2</v>
      </c>
      <c r="C121">
        <v>4.9726482376824199E-2</v>
      </c>
      <c r="D121">
        <v>3.4513513517111301E-2</v>
      </c>
      <c r="E121" t="s">
        <v>1555</v>
      </c>
      <c r="F121" t="s">
        <v>1436</v>
      </c>
      <c r="G121">
        <v>64.018000000000001</v>
      </c>
      <c r="H121">
        <v>1.2206305537109099E-2</v>
      </c>
      <c r="I121">
        <v>64.402000000000001</v>
      </c>
      <c r="J121">
        <v>8.5189013122866104E-3</v>
      </c>
      <c r="K121" t="s">
        <v>1045</v>
      </c>
      <c r="L121" t="s">
        <v>926</v>
      </c>
    </row>
    <row r="122" spans="1:12" x14ac:dyDescent="0.35">
      <c r="A122">
        <v>3.2886107964122897E-2</v>
      </c>
      <c r="B122">
        <v>3.9540884737924602E-2</v>
      </c>
      <c r="C122">
        <v>5.7040318663066601E-2</v>
      </c>
      <c r="D122">
        <v>3.2054289459933799E-2</v>
      </c>
      <c r="E122" t="s">
        <v>1556</v>
      </c>
      <c r="F122" t="s">
        <v>1436</v>
      </c>
      <c r="G122">
        <v>64.912000000000006</v>
      </c>
      <c r="H122">
        <v>1.3964822393701899E-2</v>
      </c>
      <c r="I122">
        <v>64.912000000000006</v>
      </c>
      <c r="J122">
        <v>7.9190087264371396E-3</v>
      </c>
      <c r="K122" t="s">
        <v>1046</v>
      </c>
      <c r="L122" t="s">
        <v>926</v>
      </c>
    </row>
    <row r="123" spans="1:12" x14ac:dyDescent="0.35">
      <c r="A123">
        <v>1.9193585341739101E-2</v>
      </c>
      <c r="B123">
        <v>1.5459188057563401E-2</v>
      </c>
      <c r="C123">
        <v>4.2438786901308999E-2</v>
      </c>
      <c r="D123">
        <v>4.6322155050911397E-2</v>
      </c>
      <c r="E123" t="s">
        <v>1557</v>
      </c>
      <c r="F123" t="s">
        <v>1436</v>
      </c>
      <c r="G123">
        <v>65.59</v>
      </c>
      <c r="H123">
        <v>1.0444910032043399E-2</v>
      </c>
      <c r="I123">
        <v>65.650999999999996</v>
      </c>
      <c r="J123">
        <v>1.13846438254868E-2</v>
      </c>
      <c r="K123" t="s">
        <v>1047</v>
      </c>
      <c r="L123" t="s">
        <v>926</v>
      </c>
    </row>
    <row r="124" spans="1:12" x14ac:dyDescent="0.35">
      <c r="A124">
        <v>2.6053548554263901E-2</v>
      </c>
      <c r="B124">
        <v>2.8949345820011199E-2</v>
      </c>
      <c r="C124">
        <v>4.7728620369875199E-2</v>
      </c>
      <c r="D124">
        <v>2.6457667912965801E-2</v>
      </c>
      <c r="E124" t="s">
        <v>1558</v>
      </c>
      <c r="F124" t="s">
        <v>1436</v>
      </c>
      <c r="G124">
        <v>66.358999999999995</v>
      </c>
      <c r="H124">
        <v>1.1724348223814501E-2</v>
      </c>
      <c r="I124">
        <v>66.081000000000003</v>
      </c>
      <c r="J124">
        <v>6.5497859895509202E-3</v>
      </c>
      <c r="K124" t="s">
        <v>1048</v>
      </c>
      <c r="L124" t="s">
        <v>926</v>
      </c>
    </row>
    <row r="125" spans="1:12" x14ac:dyDescent="0.35">
      <c r="A125">
        <v>2.2816932316492001E-2</v>
      </c>
      <c r="B125">
        <v>1.82242710503548E-2</v>
      </c>
      <c r="C125">
        <v>5.7499642478727998E-2</v>
      </c>
      <c r="D125">
        <v>2.3755596803619598E-2</v>
      </c>
      <c r="E125" t="s">
        <v>1559</v>
      </c>
      <c r="F125" t="s">
        <v>1436</v>
      </c>
      <c r="G125">
        <v>67.293000000000006</v>
      </c>
      <c r="H125">
        <v>1.40749559215783E-2</v>
      </c>
      <c r="I125">
        <v>66.47</v>
      </c>
      <c r="J125">
        <v>5.8867147894250396E-3</v>
      </c>
      <c r="K125" t="s">
        <v>1049</v>
      </c>
      <c r="L125" t="s">
        <v>926</v>
      </c>
    </row>
    <row r="126" spans="1:12" x14ac:dyDescent="0.35">
      <c r="A126">
        <v>2.9937016463394299E-2</v>
      </c>
      <c r="B126">
        <v>6.8223280329673397E-3</v>
      </c>
      <c r="C126">
        <v>5.4456520671492398E-2</v>
      </c>
      <c r="D126">
        <v>2.4902004743710501E-2</v>
      </c>
      <c r="E126" t="s">
        <v>1560</v>
      </c>
      <c r="F126" t="s">
        <v>1436</v>
      </c>
      <c r="G126">
        <v>68.191000000000003</v>
      </c>
      <c r="H126">
        <v>1.33446272272004E-2</v>
      </c>
      <c r="I126">
        <v>66.88</v>
      </c>
      <c r="J126">
        <v>6.16819617872721E-3</v>
      </c>
      <c r="K126" t="s">
        <v>1050</v>
      </c>
      <c r="L126" t="s">
        <v>926</v>
      </c>
    </row>
    <row r="127" spans="1:12" x14ac:dyDescent="0.35">
      <c r="A127">
        <v>1.8884884410707199E-2</v>
      </c>
      <c r="B127">
        <v>2.1198789662036002E-2</v>
      </c>
      <c r="C127">
        <v>1.7060457300781501E-2</v>
      </c>
      <c r="D127">
        <v>1.0326833438175601E-2</v>
      </c>
      <c r="E127" t="s">
        <v>1561</v>
      </c>
      <c r="F127" t="s">
        <v>1436</v>
      </c>
      <c r="G127">
        <v>68.48</v>
      </c>
      <c r="H127">
        <v>4.2380959364138899E-3</v>
      </c>
      <c r="I127">
        <v>67.052000000000007</v>
      </c>
      <c r="J127">
        <v>2.5717703349283898E-3</v>
      </c>
      <c r="K127" t="s">
        <v>1051</v>
      </c>
      <c r="L127" t="s">
        <v>926</v>
      </c>
    </row>
    <row r="128" spans="1:12" x14ac:dyDescent="0.35">
      <c r="A128">
        <v>2.0085104332627801E-3</v>
      </c>
      <c r="B128">
        <v>2.5873085754739799E-2</v>
      </c>
      <c r="C128">
        <v>1.0084643678167899E-2</v>
      </c>
      <c r="D128">
        <v>1.25865662000337E-2</v>
      </c>
      <c r="E128" t="s">
        <v>1562</v>
      </c>
      <c r="F128" t="s">
        <v>1436</v>
      </c>
      <c r="G128">
        <v>68.652000000000001</v>
      </c>
      <c r="H128">
        <v>2.5116822429906999E-3</v>
      </c>
      <c r="I128">
        <v>67.262</v>
      </c>
      <c r="J128">
        <v>3.1318976316887502E-3</v>
      </c>
      <c r="K128" t="s">
        <v>1052</v>
      </c>
      <c r="L128" t="s">
        <v>926</v>
      </c>
    </row>
    <row r="129" spans="1:12" x14ac:dyDescent="0.35">
      <c r="A129">
        <v>1.65597149400032E-3</v>
      </c>
      <c r="B129">
        <v>2.61448943379867E-2</v>
      </c>
      <c r="C129">
        <v>4.4939487008062197E-3</v>
      </c>
      <c r="D129">
        <v>2.16417401943385E-2</v>
      </c>
      <c r="E129" t="s">
        <v>1563</v>
      </c>
      <c r="F129" t="s">
        <v>1436</v>
      </c>
      <c r="G129">
        <v>68.728999999999999</v>
      </c>
      <c r="H129">
        <v>1.1215987880905901E-3</v>
      </c>
      <c r="I129">
        <v>67.623000000000005</v>
      </c>
      <c r="J129">
        <v>5.3670720466236803E-3</v>
      </c>
      <c r="K129" t="s">
        <v>1053</v>
      </c>
      <c r="L129" t="s">
        <v>926</v>
      </c>
    </row>
    <row r="130" spans="1:12" x14ac:dyDescent="0.35">
      <c r="A130">
        <v>8.0448095256371293E-3</v>
      </c>
      <c r="B130">
        <v>2.6192779718551499E-2</v>
      </c>
      <c r="C130">
        <v>2.6210777008154801E-2</v>
      </c>
      <c r="D130">
        <v>1.77439998941584E-2</v>
      </c>
      <c r="E130" t="s">
        <v>1564</v>
      </c>
      <c r="F130" t="s">
        <v>1436</v>
      </c>
      <c r="G130">
        <v>69.174999999999997</v>
      </c>
      <c r="H130">
        <v>6.4892548996784401E-3</v>
      </c>
      <c r="I130">
        <v>67.921000000000006</v>
      </c>
      <c r="J130">
        <v>4.4067846738535801E-3</v>
      </c>
      <c r="K130" t="s">
        <v>1054</v>
      </c>
      <c r="L130" t="s">
        <v>926</v>
      </c>
    </row>
    <row r="131" spans="1:12" x14ac:dyDescent="0.35">
      <c r="A131">
        <v>2.9998743908273201E-2</v>
      </c>
      <c r="B131">
        <v>3.8349371649444103E-2</v>
      </c>
      <c r="C131">
        <v>3.99637104830428E-2</v>
      </c>
      <c r="D131">
        <v>2.19088618142655E-2</v>
      </c>
      <c r="E131" t="s">
        <v>1565</v>
      </c>
      <c r="F131" t="s">
        <v>1436</v>
      </c>
      <c r="G131">
        <v>69.855999999999995</v>
      </c>
      <c r="H131">
        <v>9.8445970365015293E-3</v>
      </c>
      <c r="I131">
        <v>68.290000000000006</v>
      </c>
      <c r="J131">
        <v>5.4327822028532599E-3</v>
      </c>
      <c r="K131" t="s">
        <v>1055</v>
      </c>
      <c r="L131" t="s">
        <v>926</v>
      </c>
    </row>
    <row r="132" spans="1:12" x14ac:dyDescent="0.35">
      <c r="A132">
        <v>2.0869776308943801E-2</v>
      </c>
      <c r="B132">
        <v>3.4801584391165798E-2</v>
      </c>
      <c r="C132">
        <v>3.3157579483975103E-2</v>
      </c>
      <c r="D132">
        <v>1.23573378485025E-2</v>
      </c>
      <c r="E132" t="s">
        <v>1566</v>
      </c>
      <c r="F132" t="s">
        <v>1436</v>
      </c>
      <c r="G132">
        <v>70.427999999999997</v>
      </c>
      <c r="H132">
        <v>8.1882730187814393E-3</v>
      </c>
      <c r="I132">
        <v>68.5</v>
      </c>
      <c r="J132">
        <v>3.07512080831729E-3</v>
      </c>
      <c r="K132" t="s">
        <v>1056</v>
      </c>
      <c r="L132" t="s">
        <v>926</v>
      </c>
    </row>
    <row r="133" spans="1:12" x14ac:dyDescent="0.35">
      <c r="A133">
        <v>1.8806157080279301E-2</v>
      </c>
      <c r="B133">
        <v>7.6203068975526894E-2</v>
      </c>
      <c r="C133">
        <v>4.04120889716926E-2</v>
      </c>
      <c r="D133">
        <v>6.9083360828583497E-3</v>
      </c>
      <c r="E133" t="s">
        <v>1567</v>
      </c>
      <c r="F133" t="s">
        <v>1436</v>
      </c>
      <c r="G133">
        <v>71.129000000000005</v>
      </c>
      <c r="H133">
        <v>9.9534276140171903E-3</v>
      </c>
      <c r="I133">
        <v>68.617999999999995</v>
      </c>
      <c r="J133">
        <v>1.7226277372262E-3</v>
      </c>
      <c r="K133" t="s">
        <v>1057</v>
      </c>
      <c r="L133" t="s">
        <v>926</v>
      </c>
    </row>
    <row r="134" spans="1:12" x14ac:dyDescent="0.35">
      <c r="A134">
        <v>3.0939531110064901E-2</v>
      </c>
      <c r="B134">
        <v>4.5343406532494003E-2</v>
      </c>
      <c r="C134">
        <v>6.4192818314913899E-2</v>
      </c>
      <c r="D134">
        <v>3.35839967225895E-2</v>
      </c>
      <c r="E134" t="s">
        <v>1568</v>
      </c>
      <c r="F134" t="s">
        <v>1436</v>
      </c>
      <c r="G134">
        <v>72.244</v>
      </c>
      <c r="H134">
        <v>1.5675744070632099E-2</v>
      </c>
      <c r="I134">
        <v>69.186999999999998</v>
      </c>
      <c r="J134">
        <v>8.2922848232243104E-3</v>
      </c>
      <c r="K134" t="s">
        <v>1058</v>
      </c>
      <c r="L134" t="s">
        <v>926</v>
      </c>
    </row>
    <row r="135" spans="1:12" x14ac:dyDescent="0.35">
      <c r="A135">
        <v>4.0077661469082298E-3</v>
      </c>
      <c r="B135">
        <v>2.8726975579467701E-2</v>
      </c>
      <c r="C135">
        <v>2.60483280529056E-3</v>
      </c>
      <c r="D135">
        <v>4.1691340309692997E-3</v>
      </c>
      <c r="E135" t="s">
        <v>1569</v>
      </c>
      <c r="F135" t="s">
        <v>1436</v>
      </c>
      <c r="G135">
        <v>72.290999999999997</v>
      </c>
      <c r="H135">
        <v>6.5057305797022703E-4</v>
      </c>
      <c r="I135">
        <v>69.259</v>
      </c>
      <c r="J135">
        <v>1.0406579270672001E-3</v>
      </c>
      <c r="K135" t="s">
        <v>1059</v>
      </c>
      <c r="L135" t="s">
        <v>926</v>
      </c>
    </row>
    <row r="136" spans="1:12" x14ac:dyDescent="0.35">
      <c r="A136">
        <v>2.6637470683258401E-2</v>
      </c>
      <c r="B136">
        <v>3.6701160751028999E-2</v>
      </c>
      <c r="C136">
        <v>3.2537484109284899E-2</v>
      </c>
      <c r="D136">
        <v>5.0920666130191998E-3</v>
      </c>
      <c r="E136" t="s">
        <v>1570</v>
      </c>
      <c r="F136" t="s">
        <v>1436</v>
      </c>
      <c r="G136">
        <v>72.872</v>
      </c>
      <c r="H136">
        <v>8.0369617241426994E-3</v>
      </c>
      <c r="I136">
        <v>69.346999999999994</v>
      </c>
      <c r="J136">
        <v>1.2705929915244299E-3</v>
      </c>
      <c r="K136" t="s">
        <v>1060</v>
      </c>
      <c r="L136" t="s">
        <v>926</v>
      </c>
    </row>
    <row r="137" spans="1:12" x14ac:dyDescent="0.35">
      <c r="A137">
        <v>1.9809591582912799E-2</v>
      </c>
      <c r="B137">
        <v>3.0297839189273201E-2</v>
      </c>
      <c r="C137">
        <v>3.6723057880070603E-2</v>
      </c>
      <c r="D137">
        <v>1.11208187291489E-2</v>
      </c>
      <c r="E137" t="s">
        <v>1571</v>
      </c>
      <c r="F137" t="s">
        <v>1436</v>
      </c>
      <c r="G137">
        <v>73.531999999999996</v>
      </c>
      <c r="H137">
        <v>9.0569766165331505E-3</v>
      </c>
      <c r="I137">
        <v>69.539000000000001</v>
      </c>
      <c r="J137">
        <v>2.7686850188184402E-3</v>
      </c>
      <c r="K137" t="s">
        <v>1061</v>
      </c>
      <c r="L137" t="s">
        <v>926</v>
      </c>
    </row>
    <row r="138" spans="1:12" x14ac:dyDescent="0.35">
      <c r="A138">
        <v>3.1204615634115699E-2</v>
      </c>
      <c r="B138">
        <v>3.4471201135703997E-2</v>
      </c>
      <c r="C138">
        <v>5.7672124037001303E-2</v>
      </c>
      <c r="D138">
        <v>2.6313046913832801E-2</v>
      </c>
      <c r="E138" t="s">
        <v>1572</v>
      </c>
      <c r="F138" t="s">
        <v>1436</v>
      </c>
      <c r="G138">
        <v>74.569999999999993</v>
      </c>
      <c r="H138">
        <v>1.41163031061307E-2</v>
      </c>
      <c r="I138">
        <v>69.992000000000004</v>
      </c>
      <c r="J138">
        <v>6.5143300881520504E-3</v>
      </c>
      <c r="K138" t="s">
        <v>1062</v>
      </c>
      <c r="L138" t="s">
        <v>926</v>
      </c>
    </row>
    <row r="139" spans="1:12" x14ac:dyDescent="0.35">
      <c r="A139">
        <v>2.7200294389546201E-2</v>
      </c>
      <c r="B139">
        <v>3.5181669062461299E-2</v>
      </c>
      <c r="C139">
        <v>5.42271951092188E-2</v>
      </c>
      <c r="D139">
        <v>7.5544557477534205E-2</v>
      </c>
      <c r="E139" t="s">
        <v>1573</v>
      </c>
      <c r="F139" t="s">
        <v>1436</v>
      </c>
      <c r="G139">
        <v>75.561000000000007</v>
      </c>
      <c r="H139">
        <v>1.3289526619284101E-2</v>
      </c>
      <c r="I139">
        <v>71.278000000000006</v>
      </c>
      <c r="J139">
        <v>1.8373528403245999E-2</v>
      </c>
      <c r="K139" t="s">
        <v>1063</v>
      </c>
      <c r="L139" t="s">
        <v>926</v>
      </c>
    </row>
    <row r="140" spans="1:12" x14ac:dyDescent="0.35">
      <c r="A140">
        <v>1.9813936050087699E-2</v>
      </c>
      <c r="B140">
        <v>3.71188179062025E-2</v>
      </c>
      <c r="C140">
        <v>5.5705667373545202E-2</v>
      </c>
      <c r="D140">
        <v>0.112118604043563</v>
      </c>
      <c r="E140" t="s">
        <v>1574</v>
      </c>
      <c r="F140" t="s">
        <v>1436</v>
      </c>
      <c r="G140">
        <v>76.591999999999999</v>
      </c>
      <c r="H140">
        <v>1.3644605021108799E-2</v>
      </c>
      <c r="I140">
        <v>73.197000000000003</v>
      </c>
      <c r="J140">
        <v>2.6922753163668899E-2</v>
      </c>
      <c r="K140" t="s">
        <v>1064</v>
      </c>
      <c r="L140" t="s">
        <v>926</v>
      </c>
    </row>
    <row r="141" spans="1:12" x14ac:dyDescent="0.35">
      <c r="A141">
        <v>3.4620969363609901E-2</v>
      </c>
      <c r="B141">
        <v>3.9499400752586601E-2</v>
      </c>
      <c r="C141">
        <v>6.4048552869122796E-2</v>
      </c>
      <c r="D141">
        <v>9.9586266592777403E-2</v>
      </c>
      <c r="E141" t="s">
        <v>1575</v>
      </c>
      <c r="F141" t="s">
        <v>1436</v>
      </c>
      <c r="G141">
        <v>77.790000000000006</v>
      </c>
      <c r="H141">
        <v>1.5641320242323099E-2</v>
      </c>
      <c r="I141">
        <v>74.954999999999998</v>
      </c>
      <c r="J141">
        <v>2.4017377761383699E-2</v>
      </c>
      <c r="K141" t="s">
        <v>1065</v>
      </c>
      <c r="L141" t="s">
        <v>926</v>
      </c>
    </row>
    <row r="142" spans="1:12" x14ac:dyDescent="0.35">
      <c r="A142">
        <v>2.34535899973984E-2</v>
      </c>
      <c r="B142">
        <v>5.3706890981395999E-2</v>
      </c>
      <c r="C142">
        <v>3.69057460702173E-2</v>
      </c>
      <c r="D142">
        <v>3.4210597371460802E-2</v>
      </c>
      <c r="E142" t="s">
        <v>1576</v>
      </c>
      <c r="F142" t="s">
        <v>1436</v>
      </c>
      <c r="G142">
        <v>78.498000000000005</v>
      </c>
      <c r="H142">
        <v>9.1014269186271406E-3</v>
      </c>
      <c r="I142">
        <v>75.587999999999994</v>
      </c>
      <c r="J142">
        <v>8.4450670402240694E-3</v>
      </c>
      <c r="K142" t="s">
        <v>1066</v>
      </c>
      <c r="L142" t="s">
        <v>926</v>
      </c>
    </row>
    <row r="143" spans="1:12" x14ac:dyDescent="0.35">
      <c r="A143">
        <v>2.5499802950129401E-2</v>
      </c>
      <c r="B143">
        <v>3.6566859174503898E-2</v>
      </c>
      <c r="C143">
        <v>4.6392177019789503E-2</v>
      </c>
      <c r="D143">
        <v>7.7400259900339399E-2</v>
      </c>
      <c r="E143" t="s">
        <v>1577</v>
      </c>
      <c r="F143" t="s">
        <v>1436</v>
      </c>
      <c r="G143">
        <v>79.393000000000001</v>
      </c>
      <c r="H143">
        <v>1.14015643710668E-2</v>
      </c>
      <c r="I143">
        <v>77.010000000000005</v>
      </c>
      <c r="J143">
        <v>1.8812509922210102E-2</v>
      </c>
      <c r="K143" t="s">
        <v>1067</v>
      </c>
      <c r="L143" t="s">
        <v>926</v>
      </c>
    </row>
    <row r="144" spans="1:12" x14ac:dyDescent="0.35">
      <c r="A144">
        <v>4.3914132970667798E-2</v>
      </c>
      <c r="B144">
        <v>4.2425430776049898E-2</v>
      </c>
      <c r="C144">
        <v>5.93159029125543E-2</v>
      </c>
      <c r="D144">
        <v>9.2099438138909306E-2</v>
      </c>
      <c r="E144" t="s">
        <v>1578</v>
      </c>
      <c r="F144" t="s">
        <v>1436</v>
      </c>
      <c r="G144">
        <v>80.545000000000002</v>
      </c>
      <c r="H144">
        <v>1.45100953484565E-2</v>
      </c>
      <c r="I144">
        <v>78.724999999999994</v>
      </c>
      <c r="J144">
        <v>2.2269835086352399E-2</v>
      </c>
      <c r="K144" t="s">
        <v>1068</v>
      </c>
      <c r="L144" t="s">
        <v>926</v>
      </c>
    </row>
    <row r="145" spans="1:12" x14ac:dyDescent="0.35">
      <c r="A145">
        <v>3.2225013743436802E-2</v>
      </c>
      <c r="B145">
        <v>2.9052051363888599E-2</v>
      </c>
      <c r="C145">
        <v>6.9322056053448003E-2</v>
      </c>
      <c r="D145">
        <v>5.6967190258747399E-2</v>
      </c>
      <c r="E145" t="s">
        <v>1579</v>
      </c>
      <c r="F145" t="s">
        <v>1436</v>
      </c>
      <c r="G145">
        <v>81.906000000000006</v>
      </c>
      <c r="H145">
        <v>1.68973865541002E-2</v>
      </c>
      <c r="I145">
        <v>79.822999999999993</v>
      </c>
      <c r="J145">
        <v>1.39472848523341E-2</v>
      </c>
      <c r="K145" t="s">
        <v>1069</v>
      </c>
      <c r="L145" t="s">
        <v>926</v>
      </c>
    </row>
    <row r="146" spans="1:12" x14ac:dyDescent="0.35">
      <c r="A146">
        <v>2.0935342800184199E-2</v>
      </c>
      <c r="B146">
        <v>3.4093201961780999E-2</v>
      </c>
      <c r="C146">
        <v>2.9725271896635399E-2</v>
      </c>
      <c r="D146">
        <v>2.50876168066392E-2</v>
      </c>
      <c r="E146" t="s">
        <v>1580</v>
      </c>
      <c r="F146" t="s">
        <v>1436</v>
      </c>
      <c r="G146">
        <v>82.507999999999996</v>
      </c>
      <c r="H146">
        <v>7.3498888970282604E-3</v>
      </c>
      <c r="I146">
        <v>80.319000000000003</v>
      </c>
      <c r="J146">
        <v>6.2137479172670301E-3</v>
      </c>
      <c r="K146" t="s">
        <v>1070</v>
      </c>
      <c r="L146" t="s">
        <v>926</v>
      </c>
    </row>
    <row r="147" spans="1:12" x14ac:dyDescent="0.35">
      <c r="A147">
        <v>3.5555363218846101E-2</v>
      </c>
      <c r="B147">
        <v>2.8135458399094499E-2</v>
      </c>
      <c r="C147">
        <v>5.61203132204302E-2</v>
      </c>
      <c r="D147">
        <v>9.1105361450751501E-2</v>
      </c>
      <c r="E147" t="s">
        <v>1581</v>
      </c>
      <c r="F147" t="s">
        <v>1436</v>
      </c>
      <c r="G147">
        <v>83.641999999999996</v>
      </c>
      <c r="H147">
        <v>1.37441217821301E-2</v>
      </c>
      <c r="I147">
        <v>82.088999999999999</v>
      </c>
      <c r="J147">
        <v>2.20371269562618E-2</v>
      </c>
      <c r="K147" t="s">
        <v>1071</v>
      </c>
      <c r="L147" t="s">
        <v>926</v>
      </c>
    </row>
    <row r="148" spans="1:12" x14ac:dyDescent="0.35">
      <c r="A148">
        <v>2.9090990484891902E-2</v>
      </c>
      <c r="B148">
        <v>2.9966625510563099E-2</v>
      </c>
      <c r="C148">
        <v>3.6843754178801799E-2</v>
      </c>
      <c r="D148">
        <v>5.6869734933791702E-2</v>
      </c>
      <c r="E148" t="s">
        <v>1582</v>
      </c>
      <c r="F148" t="s">
        <v>1436</v>
      </c>
      <c r="G148">
        <v>84.402000000000001</v>
      </c>
      <c r="H148">
        <v>9.0863441811530592E-3</v>
      </c>
      <c r="I148">
        <v>83.231999999999999</v>
      </c>
      <c r="J148">
        <v>1.39239118517707E-2</v>
      </c>
      <c r="K148" t="s">
        <v>1072</v>
      </c>
      <c r="L148" t="s">
        <v>926</v>
      </c>
    </row>
    <row r="149" spans="1:12" x14ac:dyDescent="0.35">
      <c r="A149">
        <v>-6.5707467210734897E-3</v>
      </c>
      <c r="B149">
        <v>2.09838687014814E-2</v>
      </c>
      <c r="C149">
        <v>3.0338463665483501E-2</v>
      </c>
      <c r="D149">
        <v>9.7213617262259494E-2</v>
      </c>
      <c r="E149" t="s">
        <v>1583</v>
      </c>
      <c r="F149" t="s">
        <v>1436</v>
      </c>
      <c r="G149">
        <v>85.034999999999997</v>
      </c>
      <c r="H149">
        <v>7.4998222790929603E-3</v>
      </c>
      <c r="I149">
        <v>85.185000000000002</v>
      </c>
      <c r="J149">
        <v>2.34645328719723E-2</v>
      </c>
      <c r="K149" t="s">
        <v>1073</v>
      </c>
      <c r="L149" t="s">
        <v>926</v>
      </c>
    </row>
    <row r="150" spans="1:12" x14ac:dyDescent="0.35">
      <c r="A150">
        <v>3.7059917165470399E-2</v>
      </c>
      <c r="B150">
        <v>3.4651107406359301E-2</v>
      </c>
      <c r="C150">
        <v>7.2299496950969405E-2</v>
      </c>
      <c r="D150">
        <v>0.104792955269219</v>
      </c>
      <c r="E150" t="s">
        <v>1584</v>
      </c>
      <c r="F150" t="s">
        <v>1436</v>
      </c>
      <c r="G150">
        <v>86.531999999999996</v>
      </c>
      <c r="H150">
        <v>1.7604515787616799E-2</v>
      </c>
      <c r="I150">
        <v>87.334000000000003</v>
      </c>
      <c r="J150">
        <v>2.5227446146622E-2</v>
      </c>
      <c r="K150" t="s">
        <v>1074</v>
      </c>
      <c r="L150" t="s">
        <v>926</v>
      </c>
    </row>
    <row r="151" spans="1:12" x14ac:dyDescent="0.35">
      <c r="A151">
        <v>3.4406916686266602E-2</v>
      </c>
      <c r="B151">
        <v>3.2361806516408201E-2</v>
      </c>
      <c r="C151">
        <v>4.4022069506022297E-2</v>
      </c>
      <c r="D151">
        <v>4.2476788274359099E-2</v>
      </c>
      <c r="E151" t="s">
        <v>1585</v>
      </c>
      <c r="F151" t="s">
        <v>1436</v>
      </c>
      <c r="G151">
        <v>87.468999999999994</v>
      </c>
      <c r="H151">
        <v>1.0828364073406401E-2</v>
      </c>
      <c r="I151">
        <v>88.247</v>
      </c>
      <c r="J151">
        <v>1.0454118670849799E-2</v>
      </c>
      <c r="K151" t="s">
        <v>1075</v>
      </c>
      <c r="L151" t="s">
        <v>926</v>
      </c>
    </row>
    <row r="152" spans="1:12" x14ac:dyDescent="0.35">
      <c r="A152">
        <v>2.2795387185985401E-2</v>
      </c>
      <c r="B152">
        <v>2.78463672712683E-2</v>
      </c>
      <c r="C152">
        <v>4.5480126137950501E-2</v>
      </c>
      <c r="D152">
        <v>3.9088464000031499E-2</v>
      </c>
      <c r="E152" t="s">
        <v>1586</v>
      </c>
      <c r="F152" t="s">
        <v>1436</v>
      </c>
      <c r="G152">
        <v>88.447000000000003</v>
      </c>
      <c r="H152">
        <v>1.11811041626177E-2</v>
      </c>
      <c r="I152">
        <v>89.096999999999994</v>
      </c>
      <c r="J152">
        <v>9.6320554806394992E-3</v>
      </c>
      <c r="K152" t="s">
        <v>1076</v>
      </c>
      <c r="L152" t="s">
        <v>926</v>
      </c>
    </row>
    <row r="153" spans="1:12" x14ac:dyDescent="0.35">
      <c r="A153">
        <v>4.1308326629664098E-2</v>
      </c>
      <c r="B153">
        <v>3.2459146974833902E-2</v>
      </c>
      <c r="C153">
        <v>6.2039731527971001E-2</v>
      </c>
      <c r="D153">
        <v>4.7886506250196997E-2</v>
      </c>
      <c r="E153" t="s">
        <v>1587</v>
      </c>
      <c r="F153" t="s">
        <v>1436</v>
      </c>
      <c r="G153">
        <v>89.787999999999997</v>
      </c>
      <c r="H153">
        <v>1.51616222144335E-2</v>
      </c>
      <c r="I153">
        <v>90.144999999999996</v>
      </c>
      <c r="J153">
        <v>1.1762461137861099E-2</v>
      </c>
      <c r="K153" t="s">
        <v>1077</v>
      </c>
      <c r="L153" t="s">
        <v>926</v>
      </c>
    </row>
    <row r="154" spans="1:12" x14ac:dyDescent="0.35">
      <c r="A154">
        <v>3.2954987594988598E-2</v>
      </c>
      <c r="B154">
        <v>3.4144429632388298E-2</v>
      </c>
      <c r="C154">
        <v>7.23147883586404E-2</v>
      </c>
      <c r="D154">
        <v>3.8436409888859401E-2</v>
      </c>
      <c r="E154" t="s">
        <v>1588</v>
      </c>
      <c r="F154" t="s">
        <v>1436</v>
      </c>
      <c r="G154">
        <v>91.369</v>
      </c>
      <c r="H154">
        <v>1.7608143627210901E-2</v>
      </c>
      <c r="I154">
        <v>90.998999999999995</v>
      </c>
      <c r="J154">
        <v>9.4736258250596207E-3</v>
      </c>
      <c r="K154" t="s">
        <v>1078</v>
      </c>
      <c r="L154" t="s">
        <v>926</v>
      </c>
    </row>
    <row r="155" spans="1:12" x14ac:dyDescent="0.35">
      <c r="A155">
        <v>3.9493950261418401E-2</v>
      </c>
      <c r="B155">
        <v>4.1602053152730099E-2</v>
      </c>
      <c r="C155">
        <v>6.3263019462217004E-2</v>
      </c>
      <c r="D155">
        <v>3.1126430511134499E-2</v>
      </c>
      <c r="E155" t="s">
        <v>1589</v>
      </c>
      <c r="F155" t="s">
        <v>1436</v>
      </c>
      <c r="G155">
        <v>92.781000000000006</v>
      </c>
      <c r="H155">
        <v>1.5453819129026301E-2</v>
      </c>
      <c r="I155">
        <v>91.698999999999998</v>
      </c>
      <c r="J155">
        <v>7.6923922240903497E-3</v>
      </c>
      <c r="K155" t="s">
        <v>1079</v>
      </c>
      <c r="L155" t="s">
        <v>926</v>
      </c>
    </row>
    <row r="156" spans="1:12" x14ac:dyDescent="0.35">
      <c r="A156">
        <v>4.3386852489040402E-2</v>
      </c>
      <c r="B156">
        <v>3.03408157550791E-2</v>
      </c>
      <c r="C156">
        <v>5.52136316684275E-2</v>
      </c>
      <c r="D156">
        <v>5.2701497522020399E-2</v>
      </c>
      <c r="E156" t="s">
        <v>1590</v>
      </c>
      <c r="F156" t="s">
        <v>1436</v>
      </c>
      <c r="G156">
        <v>94.036000000000001</v>
      </c>
      <c r="H156">
        <v>1.35264763259719E-2</v>
      </c>
      <c r="I156">
        <v>92.884</v>
      </c>
      <c r="J156">
        <v>1.29227145334192E-2</v>
      </c>
      <c r="K156" t="s">
        <v>1080</v>
      </c>
      <c r="L156" t="s">
        <v>926</v>
      </c>
    </row>
    <row r="157" spans="1:12" x14ac:dyDescent="0.35">
      <c r="A157">
        <v>-6.2360196436278902E-2</v>
      </c>
      <c r="B157">
        <v>-1.8917326805224201E-2</v>
      </c>
      <c r="C157">
        <v>-7.4155067193705196E-2</v>
      </c>
      <c r="D157">
        <v>7.5335045349203197E-2</v>
      </c>
      <c r="E157" t="s">
        <v>1591</v>
      </c>
      <c r="F157" t="s">
        <v>1436</v>
      </c>
      <c r="G157">
        <v>92.242000000000004</v>
      </c>
      <c r="H157">
        <v>-1.9077799991492599E-2</v>
      </c>
      <c r="I157">
        <v>94.585999999999999</v>
      </c>
      <c r="J157">
        <v>1.8323930924594199E-2</v>
      </c>
      <c r="K157" t="s">
        <v>1081</v>
      </c>
      <c r="L157" t="s">
        <v>926</v>
      </c>
    </row>
    <row r="158" spans="1:12" x14ac:dyDescent="0.35">
      <c r="A158">
        <v>-2.6731212813050201E-2</v>
      </c>
      <c r="B158">
        <v>-3.3135327897025703E-2</v>
      </c>
      <c r="C158">
        <v>-6.8462037949067106E-2</v>
      </c>
      <c r="D158">
        <v>2.5185264843212301E-2</v>
      </c>
      <c r="E158" t="s">
        <v>1592</v>
      </c>
      <c r="F158" t="s">
        <v>1436</v>
      </c>
      <c r="G158">
        <v>90.620999999999995</v>
      </c>
      <c r="H158">
        <v>-1.7573339693415201E-2</v>
      </c>
      <c r="I158">
        <v>95.176000000000002</v>
      </c>
      <c r="J158">
        <v>6.2377095976149403E-3</v>
      </c>
      <c r="K158" t="s">
        <v>1082</v>
      </c>
      <c r="L158" t="s">
        <v>926</v>
      </c>
    </row>
    <row r="159" spans="1:12" x14ac:dyDescent="0.35">
      <c r="A159">
        <v>1.6004255010514602E-2</v>
      </c>
      <c r="B159">
        <v>7.2471101838833497E-4</v>
      </c>
      <c r="C159">
        <v>1.9832196265286098E-2</v>
      </c>
      <c r="D159">
        <v>-3.4674689642026801E-2</v>
      </c>
      <c r="E159" t="s">
        <v>1593</v>
      </c>
      <c r="F159" t="s">
        <v>1436</v>
      </c>
      <c r="G159">
        <v>91.066999999999993</v>
      </c>
      <c r="H159">
        <v>4.9215965394333603E-3</v>
      </c>
      <c r="I159">
        <v>94.34</v>
      </c>
      <c r="J159">
        <v>-8.7837269899974108E-3</v>
      </c>
      <c r="K159" t="s">
        <v>1083</v>
      </c>
      <c r="L159" t="s">
        <v>926</v>
      </c>
    </row>
    <row r="160" spans="1:12" x14ac:dyDescent="0.35">
      <c r="A160">
        <v>2.78350080421834E-2</v>
      </c>
      <c r="B160">
        <v>1.22854862155337E-2</v>
      </c>
      <c r="C160">
        <v>3.47933032481611E-2</v>
      </c>
      <c r="D160">
        <v>-3.55556982427905E-2</v>
      </c>
      <c r="E160" t="s">
        <v>1594</v>
      </c>
      <c r="F160" t="s">
        <v>1436</v>
      </c>
      <c r="G160">
        <v>91.849000000000004</v>
      </c>
      <c r="H160">
        <v>8.5870842346844594E-3</v>
      </c>
      <c r="I160">
        <v>93.49</v>
      </c>
      <c r="J160">
        <v>-9.0099639601441996E-3</v>
      </c>
      <c r="K160" t="s">
        <v>1084</v>
      </c>
      <c r="L160" t="s">
        <v>926</v>
      </c>
    </row>
    <row r="161" spans="1:12" x14ac:dyDescent="0.35">
      <c r="A161">
        <v>3.1240948480233E-2</v>
      </c>
      <c r="B161">
        <v>3.11127095791379E-2</v>
      </c>
      <c r="C161">
        <v>3.76238534925952E-2</v>
      </c>
      <c r="D161">
        <v>-3.0769865450653898E-3</v>
      </c>
      <c r="E161" t="s">
        <v>1595</v>
      </c>
      <c r="F161" t="s">
        <v>1436</v>
      </c>
      <c r="G161">
        <v>92.700999999999993</v>
      </c>
      <c r="H161">
        <v>9.2760944593843798E-3</v>
      </c>
      <c r="I161">
        <v>93.418000000000006</v>
      </c>
      <c r="J161">
        <v>-7.7013584340557305E-4</v>
      </c>
      <c r="K161" t="s">
        <v>1085</v>
      </c>
      <c r="L161" t="s">
        <v>926</v>
      </c>
    </row>
    <row r="162" spans="1:12" x14ac:dyDescent="0.35">
      <c r="A162">
        <v>1.5538458112328299E-2</v>
      </c>
      <c r="B162">
        <v>2.5706833981413501E-2</v>
      </c>
      <c r="C162">
        <v>4.6975487060338501E-2</v>
      </c>
      <c r="D162">
        <v>1.13952226394907E-2</v>
      </c>
      <c r="E162" t="s">
        <v>1596</v>
      </c>
      <c r="F162" t="s">
        <v>1436</v>
      </c>
      <c r="G162">
        <v>93.771000000000001</v>
      </c>
      <c r="H162">
        <v>1.15424860573241E-2</v>
      </c>
      <c r="I162">
        <v>93.683000000000007</v>
      </c>
      <c r="J162">
        <v>2.8367124108843499E-3</v>
      </c>
      <c r="K162" t="s">
        <v>1086</v>
      </c>
      <c r="L162" t="s">
        <v>926</v>
      </c>
    </row>
    <row r="163" spans="1:12" x14ac:dyDescent="0.35">
      <c r="A163">
        <v>6.2204942357442202E-3</v>
      </c>
      <c r="B163">
        <v>3.1017939025557401E-2</v>
      </c>
      <c r="C163">
        <v>2.9062361366274402E-2</v>
      </c>
      <c r="D163">
        <v>1.7491325837778699E-2</v>
      </c>
      <c r="E163" t="s">
        <v>1597</v>
      </c>
      <c r="F163" t="s">
        <v>1436</v>
      </c>
      <c r="G163">
        <v>94.444999999999993</v>
      </c>
      <c r="H163">
        <v>7.18772328331774E-3</v>
      </c>
      <c r="I163">
        <v>94.09</v>
      </c>
      <c r="J163">
        <v>4.3444381584705196E-3</v>
      </c>
      <c r="K163" t="s">
        <v>1087</v>
      </c>
      <c r="L163" t="s">
        <v>926</v>
      </c>
    </row>
    <row r="164" spans="1:12" x14ac:dyDescent="0.35">
      <c r="A164">
        <v>7.72594376628044E-3</v>
      </c>
      <c r="B164">
        <v>1.59750935835106E-2</v>
      </c>
      <c r="C164">
        <v>2.3067349052007899E-2</v>
      </c>
      <c r="D164">
        <v>1.2643202128826501E-2</v>
      </c>
      <c r="E164" t="s">
        <v>1598</v>
      </c>
      <c r="F164" t="s">
        <v>1436</v>
      </c>
      <c r="G164">
        <v>94.984999999999999</v>
      </c>
      <c r="H164">
        <v>5.7176134258034601E-3</v>
      </c>
      <c r="I164">
        <v>94.385999999999996</v>
      </c>
      <c r="J164">
        <v>3.1459241152087501E-3</v>
      </c>
      <c r="K164" t="s">
        <v>1088</v>
      </c>
      <c r="L164" t="s">
        <v>926</v>
      </c>
    </row>
    <row r="165" spans="1:12" x14ac:dyDescent="0.35">
      <c r="A165">
        <v>2.5862689650447499E-2</v>
      </c>
      <c r="B165">
        <v>3.29452826155043E-2</v>
      </c>
      <c r="C165">
        <v>3.7879756208726099E-2</v>
      </c>
      <c r="D165">
        <v>1.8090208281751299E-2</v>
      </c>
      <c r="E165" t="s">
        <v>1599</v>
      </c>
      <c r="F165" t="s">
        <v>1436</v>
      </c>
      <c r="G165">
        <v>95.872</v>
      </c>
      <c r="H165">
        <v>9.3383165763014607E-3</v>
      </c>
      <c r="I165">
        <v>94.81</v>
      </c>
      <c r="J165">
        <v>4.4921916385904899E-3</v>
      </c>
      <c r="K165" t="s">
        <v>1089</v>
      </c>
      <c r="L165" t="s">
        <v>926</v>
      </c>
    </row>
    <row r="166" spans="1:12" x14ac:dyDescent="0.35">
      <c r="A166">
        <v>3.4016266815046298E-2</v>
      </c>
      <c r="B166">
        <v>3.64259738306612E-2</v>
      </c>
      <c r="C166">
        <v>4.5137017344844002E-2</v>
      </c>
      <c r="D166">
        <v>2.4394704867924499E-2</v>
      </c>
      <c r="E166" t="s">
        <v>1600</v>
      </c>
      <c r="F166" t="s">
        <v>1436</v>
      </c>
      <c r="G166">
        <v>96.936000000000007</v>
      </c>
      <c r="H166">
        <v>1.10981308411215E-2</v>
      </c>
      <c r="I166">
        <v>95.382999999999996</v>
      </c>
      <c r="J166">
        <v>6.0436662799281402E-3</v>
      </c>
      <c r="K166" t="s">
        <v>1090</v>
      </c>
      <c r="L166" t="s">
        <v>926</v>
      </c>
    </row>
    <row r="167" spans="1:12" x14ac:dyDescent="0.35">
      <c r="A167">
        <v>3.9906323464895102E-2</v>
      </c>
      <c r="B167">
        <v>3.6682670107609103E-2</v>
      </c>
      <c r="C167">
        <v>5.0829697512543702E-2</v>
      </c>
      <c r="D167">
        <v>4.1043493786856698E-2</v>
      </c>
      <c r="E167" t="s">
        <v>1601</v>
      </c>
      <c r="F167" t="s">
        <v>1436</v>
      </c>
      <c r="G167">
        <v>98.144999999999996</v>
      </c>
      <c r="H167">
        <v>1.24721465709332E-2</v>
      </c>
      <c r="I167">
        <v>96.346999999999994</v>
      </c>
      <c r="J167">
        <v>1.01066227734501E-2</v>
      </c>
      <c r="K167" t="s">
        <v>1091</v>
      </c>
      <c r="L167" t="s">
        <v>926</v>
      </c>
    </row>
    <row r="168" spans="1:12" x14ac:dyDescent="0.35">
      <c r="A168">
        <v>1.8640626124373699E-2</v>
      </c>
      <c r="B168">
        <v>1.39908352832361E-2</v>
      </c>
      <c r="C168">
        <v>1.5247657751557699E-2</v>
      </c>
      <c r="D168">
        <v>4.5983903903995101E-2</v>
      </c>
      <c r="E168" t="s">
        <v>1602</v>
      </c>
      <c r="F168" t="s">
        <v>1436</v>
      </c>
      <c r="G168">
        <v>98.516999999999996</v>
      </c>
      <c r="H168">
        <v>3.7903102552345699E-3</v>
      </c>
      <c r="I168">
        <v>97.436000000000007</v>
      </c>
      <c r="J168">
        <v>1.13028947450362E-2</v>
      </c>
      <c r="K168" t="s">
        <v>1092</v>
      </c>
      <c r="L168" t="s">
        <v>926</v>
      </c>
    </row>
    <row r="169" spans="1:12" x14ac:dyDescent="0.35">
      <c r="A169">
        <v>1.32561299755005E-2</v>
      </c>
      <c r="B169">
        <v>-5.33618345022691E-3</v>
      </c>
      <c r="C169">
        <v>-1.40950235359611E-2</v>
      </c>
      <c r="D169">
        <v>3.8137779822804398E-2</v>
      </c>
      <c r="E169" t="s">
        <v>1603</v>
      </c>
      <c r="F169" t="s">
        <v>1436</v>
      </c>
      <c r="G169">
        <v>98.168000000000006</v>
      </c>
      <c r="H169">
        <v>-3.54253580600294E-3</v>
      </c>
      <c r="I169">
        <v>98.352000000000004</v>
      </c>
      <c r="J169">
        <v>9.4010427357444897E-3</v>
      </c>
      <c r="K169" t="s">
        <v>1093</v>
      </c>
      <c r="L169" t="s">
        <v>926</v>
      </c>
    </row>
    <row r="170" spans="1:12" x14ac:dyDescent="0.35">
      <c r="A170">
        <v>2.6761481120787502E-2</v>
      </c>
      <c r="B170">
        <v>1.39201532997375E-2</v>
      </c>
      <c r="C170">
        <v>5.4116713606157101E-2</v>
      </c>
      <c r="D170">
        <v>3.0312571909831599E-2</v>
      </c>
      <c r="E170" t="s">
        <v>1604</v>
      </c>
      <c r="F170" t="s">
        <v>1436</v>
      </c>
      <c r="G170">
        <v>99.47</v>
      </c>
      <c r="H170">
        <v>1.32629777524242E-2</v>
      </c>
      <c r="I170">
        <v>99.088999999999999</v>
      </c>
      <c r="J170">
        <v>7.4934927606962196E-3</v>
      </c>
      <c r="K170" t="s">
        <v>1094</v>
      </c>
      <c r="L170" t="s">
        <v>926</v>
      </c>
    </row>
    <row r="171" spans="1:12" x14ac:dyDescent="0.35">
      <c r="A171">
        <v>9.7203652064314899E-3</v>
      </c>
      <c r="B171">
        <v>8.8550245823753003E-3</v>
      </c>
      <c r="C171">
        <v>-6.9787462524018001E-3</v>
      </c>
      <c r="D171">
        <v>3.2273930792219303E-2</v>
      </c>
      <c r="E171" t="s">
        <v>1605</v>
      </c>
      <c r="F171" t="s">
        <v>1436</v>
      </c>
      <c r="G171">
        <v>99.296000000000006</v>
      </c>
      <c r="H171">
        <v>-1.7492711370261599E-3</v>
      </c>
      <c r="I171">
        <v>99.879000000000005</v>
      </c>
      <c r="J171">
        <v>7.9726306653615797E-3</v>
      </c>
      <c r="K171" t="s">
        <v>1095</v>
      </c>
      <c r="L171" t="s">
        <v>926</v>
      </c>
    </row>
    <row r="172" spans="1:12" x14ac:dyDescent="0.35">
      <c r="A172">
        <v>1.1676944984941699E-2</v>
      </c>
      <c r="B172">
        <v>7.7077122555302396E-3</v>
      </c>
      <c r="C172">
        <v>2.44311343320835E-2</v>
      </c>
      <c r="D172">
        <v>2.17207841742009E-2</v>
      </c>
      <c r="E172" t="s">
        <v>1606</v>
      </c>
      <c r="F172" t="s">
        <v>1436</v>
      </c>
      <c r="G172">
        <v>99.897000000000006</v>
      </c>
      <c r="H172">
        <v>6.0526103770543998E-3</v>
      </c>
      <c r="I172">
        <v>100.417</v>
      </c>
      <c r="J172">
        <v>5.3865176864005297E-3</v>
      </c>
      <c r="K172" t="s">
        <v>1096</v>
      </c>
      <c r="L172" t="s">
        <v>926</v>
      </c>
    </row>
    <row r="173" spans="1:12" x14ac:dyDescent="0.35">
      <c r="A173">
        <v>2.2614716677978E-2</v>
      </c>
      <c r="B173">
        <v>4.9632662336496196E-3</v>
      </c>
      <c r="C173">
        <v>5.8918140200379103E-2</v>
      </c>
      <c r="D173">
        <v>7.9104688711333394E-3</v>
      </c>
      <c r="E173" t="s">
        <v>1607</v>
      </c>
      <c r="F173" t="s">
        <v>1436</v>
      </c>
      <c r="G173">
        <v>101.337</v>
      </c>
      <c r="H173">
        <v>1.4414847292711501E-2</v>
      </c>
      <c r="I173">
        <v>100.61499999999999</v>
      </c>
      <c r="J173">
        <v>1.9717776870449301E-3</v>
      </c>
      <c r="K173" t="s">
        <v>1097</v>
      </c>
      <c r="L173" t="s">
        <v>926</v>
      </c>
    </row>
    <row r="174" spans="1:12" x14ac:dyDescent="0.35">
      <c r="A174">
        <v>1.45079389824292E-2</v>
      </c>
      <c r="B174">
        <v>-1.9949826125076301E-4</v>
      </c>
      <c r="C174">
        <v>5.3376513955371498E-2</v>
      </c>
      <c r="D174">
        <v>1.6319173615011201E-2</v>
      </c>
      <c r="E174" t="s">
        <v>1608</v>
      </c>
      <c r="F174" t="s">
        <v>1436</v>
      </c>
      <c r="G174">
        <v>102.663</v>
      </c>
      <c r="H174">
        <v>1.3085052843482501E-2</v>
      </c>
      <c r="I174">
        <v>101.023</v>
      </c>
      <c r="J174">
        <v>4.05506137255873E-3</v>
      </c>
      <c r="K174" t="s">
        <v>1098</v>
      </c>
      <c r="L174" t="s">
        <v>926</v>
      </c>
    </row>
    <row r="175" spans="1:12" x14ac:dyDescent="0.35">
      <c r="A175">
        <v>2.8548469670495202E-3</v>
      </c>
      <c r="B175">
        <v>7.9245575399269404E-3</v>
      </c>
      <c r="C175">
        <v>2.14833879994034E-2</v>
      </c>
      <c r="D175">
        <v>2.0547855013869399E-2</v>
      </c>
      <c r="E175" t="s">
        <v>1609</v>
      </c>
      <c r="F175" t="s">
        <v>1436</v>
      </c>
      <c r="G175">
        <v>103.21</v>
      </c>
      <c r="H175">
        <v>5.3281123676494103E-3</v>
      </c>
      <c r="I175">
        <v>101.538</v>
      </c>
      <c r="J175">
        <v>5.0978490046820202E-3</v>
      </c>
      <c r="K175" t="s">
        <v>1099</v>
      </c>
      <c r="L175" t="s">
        <v>926</v>
      </c>
    </row>
    <row r="176" spans="1:12" x14ac:dyDescent="0.35">
      <c r="A176">
        <v>1.6326843500240801E-2</v>
      </c>
      <c r="B176">
        <v>1.3006397529373E-2</v>
      </c>
      <c r="C176">
        <v>3.4225885044726997E-2</v>
      </c>
      <c r="D176">
        <v>2.1723337040250802E-2</v>
      </c>
      <c r="E176" t="s">
        <v>1610</v>
      </c>
      <c r="F176" t="s">
        <v>1436</v>
      </c>
      <c r="G176">
        <v>104.08199999999999</v>
      </c>
      <c r="H176">
        <v>8.4487937215385108E-3</v>
      </c>
      <c r="I176">
        <v>102.08499999999999</v>
      </c>
      <c r="J176">
        <v>5.3871456991470001E-3</v>
      </c>
      <c r="K176" t="s">
        <v>1100</v>
      </c>
      <c r="L176" t="s">
        <v>926</v>
      </c>
    </row>
    <row r="177" spans="1:12" x14ac:dyDescent="0.35">
      <c r="A177">
        <v>1.6859105016114002E-2</v>
      </c>
      <c r="B177">
        <v>6.2259222369993199E-2</v>
      </c>
      <c r="C177">
        <v>2.1461497744286601E-2</v>
      </c>
      <c r="D177">
        <v>3.0554089712781E-2</v>
      </c>
      <c r="E177" t="s">
        <v>1611</v>
      </c>
      <c r="F177" t="s">
        <v>1436</v>
      </c>
      <c r="G177">
        <v>104.636</v>
      </c>
      <c r="H177">
        <v>5.3227263119464104E-3</v>
      </c>
      <c r="I177">
        <v>102.85599999999999</v>
      </c>
      <c r="J177">
        <v>7.55252975461618E-3</v>
      </c>
      <c r="K177" t="s">
        <v>1101</v>
      </c>
      <c r="L177" t="s">
        <v>926</v>
      </c>
    </row>
    <row r="178" spans="1:12" x14ac:dyDescent="0.35">
      <c r="A178">
        <v>1.93744928521071E-2</v>
      </c>
      <c r="B178">
        <v>-1.02831916231174E-2</v>
      </c>
      <c r="C178">
        <v>3.4027993671362999E-2</v>
      </c>
      <c r="D178">
        <v>2.27077607090642E-2</v>
      </c>
      <c r="E178" t="s">
        <v>1612</v>
      </c>
      <c r="F178" t="s">
        <v>1436</v>
      </c>
      <c r="G178">
        <v>105.515</v>
      </c>
      <c r="H178">
        <v>8.4005504797584098E-3</v>
      </c>
      <c r="I178">
        <v>103.435</v>
      </c>
      <c r="J178">
        <v>5.6292292136579398E-3</v>
      </c>
      <c r="K178" t="s">
        <v>1102</v>
      </c>
      <c r="L178" t="s">
        <v>926</v>
      </c>
    </row>
    <row r="179" spans="1:12" x14ac:dyDescent="0.35">
      <c r="A179">
        <v>2.0192934056340501E-2</v>
      </c>
      <c r="B179">
        <v>1.7798477087045E-2</v>
      </c>
      <c r="C179">
        <v>1.2683683496116101E-2</v>
      </c>
      <c r="D179">
        <v>1.8378329285591199E-2</v>
      </c>
      <c r="E179" t="s">
        <v>1613</v>
      </c>
      <c r="F179" t="s">
        <v>1436</v>
      </c>
      <c r="G179">
        <v>105.848</v>
      </c>
      <c r="H179">
        <v>3.1559493910817702E-3</v>
      </c>
      <c r="I179">
        <v>103.907</v>
      </c>
      <c r="J179">
        <v>4.5632522840430801E-3</v>
      </c>
      <c r="K179" t="s">
        <v>1103</v>
      </c>
      <c r="L179" t="s">
        <v>926</v>
      </c>
    </row>
    <row r="180" spans="1:12" x14ac:dyDescent="0.35">
      <c r="A180">
        <v>1.13601398604235E-2</v>
      </c>
      <c r="B180">
        <v>1.8827452214838801E-2</v>
      </c>
      <c r="C180">
        <v>2.3098181930942801E-2</v>
      </c>
      <c r="D180">
        <v>1.94654703730235E-2</v>
      </c>
      <c r="E180" t="s">
        <v>1614</v>
      </c>
      <c r="F180" t="s">
        <v>1436</v>
      </c>
      <c r="G180">
        <v>106.45399999999999</v>
      </c>
      <c r="H180">
        <v>5.7251908396946903E-3</v>
      </c>
      <c r="I180">
        <v>104.40900000000001</v>
      </c>
      <c r="J180">
        <v>4.8312433233566E-3</v>
      </c>
      <c r="K180" t="s">
        <v>1104</v>
      </c>
      <c r="L180" t="s">
        <v>926</v>
      </c>
    </row>
    <row r="181" spans="1:12" x14ac:dyDescent="0.35">
      <c r="A181">
        <v>-4.6048768205230201E-3</v>
      </c>
      <c r="B181">
        <v>5.3720415632923001E-3</v>
      </c>
      <c r="C181">
        <v>-3.1150724387948299E-3</v>
      </c>
      <c r="D181">
        <v>7.0678568534106E-3</v>
      </c>
      <c r="E181" t="s">
        <v>1615</v>
      </c>
      <c r="F181" t="s">
        <v>1436</v>
      </c>
      <c r="G181">
        <v>106.371</v>
      </c>
      <c r="H181">
        <v>-7.7967948597512703E-4</v>
      </c>
      <c r="I181">
        <v>104.593</v>
      </c>
      <c r="J181">
        <v>1.76230018484991E-3</v>
      </c>
      <c r="K181" t="s">
        <v>1105</v>
      </c>
      <c r="L181" t="s">
        <v>926</v>
      </c>
    </row>
    <row r="182" spans="1:12" x14ac:dyDescent="0.35">
      <c r="A182">
        <v>-1.65067373701384E-2</v>
      </c>
      <c r="B182">
        <v>-6.4248737444822001E-3</v>
      </c>
      <c r="C182">
        <v>-3.9305105462135198E-2</v>
      </c>
      <c r="D182">
        <v>-1.18502082280647E-3</v>
      </c>
      <c r="E182" t="s">
        <v>1616</v>
      </c>
      <c r="F182" t="s">
        <v>1436</v>
      </c>
      <c r="G182">
        <v>105.31</v>
      </c>
      <c r="H182">
        <v>-9.9745231313045392E-3</v>
      </c>
      <c r="I182">
        <v>104.562</v>
      </c>
      <c r="J182">
        <v>-2.9638694750133698E-4</v>
      </c>
      <c r="K182" t="s">
        <v>1106</v>
      </c>
      <c r="L182" t="s">
        <v>926</v>
      </c>
    </row>
    <row r="183" spans="1:12" x14ac:dyDescent="0.35">
      <c r="A183">
        <v>1.9548766403745001E-2</v>
      </c>
      <c r="B183">
        <v>7.87290366046434E-3</v>
      </c>
      <c r="C183">
        <v>2.82887807392058E-2</v>
      </c>
      <c r="D183">
        <v>1.76749178700988E-2</v>
      </c>
      <c r="E183" t="s">
        <v>1617</v>
      </c>
      <c r="F183" t="s">
        <v>1436</v>
      </c>
      <c r="G183">
        <v>106.047</v>
      </c>
      <c r="H183">
        <v>6.9983857183553199E-3</v>
      </c>
      <c r="I183">
        <v>105.021</v>
      </c>
      <c r="J183">
        <v>4.3897400585299904E-3</v>
      </c>
      <c r="K183" t="s">
        <v>1107</v>
      </c>
      <c r="L183" t="s">
        <v>926</v>
      </c>
    </row>
    <row r="184" spans="1:12" x14ac:dyDescent="0.35">
      <c r="A184">
        <v>9.6917092109320997E-3</v>
      </c>
      <c r="B184">
        <v>6.1419866574232698E-3</v>
      </c>
      <c r="C184">
        <v>2.4162101667697402E-3</v>
      </c>
      <c r="D184">
        <v>1.1398511762960899E-2</v>
      </c>
      <c r="E184" t="s">
        <v>1618</v>
      </c>
      <c r="F184" t="s">
        <v>1436</v>
      </c>
      <c r="G184">
        <v>106.111</v>
      </c>
      <c r="H184">
        <v>6.0350599262592997E-4</v>
      </c>
      <c r="I184">
        <v>105.319</v>
      </c>
      <c r="J184">
        <v>2.8375277325487498E-3</v>
      </c>
      <c r="K184" t="s">
        <v>1108</v>
      </c>
      <c r="L184" t="s">
        <v>926</v>
      </c>
    </row>
    <row r="185" spans="1:12" x14ac:dyDescent="0.35">
      <c r="A185">
        <v>-3.9403871252573497E-3</v>
      </c>
      <c r="B185">
        <v>-3.1716537268759999E-3</v>
      </c>
      <c r="C185">
        <v>-1.5664221695060501E-2</v>
      </c>
      <c r="D185">
        <v>-2.2010123911118101E-3</v>
      </c>
      <c r="E185" t="s">
        <v>1619</v>
      </c>
      <c r="F185" t="s">
        <v>1436</v>
      </c>
      <c r="G185">
        <v>105.693</v>
      </c>
      <c r="H185">
        <v>-3.9392711405981098E-3</v>
      </c>
      <c r="I185">
        <v>105.261</v>
      </c>
      <c r="J185">
        <v>-5.5070784948596497E-4</v>
      </c>
      <c r="K185" t="s">
        <v>1109</v>
      </c>
      <c r="L185" t="s">
        <v>926</v>
      </c>
    </row>
    <row r="186" spans="1:12" x14ac:dyDescent="0.35">
      <c r="A186">
        <v>2.1316685833889801E-3</v>
      </c>
      <c r="B186">
        <v>-9.9615046560082004E-3</v>
      </c>
      <c r="C186">
        <v>-3.3665208430493802E-2</v>
      </c>
      <c r="D186">
        <v>-9.6550430027560995E-3</v>
      </c>
      <c r="E186" t="s">
        <v>1620</v>
      </c>
      <c r="F186" t="s">
        <v>1436</v>
      </c>
      <c r="G186">
        <v>104.792</v>
      </c>
      <c r="H186">
        <v>-8.5246894307096106E-3</v>
      </c>
      <c r="I186">
        <v>105.006</v>
      </c>
      <c r="J186">
        <v>-2.4225496622680702E-3</v>
      </c>
      <c r="K186" t="s">
        <v>1110</v>
      </c>
      <c r="L186" t="s">
        <v>926</v>
      </c>
    </row>
    <row r="187" spans="1:12" x14ac:dyDescent="0.35">
      <c r="A187">
        <v>2.5357857709627601E-2</v>
      </c>
      <c r="B187">
        <v>2.1698746196001199E-2</v>
      </c>
      <c r="C187">
        <v>3.0770998377488399E-2</v>
      </c>
      <c r="D187">
        <v>3.3008554152673703E-2</v>
      </c>
      <c r="E187" t="s">
        <v>1621</v>
      </c>
      <c r="F187" t="s">
        <v>1436</v>
      </c>
      <c r="G187">
        <v>105.589</v>
      </c>
      <c r="H187">
        <v>7.6055424078174099E-3</v>
      </c>
      <c r="I187">
        <v>105.86199999999999</v>
      </c>
      <c r="J187">
        <v>8.1519151286593202E-3</v>
      </c>
      <c r="K187" t="s">
        <v>1111</v>
      </c>
      <c r="L187" t="s">
        <v>926</v>
      </c>
    </row>
    <row r="188" spans="1:12" x14ac:dyDescent="0.35">
      <c r="A188">
        <v>1.5085753101185199E-2</v>
      </c>
      <c r="B188">
        <v>1.5625918949128799E-2</v>
      </c>
      <c r="C188">
        <v>1.5469326265677499E-2</v>
      </c>
      <c r="D188">
        <v>3.0262315011426702E-3</v>
      </c>
      <c r="E188" t="s">
        <v>1622</v>
      </c>
      <c r="F188" t="s">
        <v>1436</v>
      </c>
      <c r="G188">
        <v>105.995</v>
      </c>
      <c r="H188">
        <v>3.8450975006867299E-3</v>
      </c>
      <c r="I188">
        <v>105.94199999999999</v>
      </c>
      <c r="J188">
        <v>7.5570081804610101E-4</v>
      </c>
      <c r="K188" t="s">
        <v>1112</v>
      </c>
      <c r="L188" t="s">
        <v>926</v>
      </c>
    </row>
    <row r="189" spans="1:12" x14ac:dyDescent="0.35">
      <c r="A189">
        <v>1.9065277405527499E-2</v>
      </c>
      <c r="B189">
        <v>1.9426037707255001E-2</v>
      </c>
      <c r="C189">
        <v>1.98067429774604E-2</v>
      </c>
      <c r="D189">
        <v>1.9471921944120799E-2</v>
      </c>
      <c r="E189" t="s">
        <v>1623</v>
      </c>
      <c r="F189" t="s">
        <v>1436</v>
      </c>
      <c r="G189">
        <v>106.51600000000001</v>
      </c>
      <c r="H189">
        <v>4.9153261946317502E-3</v>
      </c>
      <c r="I189">
        <v>106.45399999999999</v>
      </c>
      <c r="J189">
        <v>4.8328330595985803E-3</v>
      </c>
      <c r="K189" t="s">
        <v>1113</v>
      </c>
      <c r="L189" t="s">
        <v>926</v>
      </c>
    </row>
    <row r="190" spans="1:12" x14ac:dyDescent="0.35">
      <c r="A190">
        <v>2.3896314746341098E-2</v>
      </c>
      <c r="B190">
        <v>1.9409885132803301E-2</v>
      </c>
      <c r="C190">
        <v>3.9514900887574103E-2</v>
      </c>
      <c r="D190">
        <v>2.7099611156277601E-2</v>
      </c>
      <c r="E190" t="s">
        <v>1624</v>
      </c>
      <c r="F190" t="s">
        <v>1436</v>
      </c>
      <c r="G190">
        <v>107.53400000000001</v>
      </c>
      <c r="H190">
        <v>9.5572496150813108E-3</v>
      </c>
      <c r="I190">
        <v>107.188</v>
      </c>
      <c r="J190">
        <v>6.8949969000695601E-3</v>
      </c>
      <c r="K190" t="s">
        <v>1114</v>
      </c>
      <c r="L190" t="s">
        <v>926</v>
      </c>
    </row>
    <row r="191" spans="1:12" x14ac:dyDescent="0.35">
      <c r="A191">
        <v>9.9328007831764892E-3</v>
      </c>
      <c r="B191">
        <v>1.3103273651826199E-2</v>
      </c>
      <c r="C191">
        <v>9.0306358829268501E-3</v>
      </c>
      <c r="D191">
        <v>2.1521193573355E-2</v>
      </c>
      <c r="E191" t="s">
        <v>1625</v>
      </c>
      <c r="F191" t="s">
        <v>1436</v>
      </c>
      <c r="G191">
        <v>107.80200000000001</v>
      </c>
      <c r="H191">
        <v>2.49223501404217E-3</v>
      </c>
      <c r="I191">
        <v>107.712</v>
      </c>
      <c r="J191">
        <v>4.8886069336120403E-3</v>
      </c>
      <c r="K191" t="s">
        <v>1115</v>
      </c>
      <c r="L191" t="s">
        <v>926</v>
      </c>
    </row>
    <row r="192" spans="1:12" x14ac:dyDescent="0.35">
      <c r="A192">
        <v>1.4603017582518699E-2</v>
      </c>
      <c r="B192">
        <v>1.7788818797953999E-2</v>
      </c>
      <c r="C192">
        <v>3.6635495652026999E-2</v>
      </c>
      <c r="D192">
        <v>3.6311211479282998E-2</v>
      </c>
      <c r="E192" t="s">
        <v>1626</v>
      </c>
      <c r="F192" t="s">
        <v>1436</v>
      </c>
      <c r="G192">
        <v>108.785</v>
      </c>
      <c r="H192">
        <v>9.1185692287711895E-3</v>
      </c>
      <c r="I192">
        <v>108.676</v>
      </c>
      <c r="J192">
        <v>8.94979203802726E-3</v>
      </c>
      <c r="K192" t="s">
        <v>1116</v>
      </c>
      <c r="L192" t="s">
        <v>926</v>
      </c>
    </row>
    <row r="193" spans="1:12" x14ac:dyDescent="0.35">
      <c r="A193">
        <v>2.5719713356744601E-2</v>
      </c>
      <c r="B193">
        <v>2.90667642529692E-2</v>
      </c>
      <c r="C193">
        <v>5.7042627848445E-2</v>
      </c>
      <c r="D193">
        <v>2.3197124388088401E-2</v>
      </c>
      <c r="E193" t="s">
        <v>1627</v>
      </c>
      <c r="F193" t="s">
        <v>1436</v>
      </c>
      <c r="G193">
        <v>110.252</v>
      </c>
      <c r="H193">
        <v>1.3485315071011699E-2</v>
      </c>
      <c r="I193">
        <v>109.285</v>
      </c>
      <c r="J193">
        <v>5.6038131694209304E-3</v>
      </c>
      <c r="K193" t="s">
        <v>1117</v>
      </c>
      <c r="L193" t="s">
        <v>926</v>
      </c>
    </row>
    <row r="194" spans="1:12" x14ac:dyDescent="0.35">
      <c r="A194">
        <v>2.9147369447939799E-2</v>
      </c>
      <c r="B194">
        <v>4.11537159385129E-2</v>
      </c>
      <c r="C194">
        <v>5.2316315130779299E-2</v>
      </c>
      <c r="D194">
        <v>3.8107075575473298E-2</v>
      </c>
      <c r="E194" t="s">
        <v>1628</v>
      </c>
      <c r="F194" t="s">
        <v>1436</v>
      </c>
      <c r="G194">
        <v>111.627</v>
      </c>
      <c r="H194">
        <v>1.24714290897217E-2</v>
      </c>
      <c r="I194">
        <v>110.291</v>
      </c>
      <c r="J194">
        <v>9.2052889234570702E-3</v>
      </c>
      <c r="K194" t="s">
        <v>1118</v>
      </c>
      <c r="L194" t="s">
        <v>926</v>
      </c>
    </row>
    <row r="195" spans="1:12" x14ac:dyDescent="0.35">
      <c r="A195">
        <v>2.1663179127611398E-2</v>
      </c>
      <c r="B195">
        <v>2.95524402709311E-2</v>
      </c>
      <c r="C195">
        <v>4.1414814571916599E-2</v>
      </c>
      <c r="D195">
        <v>5.71493007542314E-2</v>
      </c>
      <c r="E195" t="s">
        <v>1629</v>
      </c>
      <c r="F195" t="s">
        <v>1436</v>
      </c>
      <c r="G195">
        <v>112.81100000000001</v>
      </c>
      <c r="H195">
        <v>1.06067528465337E-2</v>
      </c>
      <c r="I195">
        <v>111.736</v>
      </c>
      <c r="J195">
        <v>1.3101703674824E-2</v>
      </c>
      <c r="K195" t="s">
        <v>1119</v>
      </c>
      <c r="L195" t="s">
        <v>926</v>
      </c>
    </row>
    <row r="196" spans="1:12" x14ac:dyDescent="0.35">
      <c r="A196">
        <v>1.4350946991545E-2</v>
      </c>
      <c r="B196">
        <v>2.3387558006987101E-2</v>
      </c>
      <c r="C196">
        <v>3.8836746328921902E-2</v>
      </c>
      <c r="D196">
        <v>2.9745006586506799E-2</v>
      </c>
      <c r="E196" t="s">
        <v>1630</v>
      </c>
      <c r="F196" t="s">
        <v>1436</v>
      </c>
      <c r="G196">
        <v>113.875</v>
      </c>
      <c r="H196">
        <v>9.4317043550717905E-3</v>
      </c>
      <c r="I196">
        <v>112.542</v>
      </c>
      <c r="J196">
        <v>7.2134316603422698E-3</v>
      </c>
      <c r="K196" t="s">
        <v>1120</v>
      </c>
      <c r="L196" t="s">
        <v>926</v>
      </c>
    </row>
    <row r="197" spans="1:12" x14ac:dyDescent="0.35">
      <c r="A197">
        <v>1.51565091171486E-2</v>
      </c>
      <c r="B197">
        <v>2.9652502701153601E-2</v>
      </c>
      <c r="C197">
        <v>1.6036274889288799E-2</v>
      </c>
      <c r="D197">
        <v>4.1912016313216102E-2</v>
      </c>
      <c r="E197" t="s">
        <v>1631</v>
      </c>
      <c r="F197" t="s">
        <v>1436</v>
      </c>
      <c r="G197">
        <v>114.43899999999999</v>
      </c>
      <c r="H197">
        <v>4.9527991218440998E-3</v>
      </c>
      <c r="I197">
        <v>113.715</v>
      </c>
      <c r="J197">
        <v>1.0422775497147801E-2</v>
      </c>
      <c r="K197" t="s">
        <v>1121</v>
      </c>
      <c r="L197" t="s">
        <v>926</v>
      </c>
    </row>
    <row r="198" spans="1:12" x14ac:dyDescent="0.35">
      <c r="A198">
        <v>8.3593342288621492E-3</v>
      </c>
      <c r="B198">
        <v>4.3357912415273203E-2</v>
      </c>
      <c r="C198">
        <v>-1.6750426853228501E-2</v>
      </c>
      <c r="D198">
        <v>1.5721372171975601E-2</v>
      </c>
      <c r="E198" t="s">
        <v>1632</v>
      </c>
      <c r="F198" t="s">
        <v>1436</v>
      </c>
      <c r="G198">
        <v>113.98</v>
      </c>
      <c r="H198">
        <v>-4.0108704200489996E-3</v>
      </c>
      <c r="I198">
        <v>114.175</v>
      </c>
      <c r="J198">
        <v>4.0452007211009304E-3</v>
      </c>
      <c r="K198" t="s">
        <v>1122</v>
      </c>
      <c r="L198" t="s">
        <v>926</v>
      </c>
    </row>
    <row r="199" spans="1:12" x14ac:dyDescent="0.35">
      <c r="A199">
        <v>2.4734353401226102E-2</v>
      </c>
      <c r="B199">
        <v>-2.6343933972632301E-2</v>
      </c>
      <c r="C199">
        <v>2.5813818283005E-2</v>
      </c>
      <c r="D199">
        <v>4.8037769815769002E-2</v>
      </c>
      <c r="E199" t="s">
        <v>1633</v>
      </c>
      <c r="F199" t="s">
        <v>1436</v>
      </c>
      <c r="G199">
        <v>114.758</v>
      </c>
      <c r="H199">
        <v>6.8257589050710896E-3</v>
      </c>
      <c r="I199">
        <v>115.41800000000001</v>
      </c>
      <c r="J199">
        <v>1.0886796584191E-2</v>
      </c>
      <c r="K199" t="s">
        <v>1123</v>
      </c>
      <c r="L199" t="s">
        <v>926</v>
      </c>
    </row>
    <row r="200" spans="1:12" x14ac:dyDescent="0.35">
      <c r="A200">
        <v>1.0490970472330399E-2</v>
      </c>
      <c r="B200">
        <v>1.0018821110834301E-2</v>
      </c>
      <c r="C200">
        <v>8.6124156242581903E-3</v>
      </c>
      <c r="D200">
        <v>1.9083730667159401E-2</v>
      </c>
      <c r="E200" t="s">
        <v>1634</v>
      </c>
      <c r="F200" t="s">
        <v>1436</v>
      </c>
      <c r="G200">
        <v>114.919</v>
      </c>
      <c r="H200">
        <v>1.40295229962173E-3</v>
      </c>
      <c r="I200">
        <v>115.982</v>
      </c>
      <c r="J200">
        <v>4.8865861477411796E-3</v>
      </c>
      <c r="K200" t="s">
        <v>1124</v>
      </c>
      <c r="L200" t="s">
        <v>926</v>
      </c>
    </row>
    <row r="201" spans="1:12" x14ac:dyDescent="0.35">
      <c r="A201">
        <v>1.45690487077856E-2</v>
      </c>
      <c r="B201">
        <v>1.6245763277308499E-2</v>
      </c>
      <c r="C201">
        <v>1.6996215944869601E-2</v>
      </c>
      <c r="D201">
        <v>5.8979339636946503E-3</v>
      </c>
      <c r="E201" t="s">
        <v>1635</v>
      </c>
      <c r="F201" t="s">
        <v>1436</v>
      </c>
      <c r="G201">
        <v>115.285</v>
      </c>
      <c r="H201">
        <v>3.1848519391919298E-3</v>
      </c>
      <c r="I201">
        <v>116.167</v>
      </c>
      <c r="J201">
        <v>1.59507509785994E-3</v>
      </c>
      <c r="K201" t="s">
        <v>1125</v>
      </c>
      <c r="L201" t="s">
        <v>926</v>
      </c>
    </row>
    <row r="202" spans="1:12" x14ac:dyDescent="0.35">
      <c r="A202">
        <v>1.46624987744557E-2</v>
      </c>
      <c r="B202">
        <v>1.3591255249432201E-2</v>
      </c>
      <c r="C202">
        <v>5.0660572456327199E-2</v>
      </c>
      <c r="D202">
        <v>1.0418465412080901E-2</v>
      </c>
      <c r="E202" t="s">
        <v>1636</v>
      </c>
      <c r="F202" t="s">
        <v>1436</v>
      </c>
      <c r="G202">
        <v>116.54600000000001</v>
      </c>
      <c r="H202">
        <v>1.09381099015484E-2</v>
      </c>
      <c r="I202">
        <v>116.5</v>
      </c>
      <c r="J202">
        <v>2.86656279322006E-3</v>
      </c>
      <c r="K202" t="s">
        <v>1126</v>
      </c>
      <c r="L202" t="s">
        <v>926</v>
      </c>
    </row>
    <row r="203" spans="1:12" x14ac:dyDescent="0.35">
      <c r="A203">
        <v>-1.7940859457881899E-2</v>
      </c>
      <c r="B203">
        <v>3.31045118831508E-3</v>
      </c>
      <c r="C203">
        <v>-1.06133933402519E-3</v>
      </c>
      <c r="D203">
        <v>-7.65559802497651E-3</v>
      </c>
      <c r="E203" t="s">
        <v>1637</v>
      </c>
      <c r="F203" t="s">
        <v>1436</v>
      </c>
      <c r="G203">
        <v>116.072</v>
      </c>
      <c r="H203">
        <v>-4.0670636486881398E-3</v>
      </c>
      <c r="I203">
        <v>116.19499999999999</v>
      </c>
      <c r="J203">
        <v>-2.61802575107306E-3</v>
      </c>
      <c r="K203" t="s">
        <v>1127</v>
      </c>
      <c r="L203" t="s">
        <v>926</v>
      </c>
    </row>
    <row r="204" spans="1:12" x14ac:dyDescent="0.35">
      <c r="A204">
        <v>3.3775526155126898E-2</v>
      </c>
      <c r="B204">
        <v>2.5959727144998501E-2</v>
      </c>
      <c r="C204">
        <v>3.4596703938155803E-2</v>
      </c>
      <c r="D204">
        <v>4.1355015452944698E-2</v>
      </c>
      <c r="E204" t="s">
        <v>1638</v>
      </c>
      <c r="F204" t="s">
        <v>1436</v>
      </c>
      <c r="G204">
        <v>116.51900000000001</v>
      </c>
      <c r="H204">
        <v>3.8510579640223001E-3</v>
      </c>
      <c r="I204">
        <v>117.285</v>
      </c>
      <c r="J204">
        <v>9.3807823056069103E-3</v>
      </c>
      <c r="K204" t="s">
        <v>1128</v>
      </c>
      <c r="L204" t="s">
        <v>926</v>
      </c>
    </row>
    <row r="205" spans="1:12" x14ac:dyDescent="0.35">
      <c r="A205">
        <v>1.6442937470855502E-2</v>
      </c>
      <c r="B205">
        <v>2.4447407360365301E-2</v>
      </c>
      <c r="C205">
        <v>5.1547958936444697E-2</v>
      </c>
      <c r="D205">
        <v>1.8415186976738801E-2</v>
      </c>
      <c r="E205" t="s">
        <v>1639</v>
      </c>
      <c r="F205" t="s">
        <v>1436</v>
      </c>
      <c r="G205">
        <v>117.593</v>
      </c>
      <c r="H205">
        <v>9.2173808563409398E-3</v>
      </c>
      <c r="I205">
        <v>117.706</v>
      </c>
      <c r="J205">
        <v>3.5895468303705999E-3</v>
      </c>
      <c r="K205" t="s">
        <v>1129</v>
      </c>
      <c r="L205" t="s">
        <v>926</v>
      </c>
    </row>
    <row r="206" spans="1:12" x14ac:dyDescent="0.35">
      <c r="A206">
        <v>4.5025943450948999E-2</v>
      </c>
      <c r="B206">
        <v>4.0827649049089101E-2</v>
      </c>
      <c r="C206">
        <v>9.2834286401326696E-2</v>
      </c>
      <c r="D206">
        <v>6.4160755006020101E-2</v>
      </c>
      <c r="E206" t="s">
        <v>1640</v>
      </c>
      <c r="F206" t="s">
        <v>1436</v>
      </c>
      <c r="G206">
        <v>119.419</v>
      </c>
      <c r="H206">
        <v>1.5528135178114201E-2</v>
      </c>
      <c r="I206">
        <v>119.416</v>
      </c>
      <c r="J206">
        <v>1.45277216114725E-2</v>
      </c>
      <c r="K206" t="s">
        <v>1130</v>
      </c>
      <c r="L206" t="s">
        <v>926</v>
      </c>
    </row>
    <row r="207" spans="1:12" x14ac:dyDescent="0.35">
      <c r="A207">
        <v>6.4441802743663304E-2</v>
      </c>
      <c r="B207">
        <v>4.1247362410053098E-2</v>
      </c>
      <c r="C207">
        <v>8.0575514620662397E-2</v>
      </c>
      <c r="D207">
        <v>0.104589902157439</v>
      </c>
      <c r="E207" t="s">
        <v>1641</v>
      </c>
      <c r="F207" t="s">
        <v>1436</v>
      </c>
      <c r="G207">
        <v>121.425</v>
      </c>
      <c r="H207">
        <v>1.6797996968656699E-2</v>
      </c>
      <c r="I207">
        <v>122.101</v>
      </c>
      <c r="J207">
        <v>2.24844241977624E-2</v>
      </c>
      <c r="K207" t="s">
        <v>1131</v>
      </c>
      <c r="L207" t="s">
        <v>926</v>
      </c>
    </row>
    <row r="208" spans="1:12" x14ac:dyDescent="0.35">
      <c r="A208">
        <v>5.5998846943190198E-2</v>
      </c>
      <c r="B208">
        <v>4.40178580952795E-2</v>
      </c>
      <c r="C208">
        <v>6.4680375979367696E-2</v>
      </c>
      <c r="D208">
        <v>9.3631239224950299E-2</v>
      </c>
      <c r="E208" t="s">
        <v>1642</v>
      </c>
      <c r="F208" t="s">
        <v>1436</v>
      </c>
      <c r="G208">
        <v>123.291</v>
      </c>
      <c r="H208">
        <v>1.53675108091413E-2</v>
      </c>
      <c r="I208">
        <v>124.71</v>
      </c>
      <c r="J208">
        <v>2.13675563672697E-2</v>
      </c>
      <c r="K208" t="s">
        <v>1132</v>
      </c>
      <c r="L208" t="s">
        <v>926</v>
      </c>
    </row>
    <row r="209" spans="1:12" x14ac:dyDescent="0.35">
      <c r="A209">
        <v>6.1859650545573498E-2</v>
      </c>
      <c r="B209">
        <v>4.34322998250962E-2</v>
      </c>
      <c r="C209">
        <v>8.4136934840178798E-2</v>
      </c>
      <c r="D209">
        <v>0.12124821634027599</v>
      </c>
      <c r="E209" t="s">
        <v>1643</v>
      </c>
      <c r="F209" t="s">
        <v>1436</v>
      </c>
      <c r="G209">
        <v>125.712</v>
      </c>
      <c r="H209">
        <v>1.96364698153151E-2</v>
      </c>
      <c r="I209">
        <v>128.44900000000001</v>
      </c>
      <c r="J209">
        <v>2.9981557212733798E-2</v>
      </c>
      <c r="K209" t="s">
        <v>1133</v>
      </c>
      <c r="L209" t="s">
        <v>926</v>
      </c>
    </row>
    <row r="210" spans="1:12" x14ac:dyDescent="0.35">
      <c r="A210">
        <v>7.4784916271317198E-2</v>
      </c>
      <c r="B210">
        <v>5.6798579453040801E-2</v>
      </c>
      <c r="C210">
        <v>0.10120576467409099</v>
      </c>
      <c r="D210">
        <v>0.12687792670398401</v>
      </c>
      <c r="E210" t="s">
        <v>1644</v>
      </c>
      <c r="F210" t="s">
        <v>1436</v>
      </c>
      <c r="G210">
        <v>129</v>
      </c>
      <c r="H210">
        <v>2.6155021000381799E-2</v>
      </c>
      <c r="I210">
        <v>132.33099999999999</v>
      </c>
      <c r="J210">
        <v>3.0222111499505398E-2</v>
      </c>
      <c r="K210" t="s">
        <v>1134</v>
      </c>
      <c r="L210" t="s">
        <v>926</v>
      </c>
    </row>
    <row r="211" spans="1:12" x14ac:dyDescent="0.35">
      <c r="A211">
        <v>7.2922192171477093E-2</v>
      </c>
      <c r="B211">
        <v>5.9959109255099501E-2</v>
      </c>
      <c r="C211">
        <v>0.15221841372862299</v>
      </c>
      <c r="D211">
        <v>0.13796693794697101</v>
      </c>
      <c r="E211" t="s">
        <v>1645</v>
      </c>
      <c r="F211" t="s">
        <v>1436</v>
      </c>
      <c r="G211">
        <v>133.62100000000001</v>
      </c>
      <c r="H211">
        <v>3.5821705426356799E-2</v>
      </c>
      <c r="I211">
        <v>136.69900000000001</v>
      </c>
      <c r="J211">
        <v>3.3008138682546297E-2</v>
      </c>
      <c r="K211" t="s">
        <v>1135</v>
      </c>
      <c r="L211" t="s">
        <v>926</v>
      </c>
    </row>
    <row r="212" spans="1:12" x14ac:dyDescent="0.35">
      <c r="A212">
        <v>4.1796200977757901E-2</v>
      </c>
      <c r="B212">
        <v>4.8377032065661102E-2</v>
      </c>
      <c r="C212">
        <v>8.9811228034972802E-3</v>
      </c>
      <c r="D212">
        <v>8.9581033951388098E-2</v>
      </c>
      <c r="E212" t="s">
        <v>1646</v>
      </c>
      <c r="F212" t="s">
        <v>1436</v>
      </c>
      <c r="H212">
        <v>1.10762503071244E-2</v>
      </c>
      <c r="J212">
        <v>1.10762503071244E-2</v>
      </c>
      <c r="K212" t="s">
        <v>1136</v>
      </c>
      <c r="L212" t="s">
        <v>1137</v>
      </c>
    </row>
    <row r="213" spans="1:12" x14ac:dyDescent="0.35">
      <c r="A213">
        <v>2.7447616796656402E-2</v>
      </c>
      <c r="B213">
        <v>2.3249618404576101E-2</v>
      </c>
      <c r="C213">
        <v>3.8298767461848897E-2</v>
      </c>
      <c r="D213">
        <v>3.8298767461848897E-2</v>
      </c>
      <c r="E213" t="s">
        <v>1647</v>
      </c>
      <c r="F213" t="s">
        <v>1648</v>
      </c>
      <c r="H213">
        <v>9.4401732935755992E-3</v>
      </c>
      <c r="J213">
        <v>9.4401732935755992E-3</v>
      </c>
      <c r="K213" t="s">
        <v>1138</v>
      </c>
      <c r="L213" t="s">
        <v>1137</v>
      </c>
    </row>
    <row r="214" spans="1:12" x14ac:dyDescent="0.35">
      <c r="A214">
        <v>2.49173870638888E-2</v>
      </c>
      <c r="B214">
        <v>2.1715756912072299E-2</v>
      </c>
      <c r="C214">
        <v>3.6085750781477598E-2</v>
      </c>
      <c r="D214">
        <v>3.6085750781477598E-2</v>
      </c>
      <c r="E214" t="s">
        <v>1649</v>
      </c>
      <c r="F214" t="s">
        <v>1648</v>
      </c>
      <c r="H214">
        <v>8.9018658885664497E-3</v>
      </c>
      <c r="J214">
        <v>8.9018658885664497E-3</v>
      </c>
      <c r="K214" t="s">
        <v>1139</v>
      </c>
      <c r="L214" t="s">
        <v>1137</v>
      </c>
    </row>
    <row r="215" spans="1:12" x14ac:dyDescent="0.35">
      <c r="A215">
        <v>2.33440010578361E-2</v>
      </c>
      <c r="B215">
        <v>2.1485909848918801E-2</v>
      </c>
      <c r="C215">
        <v>3.2005284910624002E-2</v>
      </c>
      <c r="D215">
        <v>3.2005284910624002E-2</v>
      </c>
      <c r="E215" t="s">
        <v>1650</v>
      </c>
      <c r="F215" t="s">
        <v>1648</v>
      </c>
      <c r="H215">
        <v>7.9070438771131606E-3</v>
      </c>
      <c r="J215">
        <v>7.9070438771131606E-3</v>
      </c>
      <c r="K215" t="s">
        <v>1140</v>
      </c>
      <c r="L215" t="s">
        <v>1137</v>
      </c>
    </row>
    <row r="216" spans="1:12" x14ac:dyDescent="0.35">
      <c r="A216">
        <v>2.2676579457354702E-2</v>
      </c>
      <c r="B216">
        <v>2.1729771469873E-2</v>
      </c>
      <c r="C216">
        <v>2.9538555790939999E-2</v>
      </c>
      <c r="D216">
        <v>2.9538555790939999E-2</v>
      </c>
      <c r="E216" t="s">
        <v>1651</v>
      </c>
      <c r="F216" t="s">
        <v>1648</v>
      </c>
      <c r="H216">
        <v>7.3042210756391101E-3</v>
      </c>
      <c r="J216">
        <v>7.3042210756391101E-3</v>
      </c>
      <c r="K216" t="s">
        <v>1141</v>
      </c>
      <c r="L216" t="s">
        <v>1137</v>
      </c>
    </row>
    <row r="217" spans="1:12" x14ac:dyDescent="0.35">
      <c r="A217">
        <v>2.2178287431426899E-2</v>
      </c>
      <c r="B217">
        <v>2.22727407121028E-2</v>
      </c>
      <c r="C217">
        <v>2.8512142036472E-2</v>
      </c>
      <c r="D217">
        <v>2.8512142036472E-2</v>
      </c>
      <c r="E217" t="s">
        <v>1652</v>
      </c>
      <c r="F217" t="s">
        <v>1648</v>
      </c>
      <c r="H217">
        <v>7.0530654325617901E-3</v>
      </c>
      <c r="J217">
        <v>7.0530654325617901E-3</v>
      </c>
      <c r="K217" t="s">
        <v>1142</v>
      </c>
      <c r="L217" t="s">
        <v>1137</v>
      </c>
    </row>
    <row r="218" spans="1:12" x14ac:dyDescent="0.35">
      <c r="A218">
        <v>2.1434276652948898E-2</v>
      </c>
      <c r="B218">
        <v>2.23623952750127E-2</v>
      </c>
      <c r="C218">
        <v>2.8283584176253401E-2</v>
      </c>
      <c r="D218">
        <v>2.8283584176253401E-2</v>
      </c>
      <c r="E218" t="s">
        <v>1653</v>
      </c>
      <c r="F218" t="s">
        <v>1648</v>
      </c>
      <c r="H218">
        <v>6.9971134735056202E-3</v>
      </c>
      <c r="J218">
        <v>6.9971134735056202E-3</v>
      </c>
      <c r="K218" t="s">
        <v>1143</v>
      </c>
      <c r="L218" t="s">
        <v>1137</v>
      </c>
    </row>
    <row r="219" spans="1:12" x14ac:dyDescent="0.35">
      <c r="A219">
        <v>2.10072065089228E-2</v>
      </c>
      <c r="B219">
        <v>2.2496789219665199E-2</v>
      </c>
      <c r="C219">
        <v>2.7654852328046001E-2</v>
      </c>
      <c r="D219">
        <v>2.7654852328046001E-2</v>
      </c>
      <c r="E219" t="s">
        <v>1654</v>
      </c>
      <c r="F219" t="s">
        <v>1648</v>
      </c>
      <c r="H219">
        <v>6.8431490448084302E-3</v>
      </c>
      <c r="J219">
        <v>6.8431490448084302E-3</v>
      </c>
      <c r="K219" t="s">
        <v>1144</v>
      </c>
      <c r="L219" t="s">
        <v>1137</v>
      </c>
    </row>
    <row r="220" spans="1:12" x14ac:dyDescent="0.35">
      <c r="A220">
        <v>2.0591622707038602E-2</v>
      </c>
      <c r="B220">
        <v>2.25123599902981E-2</v>
      </c>
      <c r="C220">
        <v>2.7753662335143502E-2</v>
      </c>
      <c r="D220">
        <v>2.7753662335143502E-2</v>
      </c>
      <c r="E220" t="s">
        <v>1655</v>
      </c>
      <c r="F220" t="s">
        <v>1648</v>
      </c>
      <c r="H220">
        <v>6.8673504076357502E-3</v>
      </c>
      <c r="J220">
        <v>6.8673504076357502E-3</v>
      </c>
      <c r="K220" t="s">
        <v>1145</v>
      </c>
      <c r="L220" t="s">
        <v>1137</v>
      </c>
    </row>
    <row r="221" spans="1:12" x14ac:dyDescent="0.35">
      <c r="A221">
        <v>2.0347186911993099E-2</v>
      </c>
      <c r="B221">
        <v>2.2891901714989799E-2</v>
      </c>
      <c r="C221">
        <v>2.8110399323646899E-2</v>
      </c>
      <c r="D221">
        <v>2.8110399323646899E-2</v>
      </c>
      <c r="E221" t="s">
        <v>1656</v>
      </c>
      <c r="F221" t="s">
        <v>1648</v>
      </c>
      <c r="H221">
        <v>6.9547108559351303E-3</v>
      </c>
      <c r="J221">
        <v>6.9547108559351303E-3</v>
      </c>
      <c r="K221" t="s">
        <v>1146</v>
      </c>
      <c r="L221" t="s">
        <v>1137</v>
      </c>
    </row>
    <row r="222" spans="1:12" x14ac:dyDescent="0.35">
      <c r="A222">
        <v>2.03844462174123E-2</v>
      </c>
      <c r="B222">
        <v>2.2688598137850801E-2</v>
      </c>
      <c r="C222">
        <v>2.89673943247446E-2</v>
      </c>
      <c r="D222">
        <v>2.89673943247446E-2</v>
      </c>
      <c r="E222" t="s">
        <v>1657</v>
      </c>
      <c r="F222" t="s">
        <v>1648</v>
      </c>
      <c r="H222">
        <v>7.1644853940870902E-3</v>
      </c>
      <c r="J222">
        <v>7.1644853940870902E-3</v>
      </c>
      <c r="K222" t="s">
        <v>1147</v>
      </c>
      <c r="L222" t="s">
        <v>1137</v>
      </c>
    </row>
    <row r="223" spans="1:12" x14ac:dyDescent="0.35">
      <c r="A223">
        <v>2.02121429685698E-2</v>
      </c>
      <c r="B223">
        <v>2.2861927422401802E-2</v>
      </c>
      <c r="C223">
        <v>2.97171972862664E-2</v>
      </c>
      <c r="D223">
        <v>2.97171972862664E-2</v>
      </c>
      <c r="E223" t="s">
        <v>1658</v>
      </c>
      <c r="F223" t="s">
        <v>1648</v>
      </c>
      <c r="H223">
        <v>7.3479141028771596E-3</v>
      </c>
      <c r="J223">
        <v>7.3479141028771596E-3</v>
      </c>
      <c r="K223" t="s">
        <v>1148</v>
      </c>
      <c r="L223" t="s">
        <v>1137</v>
      </c>
    </row>
    <row r="224" spans="1:12" x14ac:dyDescent="0.35">
      <c r="A224">
        <v>2.00951255413373E-2</v>
      </c>
      <c r="B224">
        <v>2.2789213164977801E-2</v>
      </c>
      <c r="C224">
        <v>2.9972823640437098E-2</v>
      </c>
      <c r="D224">
        <v>2.9972823640437098E-2</v>
      </c>
      <c r="E224" t="s">
        <v>1659</v>
      </c>
      <c r="F224" t="s">
        <v>1648</v>
      </c>
      <c r="H224">
        <v>7.4104265836887296E-3</v>
      </c>
      <c r="J224">
        <v>7.4104265836887296E-3</v>
      </c>
      <c r="K224" t="s">
        <v>1149</v>
      </c>
      <c r="L224" t="s">
        <v>1137</v>
      </c>
    </row>
    <row r="225" spans="1:12" x14ac:dyDescent="0.35">
      <c r="A225">
        <v>2.0005533751415599E-2</v>
      </c>
      <c r="B225">
        <v>2.30067515754304E-2</v>
      </c>
      <c r="C225">
        <v>3.0378543432117301E-2</v>
      </c>
      <c r="D225">
        <v>3.0378543432117301E-2</v>
      </c>
      <c r="E225" t="s">
        <v>1660</v>
      </c>
      <c r="F225" t="s">
        <v>1648</v>
      </c>
      <c r="H225">
        <v>7.5096199742570296E-3</v>
      </c>
      <c r="J225">
        <v>7.5096199742570296E-3</v>
      </c>
      <c r="K225" t="s">
        <v>1150</v>
      </c>
      <c r="L225" t="s">
        <v>1137</v>
      </c>
    </row>
    <row r="226" spans="1:12" x14ac:dyDescent="0.35">
      <c r="A226">
        <v>1.9992497685795502E-2</v>
      </c>
      <c r="B226">
        <v>2.28689196510703E-2</v>
      </c>
      <c r="C226">
        <v>3.0384347471833498E-2</v>
      </c>
      <c r="D226">
        <v>3.0384347471833498E-2</v>
      </c>
      <c r="E226" t="s">
        <v>1661</v>
      </c>
      <c r="F226" t="s">
        <v>1648</v>
      </c>
      <c r="H226">
        <v>7.5110387764860701E-3</v>
      </c>
      <c r="J226">
        <v>7.5110387764860701E-3</v>
      </c>
      <c r="K226" t="s">
        <v>1151</v>
      </c>
      <c r="L226" t="s">
        <v>1137</v>
      </c>
    </row>
    <row r="227" spans="1:12" x14ac:dyDescent="0.35">
      <c r="A227">
        <v>1.99491524210023E-2</v>
      </c>
      <c r="B227">
        <v>2.2952518060170599E-2</v>
      </c>
      <c r="C227">
        <v>3.0780667439755299E-2</v>
      </c>
      <c r="D227">
        <v>3.0780667439755299E-2</v>
      </c>
      <c r="E227" t="s">
        <v>1662</v>
      </c>
      <c r="F227" t="s">
        <v>1648</v>
      </c>
      <c r="H227">
        <v>7.6079053396602703E-3</v>
      </c>
      <c r="J227">
        <v>7.6079053396602703E-3</v>
      </c>
      <c r="K227" t="s">
        <v>1152</v>
      </c>
      <c r="L227" t="s">
        <v>1137</v>
      </c>
    </row>
    <row r="228" spans="1:12" x14ac:dyDescent="0.35">
      <c r="A228">
        <v>1.99785657506244E-2</v>
      </c>
      <c r="B228">
        <v>2.3092018308592099E-2</v>
      </c>
      <c r="C228">
        <v>3.09234356698747E-2</v>
      </c>
      <c r="D228">
        <v>3.09234356698747E-2</v>
      </c>
      <c r="E228" t="s">
        <v>1663</v>
      </c>
      <c r="F228" t="s">
        <v>1648</v>
      </c>
      <c r="H228">
        <v>7.6427931995954896E-3</v>
      </c>
      <c r="J228">
        <v>7.6427931995954896E-3</v>
      </c>
      <c r="K228" t="s">
        <v>1153</v>
      </c>
      <c r="L228" t="s">
        <v>1137</v>
      </c>
    </row>
    <row r="229" spans="1:12" x14ac:dyDescent="0.35">
      <c r="A229">
        <v>1.9973482507164499E-2</v>
      </c>
      <c r="B229">
        <v>2.29188557927167E-2</v>
      </c>
      <c r="C229">
        <v>3.0940126349132901E-2</v>
      </c>
      <c r="D229">
        <v>3.0940126349132901E-2</v>
      </c>
      <c r="E229" t="s">
        <v>1664</v>
      </c>
      <c r="F229" t="s">
        <v>1648</v>
      </c>
      <c r="H229">
        <v>7.6468716160857904E-3</v>
      </c>
      <c r="J229">
        <v>7.6468716160857904E-3</v>
      </c>
      <c r="K229" t="s">
        <v>1154</v>
      </c>
      <c r="L229" t="s">
        <v>1137</v>
      </c>
    </row>
    <row r="230" spans="1:12" x14ac:dyDescent="0.35">
      <c r="A230">
        <v>2.00262569988248E-2</v>
      </c>
      <c r="B230">
        <v>2.34219478386497E-2</v>
      </c>
      <c r="C230">
        <v>3.08963138434795E-2</v>
      </c>
      <c r="D230">
        <v>3.08963138434795E-2</v>
      </c>
      <c r="E230" t="s">
        <v>1665</v>
      </c>
      <c r="F230" t="s">
        <v>1648</v>
      </c>
      <c r="H230">
        <v>7.6361657960506398E-3</v>
      </c>
      <c r="J230">
        <v>7.6361657960506398E-3</v>
      </c>
      <c r="K230" t="s">
        <v>1155</v>
      </c>
      <c r="L230" t="s">
        <v>1137</v>
      </c>
    </row>
    <row r="231" spans="1:12" x14ac:dyDescent="0.35">
      <c r="A231">
        <v>2.0068184200822601E-2</v>
      </c>
      <c r="B231">
        <v>2.29559923804479E-2</v>
      </c>
      <c r="C231">
        <v>3.1171169586274899E-2</v>
      </c>
      <c r="D231">
        <v>3.1171169586274899E-2</v>
      </c>
      <c r="E231" t="s">
        <v>1666</v>
      </c>
      <c r="F231" t="s">
        <v>1648</v>
      </c>
      <c r="H231">
        <v>7.7033226228278E-3</v>
      </c>
      <c r="J231">
        <v>7.7033226228278E-3</v>
      </c>
      <c r="K231" t="s">
        <v>1156</v>
      </c>
      <c r="L231" t="s">
        <v>1137</v>
      </c>
    </row>
    <row r="232" spans="1:12" x14ac:dyDescent="0.35">
      <c r="A232">
        <v>2.00733299513789E-2</v>
      </c>
      <c r="B232">
        <v>2.3089907346120601E-2</v>
      </c>
      <c r="C232">
        <v>3.11290252355114E-2</v>
      </c>
      <c r="D232">
        <v>3.11290252355114E-2</v>
      </c>
      <c r="E232" t="s">
        <v>1667</v>
      </c>
      <c r="F232" t="s">
        <v>1648</v>
      </c>
      <c r="H232">
        <v>7.6930261622452098E-3</v>
      </c>
      <c r="J232">
        <v>7.6930261622452098E-3</v>
      </c>
      <c r="K232" t="s">
        <v>1157</v>
      </c>
      <c r="L232" t="s">
        <v>1137</v>
      </c>
    </row>
    <row r="233" spans="1:12" x14ac:dyDescent="0.35">
      <c r="A233">
        <v>2.00833471581769E-2</v>
      </c>
      <c r="B233">
        <v>2.2986135275529802E-2</v>
      </c>
      <c r="C233">
        <v>3.12799263503531E-2</v>
      </c>
      <c r="D233">
        <v>3.12799263503531E-2</v>
      </c>
      <c r="E233" t="s">
        <v>1668</v>
      </c>
      <c r="F233" t="s">
        <v>1648</v>
      </c>
      <c r="H233">
        <v>7.72989197946106E-3</v>
      </c>
      <c r="J233">
        <v>7.72989197946106E-3</v>
      </c>
      <c r="K233" t="s">
        <v>1158</v>
      </c>
      <c r="L233" t="s">
        <v>1137</v>
      </c>
    </row>
    <row r="234" spans="1:12" x14ac:dyDescent="0.35">
      <c r="A234">
        <v>2.0140093939852201E-2</v>
      </c>
      <c r="B234">
        <v>2.31414769468055E-2</v>
      </c>
      <c r="C234">
        <v>3.1432246791632999E-2</v>
      </c>
      <c r="D234">
        <v>3.1432246791632999E-2</v>
      </c>
      <c r="E234" t="s">
        <v>1669</v>
      </c>
      <c r="F234" t="s">
        <v>1648</v>
      </c>
      <c r="H234">
        <v>7.76710044167461E-3</v>
      </c>
      <c r="J234">
        <v>7.76710044167461E-3</v>
      </c>
      <c r="K234" t="s">
        <v>1159</v>
      </c>
      <c r="L234" t="s">
        <v>1137</v>
      </c>
    </row>
    <row r="235" spans="1:12" x14ac:dyDescent="0.35">
      <c r="A235">
        <v>2.02021592909249E-2</v>
      </c>
      <c r="B235">
        <v>2.2984714477401601E-2</v>
      </c>
      <c r="C235">
        <v>3.1205847095053599E-2</v>
      </c>
      <c r="D235">
        <v>3.1205847095053599E-2</v>
      </c>
      <c r="E235" t="s">
        <v>1670</v>
      </c>
      <c r="F235" t="s">
        <v>1648</v>
      </c>
      <c r="H235">
        <v>7.7117945916846996E-3</v>
      </c>
      <c r="J235">
        <v>7.7117945916846996E-3</v>
      </c>
      <c r="K235" t="s">
        <v>1160</v>
      </c>
      <c r="L235" t="s">
        <v>1137</v>
      </c>
    </row>
    <row r="236" spans="1:12" x14ac:dyDescent="0.35">
      <c r="A236">
        <v>2.0211898969260102E-2</v>
      </c>
      <c r="B236">
        <v>2.2913195171825301E-2</v>
      </c>
      <c r="C236">
        <v>3.14110402970686E-2</v>
      </c>
      <c r="D236">
        <v>3.14110402970686E-2</v>
      </c>
      <c r="E236" t="s">
        <v>1671</v>
      </c>
      <c r="F236" t="s">
        <v>1648</v>
      </c>
      <c r="H236">
        <v>7.7619204183672101E-3</v>
      </c>
      <c r="J236">
        <v>7.7619204183672101E-3</v>
      </c>
      <c r="K236" t="s">
        <v>1161</v>
      </c>
      <c r="L236" t="s">
        <v>1137</v>
      </c>
    </row>
    <row r="237" spans="1:12" x14ac:dyDescent="0.35">
      <c r="A237">
        <v>2.0290430669000999E-2</v>
      </c>
      <c r="B237">
        <v>2.29758501503456E-2</v>
      </c>
      <c r="C237">
        <v>3.1565029186180898E-2</v>
      </c>
      <c r="D237">
        <v>3.1565029186180898E-2</v>
      </c>
      <c r="E237" t="s">
        <v>1672</v>
      </c>
      <c r="F237" t="s">
        <v>1648</v>
      </c>
      <c r="H237">
        <v>7.7995328359632401E-3</v>
      </c>
      <c r="J237">
        <v>7.7995328359632401E-3</v>
      </c>
      <c r="K237" t="s">
        <v>1162</v>
      </c>
      <c r="L237" t="s">
        <v>1137</v>
      </c>
    </row>
    <row r="238" spans="1:12" x14ac:dyDescent="0.35">
      <c r="A238">
        <v>2.0308808571870299E-2</v>
      </c>
      <c r="B238">
        <v>2.2824531954790599E-2</v>
      </c>
      <c r="C238">
        <v>3.1531274423854297E-2</v>
      </c>
      <c r="D238">
        <v>3.1531274423854297E-2</v>
      </c>
      <c r="E238" t="s">
        <v>1673</v>
      </c>
      <c r="F238" t="s">
        <v>1648</v>
      </c>
      <c r="H238">
        <v>7.7912884572341997E-3</v>
      </c>
      <c r="J238">
        <v>7.7912884572341997E-3</v>
      </c>
      <c r="K238" t="s">
        <v>1163</v>
      </c>
      <c r="L238" t="s">
        <v>1137</v>
      </c>
    </row>
    <row r="239" spans="1:12" x14ac:dyDescent="0.35">
      <c r="A239">
        <v>2.03080060292413E-2</v>
      </c>
      <c r="B239">
        <v>2.2972481063801901E-2</v>
      </c>
      <c r="C239">
        <v>3.1542996473644003E-2</v>
      </c>
      <c r="D239">
        <v>3.1542996473644003E-2</v>
      </c>
      <c r="E239" t="s">
        <v>1674</v>
      </c>
      <c r="F239" t="s">
        <v>1648</v>
      </c>
      <c r="H239">
        <v>7.7941515137436301E-3</v>
      </c>
      <c r="J239">
        <v>7.7941515137436301E-3</v>
      </c>
      <c r="K239" t="s">
        <v>1164</v>
      </c>
      <c r="L239" t="s">
        <v>1137</v>
      </c>
    </row>
    <row r="240" spans="1:12" x14ac:dyDescent="0.35">
      <c r="A240">
        <v>2.0323983720006399E-2</v>
      </c>
      <c r="B240">
        <v>2.2824566637221998E-2</v>
      </c>
      <c r="C240">
        <v>3.1855243350590097E-2</v>
      </c>
      <c r="D240">
        <v>3.1855243350590097E-2</v>
      </c>
      <c r="E240" t="s">
        <v>1675</v>
      </c>
      <c r="F240" t="s">
        <v>1648</v>
      </c>
      <c r="H240">
        <v>7.8704073905595494E-3</v>
      </c>
      <c r="J240">
        <v>7.8704073905595494E-3</v>
      </c>
      <c r="K240" t="s">
        <v>1165</v>
      </c>
      <c r="L240" t="s">
        <v>1137</v>
      </c>
    </row>
    <row r="241" spans="1:12" x14ac:dyDescent="0.35">
      <c r="A241">
        <v>2.0325704902500501E-2</v>
      </c>
      <c r="B241">
        <v>2.2886555231629101E-2</v>
      </c>
      <c r="C241">
        <v>3.1708818720508798E-2</v>
      </c>
      <c r="D241">
        <v>3.1708818720508798E-2</v>
      </c>
      <c r="E241" t="s">
        <v>1676</v>
      </c>
      <c r="F241" t="s">
        <v>1648</v>
      </c>
      <c r="H241">
        <v>7.8346502176538397E-3</v>
      </c>
      <c r="J241">
        <v>7.8346502176538397E-3</v>
      </c>
      <c r="K241" t="s">
        <v>1166</v>
      </c>
      <c r="L241" t="s">
        <v>1137</v>
      </c>
    </row>
    <row r="242" spans="1:12" x14ac:dyDescent="0.35">
      <c r="A242">
        <v>2.0305041683886599E-2</v>
      </c>
      <c r="B242">
        <v>2.29465623765257E-2</v>
      </c>
      <c r="C242">
        <v>3.1893508731351002E-2</v>
      </c>
      <c r="D242">
        <v>3.1893508731351002E-2</v>
      </c>
      <c r="E242" t="s">
        <v>1677</v>
      </c>
      <c r="F242" t="s">
        <v>1648</v>
      </c>
      <c r="H242">
        <v>7.8797512420421007E-3</v>
      </c>
      <c r="J242">
        <v>7.8797512420421007E-3</v>
      </c>
      <c r="K242" t="s">
        <v>1167</v>
      </c>
      <c r="L242" t="s">
        <v>1137</v>
      </c>
    </row>
    <row r="243" spans="1:12" x14ac:dyDescent="0.35">
      <c r="A243">
        <v>2.0287096358251301E-2</v>
      </c>
      <c r="B243">
        <v>2.2798980065175601E-2</v>
      </c>
      <c r="C243">
        <v>3.1810408581062898E-2</v>
      </c>
      <c r="D243">
        <v>3.1810408581062898E-2</v>
      </c>
      <c r="E243" t="s">
        <v>1678</v>
      </c>
      <c r="F243" t="s">
        <v>1648</v>
      </c>
      <c r="H243">
        <v>7.8594590588953999E-3</v>
      </c>
      <c r="J243">
        <v>7.8594590588953999E-3</v>
      </c>
      <c r="K243" t="s">
        <v>1168</v>
      </c>
      <c r="L243" t="s">
        <v>1137</v>
      </c>
    </row>
    <row r="244" spans="1:12" x14ac:dyDescent="0.35">
      <c r="A244">
        <v>2.0271579331879098E-2</v>
      </c>
      <c r="B244">
        <v>2.2857567238674801E-2</v>
      </c>
      <c r="C244">
        <v>3.1611362599311098E-2</v>
      </c>
      <c r="D244">
        <v>3.1611362599311098E-2</v>
      </c>
      <c r="E244" t="s">
        <v>1679</v>
      </c>
      <c r="F244" t="s">
        <v>1648</v>
      </c>
      <c r="H244">
        <v>7.8108491379678098E-3</v>
      </c>
      <c r="J244">
        <v>7.8108491379678098E-3</v>
      </c>
      <c r="K244" t="s">
        <v>1169</v>
      </c>
      <c r="L244" t="s">
        <v>1137</v>
      </c>
    </row>
    <row r="245" spans="1:12" x14ac:dyDescent="0.35">
      <c r="A245">
        <v>2.0226750918557398E-2</v>
      </c>
      <c r="B245">
        <v>2.30078651102898E-2</v>
      </c>
      <c r="C245">
        <v>3.1895036638032601E-2</v>
      </c>
      <c r="D245">
        <v>3.1895036638032601E-2</v>
      </c>
      <c r="E245" t="s">
        <v>1680</v>
      </c>
      <c r="F245" t="s">
        <v>1648</v>
      </c>
      <c r="H245">
        <v>7.8801243293176206E-3</v>
      </c>
      <c r="J245">
        <v>7.8801243293176206E-3</v>
      </c>
      <c r="K245" t="s">
        <v>1170</v>
      </c>
      <c r="L245" t="s">
        <v>1137</v>
      </c>
    </row>
    <row r="246" spans="1:12" x14ac:dyDescent="0.35">
      <c r="A246">
        <v>2.0229639632362201E-2</v>
      </c>
      <c r="B246">
        <v>2.2755662461575201E-2</v>
      </c>
      <c r="C246">
        <v>3.1906732152356301E-2</v>
      </c>
      <c r="D246">
        <v>3.1906732152356301E-2</v>
      </c>
      <c r="E246" t="s">
        <v>1681</v>
      </c>
      <c r="F246" t="s">
        <v>1648</v>
      </c>
      <c r="H246">
        <v>7.88298014941358E-3</v>
      </c>
      <c r="J246">
        <v>7.88298014941358E-3</v>
      </c>
      <c r="K246" t="s">
        <v>1171</v>
      </c>
      <c r="L246" t="s">
        <v>1137</v>
      </c>
    </row>
    <row r="247" spans="1:12" x14ac:dyDescent="0.35">
      <c r="A247">
        <v>2.0196749252488402E-2</v>
      </c>
      <c r="B247">
        <v>2.2817811468051102E-2</v>
      </c>
      <c r="C247">
        <v>3.1666344390047098E-2</v>
      </c>
      <c r="D247">
        <v>3.1666344390047098E-2</v>
      </c>
      <c r="E247" t="s">
        <v>1682</v>
      </c>
      <c r="F247" t="s">
        <v>1648</v>
      </c>
      <c r="H247">
        <v>7.8242771932854893E-3</v>
      </c>
      <c r="J247">
        <v>7.8242771932854893E-3</v>
      </c>
      <c r="K247" t="s">
        <v>1172</v>
      </c>
      <c r="L247" t="s">
        <v>1137</v>
      </c>
    </row>
    <row r="248" spans="1:12" x14ac:dyDescent="0.35">
      <c r="A248">
        <v>2.0138226913895701E-2</v>
      </c>
      <c r="B248">
        <v>2.3174738681931199E-2</v>
      </c>
      <c r="C248">
        <v>3.1749922428638201E-2</v>
      </c>
      <c r="D248">
        <v>3.1749922428638201E-2</v>
      </c>
      <c r="E248" t="s">
        <v>1683</v>
      </c>
      <c r="F248" t="s">
        <v>1648</v>
      </c>
      <c r="H248">
        <v>7.8446882055194199E-3</v>
      </c>
      <c r="J248">
        <v>7.8446882055194199E-3</v>
      </c>
      <c r="K248" t="s">
        <v>1173</v>
      </c>
      <c r="L248" t="s">
        <v>1137</v>
      </c>
    </row>
    <row r="249" spans="1:12" x14ac:dyDescent="0.35">
      <c r="A249">
        <v>2.0129535533826501E-2</v>
      </c>
      <c r="B249">
        <v>2.27379267080541E-2</v>
      </c>
      <c r="C249">
        <v>3.1908648163189397E-2</v>
      </c>
      <c r="D249">
        <v>3.1908648163189397E-2</v>
      </c>
      <c r="E249" t="s">
        <v>1684</v>
      </c>
      <c r="F249" t="s">
        <v>1648</v>
      </c>
      <c r="H249">
        <v>7.8834480001659397E-3</v>
      </c>
      <c r="J249">
        <v>7.8834480001659397E-3</v>
      </c>
      <c r="K249" t="s">
        <v>1174</v>
      </c>
      <c r="L249" t="s">
        <v>1137</v>
      </c>
    </row>
    <row r="250" spans="1:12" x14ac:dyDescent="0.35">
      <c r="A250">
        <v>2.0106884793451098E-2</v>
      </c>
      <c r="B250">
        <v>2.3093327603912001E-2</v>
      </c>
      <c r="C250">
        <v>3.1692204125751702E-2</v>
      </c>
      <c r="D250">
        <v>3.1692204125751702E-2</v>
      </c>
      <c r="E250" t="s">
        <v>1685</v>
      </c>
      <c r="F250" t="s">
        <v>1648</v>
      </c>
      <c r="H250">
        <v>7.8305926616084598E-3</v>
      </c>
      <c r="J250">
        <v>7.8305926616084598E-3</v>
      </c>
      <c r="K250" t="s">
        <v>1175</v>
      </c>
      <c r="L250" t="s">
        <v>1137</v>
      </c>
    </row>
    <row r="251" spans="1:12" x14ac:dyDescent="0.35">
      <c r="A251">
        <v>2.0037252982960399E-2</v>
      </c>
      <c r="B251">
        <v>2.2853757020905099E-2</v>
      </c>
      <c r="C251">
        <v>3.1763978164364597E-2</v>
      </c>
      <c r="D251">
        <v>3.1763978164364597E-2</v>
      </c>
      <c r="E251" t="s">
        <v>1686</v>
      </c>
      <c r="F251" t="s">
        <v>1648</v>
      </c>
      <c r="H251">
        <v>7.8481207054677E-3</v>
      </c>
      <c r="J251">
        <v>7.8481207054677E-3</v>
      </c>
      <c r="K251" t="s">
        <v>1176</v>
      </c>
      <c r="L251" t="s">
        <v>1137</v>
      </c>
    </row>
    <row r="252" spans="1:12" x14ac:dyDescent="0.35">
      <c r="A252">
        <v>2.0056022895238401E-2</v>
      </c>
      <c r="B252">
        <v>2.2713969923905002E-2</v>
      </c>
      <c r="C252">
        <v>3.17278315390737E-2</v>
      </c>
      <c r="D252">
        <v>3.17278315390737E-2</v>
      </c>
      <c r="E252" t="s">
        <v>1687</v>
      </c>
      <c r="F252" t="s">
        <v>1648</v>
      </c>
      <c r="H252">
        <v>7.8392933990876195E-3</v>
      </c>
      <c r="J252">
        <v>7.8392933990876195E-3</v>
      </c>
      <c r="K252" t="s">
        <v>1177</v>
      </c>
      <c r="L252" t="s">
        <v>1137</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Guide to the FIM Spreadsheet</vt:lpstr>
      <vt:lpstr>Checklist (New Quarter Release)</vt:lpstr>
      <vt:lpstr>Checklist (Monthly Revision)</vt:lpstr>
      <vt:lpstr>Revisions</vt:lpstr>
      <vt:lpstr>Checklist (CBO Budget Release)</vt:lpstr>
      <vt:lpstr>Haver Pivoted</vt:lpstr>
      <vt:lpstr>historical overrides</vt:lpstr>
      <vt:lpstr>deflators_override</vt:lpstr>
      <vt:lpstr>forecast comparison</vt:lpstr>
      <vt:lpstr>MPI</vt:lpstr>
      <vt:lpstr>forecast</vt:lpstr>
      <vt:lpstr>Sheet1</vt:lpstr>
      <vt:lpstr>mpc</vt:lpstr>
      <vt:lpstr>Unemployment Insurance</vt:lpstr>
      <vt:lpstr>Unemployment Insurance - lorae</vt:lpstr>
      <vt:lpstr>Grants</vt:lpstr>
      <vt:lpstr>Federal and State Purchases</vt:lpstr>
      <vt:lpstr>Subsidies</vt:lpstr>
      <vt:lpstr>Medicaid</vt:lpstr>
      <vt:lpstr>Medicare</vt:lpstr>
      <vt:lpstr>Student loans</vt:lpstr>
      <vt:lpstr>Social Benefits</vt:lpstr>
      <vt:lpstr>Social Benefits- June</vt:lpstr>
      <vt:lpstr>Social Benefits - old</vt:lpstr>
      <vt:lpstr>SB WORK</vt:lpstr>
      <vt:lpstr>Supply Side IRA</vt:lpstr>
      <vt:lpstr>Taxes</vt:lpstr>
      <vt:lpstr>Deflators</vt:lpstr>
      <vt:lpstr>Social Benefits (BETA VERSION)</vt:lpstr>
      <vt:lpstr>Social Benefits (EXPLANATION)</vt:lpstr>
      <vt:lpstr>PPP (expired)</vt:lpstr>
      <vt:lpstr>Provider Relief (expired)</vt:lpstr>
      <vt:lpstr>Rebate Checks (expired)</vt:lpstr>
      <vt:lpstr>Cares Act Scores</vt:lpstr>
      <vt:lpstr>IRA and CHIPS</vt:lpstr>
      <vt:lpstr>Response and Relief Act Score</vt:lpstr>
      <vt:lpstr>ARP Score</vt:lpstr>
      <vt:lpstr>ARP Timing</vt:lpstr>
      <vt:lpstr>ARP Quarterly</vt:lpstr>
      <vt:lpstr>Deflators_original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Louise Sheiner</dc:creator>
  <cp:keywords/>
  <dc:description/>
  <cp:lastModifiedBy>Sarah Ahmad</cp:lastModifiedBy>
  <cp:revision/>
  <cp:lastPrinted>2025-07-28T17:29:29Z</cp:lastPrinted>
  <dcterms:created xsi:type="dcterms:W3CDTF">2021-05-28T15:43:48Z</dcterms:created>
  <dcterms:modified xsi:type="dcterms:W3CDTF">2025-08-01T21:47:46Z</dcterms:modified>
  <cp:category/>
  <cp:contentStatus/>
</cp:coreProperties>
</file>